
<file path=[Content_Types].xml><?xml version="1.0" encoding="utf-8"?>
<Types xmlns="http://schemas.openxmlformats.org/package/2006/content-types">
  <Override PartName="/xl/worksheets/sheet35.xml" ContentType="application/vnd.openxmlformats-officedocument.spreadsheetml.worksheet+xml"/>
  <Override PartName="/xl/charts/chart189.xml" ContentType="application/vnd.openxmlformats-officedocument.drawingml.char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39.xml" ContentType="application/vnd.openxmlformats-officedocument.drawing+xml"/>
  <Override PartName="/xl/charts/chart230.xml" ContentType="application/vnd.openxmlformats-officedocument.drawingml.chart+xml"/>
  <Override PartName="/xl/drawings/drawing17.xml" ContentType="application/vnd.openxmlformats-officedocument.drawing+xml"/>
  <Override PartName="/xl/charts/chart167.xml" ContentType="application/vnd.openxmlformats-officedocument.drawingml.chart+xml"/>
  <Override PartName="/xl/drawings/drawing64.xml" ContentType="application/vnd.openxmlformats-officedocument.drawing+xml"/>
  <Default Extension="xml" ContentType="application/xml"/>
  <Override PartName="/xl/charts/chart145.xml" ContentType="application/vnd.openxmlformats-officedocument.drawingml.chart+xml"/>
  <Override PartName="/xl/charts/chart192.xml" ContentType="application/vnd.openxmlformats-officedocument.drawingml.chart+xml"/>
  <Override PartName="/xl/worksheets/sheet3.xml" ContentType="application/vnd.openxmlformats-officedocument.spreadsheetml.worksheet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charts/chart134.xml" ContentType="application/vnd.openxmlformats-officedocument.drawingml.chart+xml"/>
  <Override PartName="/xl/drawings/drawing42.xml" ContentType="application/vnd.openxmlformats-officedocument.drawing+xml"/>
  <Override PartName="/xl/charts/chart181.xml" ContentType="application/vnd.openxmlformats-officedocument.drawingml.chart+xml"/>
  <Override PartName="/xl/charts/chart16.xml" ContentType="application/vnd.openxmlformats-officedocument.drawingml.chart+xml"/>
  <Override PartName="/xl/charts/chart63.xml" ContentType="application/vnd.openxmlformats-officedocument.drawingml.chart+xml"/>
  <Override PartName="/xl/drawings/drawing20.xml" ContentType="application/vnd.openxmlformats-officedocument.drawing+xml"/>
  <Override PartName="/xl/charts/chart112.xml" ContentType="application/vnd.openxmlformats-officedocument.drawingml.chart+xml"/>
  <Override PartName="/xl/drawings/drawing31.xml" ContentType="application/vnd.openxmlformats-officedocument.drawing+xml"/>
  <Override PartName="/xl/charts/chart123.xml" ContentType="application/vnd.openxmlformats-officedocument.drawingml.chart+xml"/>
  <Override PartName="/xl/charts/chart170.xml" ContentType="application/vnd.openxmlformats-officedocument.drawingml.chart+xml"/>
  <Override PartName="/xl/charts/chart257.xml" ContentType="application/vnd.openxmlformats-officedocument.drawingml.chart+xml"/>
  <Override PartName="/xl/worksheets/sheet29.xml" ContentType="application/vnd.openxmlformats-officedocument.spreadsheetml.worksheet+xml"/>
  <Override PartName="/xl/charts/chart52.xml" ContentType="application/vnd.openxmlformats-officedocument.drawingml.chart+xml"/>
  <Override PartName="/xl/charts/chart101.xml" ContentType="application/vnd.openxmlformats-officedocument.drawingml.chart+xml"/>
  <Override PartName="/xl/charts/chart246.xml" ContentType="application/vnd.openxmlformats-officedocument.drawingml.char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charts/chart9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224.xml" ContentType="application/vnd.openxmlformats-officedocument.drawingml.chart+xml"/>
  <Override PartName="/xl/charts/chart235.xml" ContentType="application/vnd.openxmlformats-officedocument.drawingml.chart+xml"/>
  <Override PartName="/xl/worksheets/sheet43.xml" ContentType="application/vnd.openxmlformats-officedocument.spreadsheetml.worksheet+xml"/>
  <Override PartName="/xl/charts/chart213.xml" ContentType="application/vnd.openxmlformats-officedocument.drawingml.chart+xml"/>
  <Override PartName="/xl/charts/chart260.xml" ContentType="application/vnd.openxmlformats-officedocument.drawingml.char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harts/chart139.xml" ContentType="application/vnd.openxmlformats-officedocument.drawingml.chart+xml"/>
  <Override PartName="/xl/charts/chart186.xml" ContentType="application/vnd.openxmlformats-officedocument.drawingml.chart+xml"/>
  <Override PartName="/xl/charts/chart197.xml" ContentType="application/vnd.openxmlformats-officedocument.drawingml.chart+xml"/>
  <Override PartName="/xl/charts/chart202.xml" ContentType="application/vnd.openxmlformats-officedocument.drawingml.chart+xml"/>
  <Override PartName="/xl/drawings/drawing58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charts/chart79.xml" ContentType="application/vnd.openxmlformats-officedocument.drawingml.chart+xml"/>
  <Override PartName="/xl/charts/chart128.xml" ContentType="application/vnd.openxmlformats-officedocument.drawingml.chart+xml"/>
  <Override PartName="/xl/drawings/drawing36.xml" ContentType="application/vnd.openxmlformats-officedocument.drawing+xml"/>
  <Override PartName="/xl/charts/chart175.xml" ContentType="application/vnd.openxmlformats-officedocument.drawingml.chart+xml"/>
  <Override PartName="/xl/drawings/drawing47.xml" ContentType="application/vnd.openxmlformats-officedocument.drawing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xl/drawings/drawing25.xml" ContentType="application/vnd.openxmlformats-officedocument.drawing+xml"/>
  <Override PartName="/xl/charts/chart117.xml" ContentType="application/vnd.openxmlformats-officedocument.drawingml.chart+xml"/>
  <Override PartName="/xl/charts/chart164.xml" ContentType="application/vnd.openxmlformats-officedocument.drawingml.chart+xml"/>
  <Override PartName="/docProps/app.xml" ContentType="application/vnd.openxmlformats-officedocument.extended-properties+xml"/>
  <Override PartName="/xl/charts/chart46.xml" ContentType="application/vnd.openxmlformats-officedocument.drawingml.chart+xml"/>
  <Override PartName="/xl/drawings/drawing14.xml" ContentType="application/vnd.openxmlformats-officedocument.drawing+xml"/>
  <Override PartName="/xl/charts/chart93.xml" ContentType="application/vnd.openxmlformats-officedocument.drawingml.chart+xml"/>
  <Override PartName="/xl/charts/chart106.xml" ContentType="application/vnd.openxmlformats-officedocument.drawingml.chart+xml"/>
  <Override PartName="/xl/charts/chart142.xml" ContentType="application/vnd.openxmlformats-officedocument.drawingml.chart+xml"/>
  <Override PartName="/xl/charts/chart153.xml" ContentType="application/vnd.openxmlformats-officedocument.drawingml.chart+xml"/>
  <Override PartName="/xl/drawings/drawing61.xml" ContentType="application/vnd.openxmlformats-officedocument.drawing+xml"/>
  <Override PartName="/xl/worksheets/sheet59.xml" ContentType="application/vnd.openxmlformats-officedocument.spreadsheetml.worksheet+xml"/>
  <Override PartName="/xl/charts/chart35.xml" ContentType="application/vnd.openxmlformats-officedocument.drawingml.chart+xml"/>
  <Override PartName="/xl/charts/chart82.xml" ContentType="application/vnd.openxmlformats-officedocument.drawingml.chart+xml"/>
  <Override PartName="/xl/charts/chart131.xml" ContentType="application/vnd.openxmlformats-officedocument.drawingml.chart+xml"/>
  <Override PartName="/xl/drawings/drawing50.xml" ContentType="application/vnd.openxmlformats-officedocument.drawing+xml"/>
  <Override PartName="/xl/charts/chart229.xml" ContentType="application/vnd.openxmlformats-officedocument.drawingml.chart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charts/chart71.xml" ContentType="application/vnd.openxmlformats-officedocument.drawingml.chart+xml"/>
  <Override PartName="/xl/charts/chart120.xml" ContentType="application/vnd.openxmlformats-officedocument.drawingml.chart+xml"/>
  <Override PartName="/xl/charts/chart207.xml" ContentType="application/vnd.openxmlformats-officedocument.drawingml.chart+xml"/>
  <Override PartName="/xl/charts/chart218.xml" ContentType="application/vnd.openxmlformats-officedocument.drawingml.chart+xml"/>
  <Override PartName="/xl/charts/chart254.xml" ContentType="application/vnd.openxmlformats-officedocument.drawingml.char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harts/chart60.xml" ContentType="application/vnd.openxmlformats-officedocument.drawingml.chart+xml"/>
  <Override PartName="/xl/charts/chart243.xml" ContentType="application/vnd.openxmlformats-officedocument.drawingml.char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charts/chart6.xml" ContentType="application/vnd.openxmlformats-officedocument.drawingml.chart+xml"/>
  <Override PartName="/xl/charts/chart232.xml" ContentType="application/vnd.openxmlformats-officedocument.drawingml.chart+xml"/>
  <Override PartName="/xl/worksheets/sheet51.xml" ContentType="application/vnd.openxmlformats-officedocument.spreadsheetml.worksheet+xml"/>
  <Override PartName="/xl/drawings/drawing19.xml" ContentType="application/vnd.openxmlformats-officedocument.drawing+xml"/>
  <Override PartName="/xl/charts/chart158.xml" ContentType="application/vnd.openxmlformats-officedocument.drawingml.chart+xml"/>
  <Override PartName="/xl/charts/chart169.xml" ContentType="application/vnd.openxmlformats-officedocument.drawingml.chart+xml"/>
  <Override PartName="/xl/charts/chart210.xml" ContentType="application/vnd.openxmlformats-officedocument.drawingml.chart+xml"/>
  <Override PartName="/xl/charts/chart221.xml" ContentType="application/vnd.openxmlformats-officedocument.drawingml.chart+xml"/>
  <Override PartName="/xl/drawings/drawing66.xml" ContentType="application/vnd.openxmlformats-officedocument.drawing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charts/chart98.xml" ContentType="application/vnd.openxmlformats-officedocument.drawingml.chart+xml"/>
  <Override PartName="/xl/charts/chart147.xml" ContentType="application/vnd.openxmlformats-officedocument.drawingml.chart+xml"/>
  <Override PartName="/xl/charts/chart194.xml" ContentType="application/vnd.openxmlformats-officedocument.drawingml.chart+xml"/>
  <Override PartName="/xl/drawings/drawing55.xml" ContentType="application/vnd.openxmlformats-officedocument.drawing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hart76.xml" ContentType="application/vnd.openxmlformats-officedocument.drawingml.chart+xml"/>
  <Override PartName="/xl/charts/chart87.xml" ContentType="application/vnd.openxmlformats-officedocument.drawingml.chart+xml"/>
  <Override PartName="/xl/charts/chart136.xml" ContentType="application/vnd.openxmlformats-officedocument.drawingml.chart+xml"/>
  <Override PartName="/xl/drawings/drawing44.xml" ContentType="application/vnd.openxmlformats-officedocument.drawing+xml"/>
  <Override PartName="/xl/charts/chart183.xml" ContentType="application/vnd.openxmlformats-officedocument.drawingml.chart+xml"/>
  <Override PartName="/xl/charts/chart18.xml" ContentType="application/vnd.openxmlformats-officedocument.drawingml.chart+xml"/>
  <Override PartName="/xl/charts/chart65.xml" ContentType="application/vnd.openxmlformats-officedocument.drawingml.chart+xml"/>
  <Override PartName="/xl/drawings/drawing22.xml" ContentType="application/vnd.openxmlformats-officedocument.drawing+xml"/>
  <Override PartName="/xl/charts/chart114.xml" ContentType="application/vnd.openxmlformats-officedocument.drawingml.chart+xml"/>
  <Override PartName="/xl/charts/chart125.xml" ContentType="application/vnd.openxmlformats-officedocument.drawingml.chart+xml"/>
  <Override PartName="/xl/drawings/drawing33.xml" ContentType="application/vnd.openxmlformats-officedocument.drawing+xml"/>
  <Override PartName="/xl/charts/chart161.xml" ContentType="application/vnd.openxmlformats-officedocument.drawingml.chart+xml"/>
  <Override PartName="/xl/charts/chart172.xml" ContentType="application/vnd.openxmlformats-officedocument.drawingml.chart+xml"/>
  <Override PartName="/xl/charts/chart259.xml" ContentType="application/vnd.openxmlformats-officedocument.drawingml.chart+xml"/>
  <Override PartName="/xl/drawings/drawing11.xml" ContentType="application/vnd.openxmlformats-officedocument.drawing+xml"/>
  <Override PartName="/xl/charts/chart54.xml" ContentType="application/vnd.openxmlformats-officedocument.drawingml.chart+xml"/>
  <Override PartName="/xl/charts/chart103.xml" ContentType="application/vnd.openxmlformats-officedocument.drawingml.chart+xml"/>
  <Override PartName="/xl/charts/chart150.xml" ContentType="application/vnd.openxmlformats-officedocument.drawingml.chart+xml"/>
  <Override PartName="/xl/charts/chart248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90.xml" ContentType="application/vnd.openxmlformats-officedocument.drawingml.chart+xml"/>
  <Override PartName="/xl/charts/chart226.xml" ContentType="application/vnd.openxmlformats-officedocument.drawingml.chart+xml"/>
  <Override PartName="/xl/charts/chart237.xml" ContentType="application/vnd.openxmlformats-officedocument.drawingml.char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charts/chart21.xml" ContentType="application/vnd.openxmlformats-officedocument.drawingml.chart+xml"/>
  <Override PartName="/xl/charts/chart215.xml" ContentType="application/vnd.openxmlformats-officedocument.drawingml.chart+xml"/>
  <Override PartName="/xl/charts/chart262.xml" ContentType="application/vnd.openxmlformats-officedocument.drawingml.chart+xml"/>
  <Override PartName="/xl/worksheets/sheet34.xml" ContentType="application/vnd.openxmlformats-officedocument.spreadsheetml.workshee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88.xml" ContentType="application/vnd.openxmlformats-officedocument.drawingml.chart+xml"/>
  <Override PartName="/xl/charts/chart199.xml" ContentType="application/vnd.openxmlformats-officedocument.drawingml.chart+xml"/>
  <Override PartName="/xl/charts/chart204.xml" ContentType="application/vnd.openxmlformats-officedocument.drawingml.chart+xml"/>
  <Override PartName="/xl/charts/chart251.xml" ContentType="application/vnd.openxmlformats-officedocument.drawingml.chart+xml"/>
  <Override PartName="/xl/worksheets/sheet23.xml" ContentType="application/vnd.openxmlformats-officedocument.spreadsheetml.worksheet+xml"/>
  <Override PartName="/xl/drawings/drawing38.xml" ContentType="application/vnd.openxmlformats-officedocument.drawing+xml"/>
  <Override PartName="/xl/charts/chart177.xml" ContentType="application/vnd.openxmlformats-officedocument.drawingml.chart+xml"/>
  <Override PartName="/xl/drawings/drawing49.xml" ContentType="application/vnd.openxmlformats-officedocument.drawing+xml"/>
  <Override PartName="/xl/charts/chart240.xml" ContentType="application/vnd.openxmlformats-officedocument.drawingml.char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charts/chart59.xml" ContentType="application/vnd.openxmlformats-officedocument.drawingml.chart+xml"/>
  <Override PartName="/xl/drawings/drawing27.xml" ContentType="application/vnd.openxmlformats-officedocument.drawing+xml"/>
  <Override PartName="/xl/charts/chart119.xml" ContentType="application/vnd.openxmlformats-officedocument.drawingml.chart+xml"/>
  <Override PartName="/xl/charts/chart166.xml" ContentType="application/vnd.openxmlformats-officedocument.drawingml.chart+xml"/>
  <Override PartName="/xl/charts/chart48.xml" ContentType="application/vnd.openxmlformats-officedocument.drawingml.chart+xml"/>
  <Override PartName="/xl/drawings/drawing16.xml" ContentType="application/vnd.openxmlformats-officedocument.drawing+xml"/>
  <Override PartName="/xl/charts/chart95.xml" ContentType="application/vnd.openxmlformats-officedocument.drawingml.chart+xml"/>
  <Override PartName="/xl/charts/chart108.xml" ContentType="application/vnd.openxmlformats-officedocument.drawingml.chart+xml"/>
  <Override PartName="/xl/charts/chart155.xml" ContentType="application/vnd.openxmlformats-officedocument.drawingml.chart+xml"/>
  <Override PartName="/xl/drawings/drawing63.xml" ContentType="application/vnd.openxmlformats-officedocument.drawing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37.xml" ContentType="application/vnd.openxmlformats-officedocument.drawingml.chart+xml"/>
  <Override PartName="/xl/charts/chart84.xml" ContentType="application/vnd.openxmlformats-officedocument.drawingml.chart+xml"/>
  <Override PartName="/xl/charts/chart133.xml" ContentType="application/vnd.openxmlformats-officedocument.drawingml.chart+xml"/>
  <Override PartName="/xl/charts/chart144.xml" ContentType="application/vnd.openxmlformats-officedocument.drawingml.chart+xml"/>
  <Override PartName="/xl/drawings/drawing41.xml" ContentType="application/vnd.openxmlformats-officedocument.drawing+xml"/>
  <Override PartName="/xl/charts/chart180.xml" ContentType="application/vnd.openxmlformats-officedocument.drawingml.chart+xml"/>
  <Override PartName="/xl/charts/chart191.xml" ContentType="application/vnd.openxmlformats-officedocument.drawingml.chart+xml"/>
  <Override PartName="/xl/drawings/drawing52.xml" ContentType="application/vnd.openxmlformats-officedocument.drawing+xml"/>
  <Override PartName="/xl/charts/chart26.xml" ContentType="application/vnd.openxmlformats-officedocument.drawingml.chart+xml"/>
  <Override PartName="/xl/charts/chart73.xml" ContentType="application/vnd.openxmlformats-officedocument.drawingml.chart+xml"/>
  <Override PartName="/xl/drawings/drawing30.xml" ContentType="application/vnd.openxmlformats-officedocument.drawing+xml"/>
  <Override PartName="/xl/charts/chart122.xml" ContentType="application/vnd.openxmlformats-officedocument.drawingml.chart+xml"/>
  <Override PartName="/xl/charts/chart209.xml" ContentType="application/vnd.openxmlformats-officedocument.drawingml.chart+xml"/>
  <Override PartName="/xl/charts/chart256.xml" ContentType="application/vnd.openxmlformats-officedocument.drawingml.char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charts/chart15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111.xml" ContentType="application/vnd.openxmlformats-officedocument.drawingml.chart+xml"/>
  <Override PartName="/xl/charts/chart245.xml" ContentType="application/vnd.openxmlformats-officedocument.drawingml.chart+xml"/>
  <Override PartName="/xl/worksheets/sheet17.xml" ContentType="application/vnd.openxmlformats-officedocument.spreadsheetml.worksheet+xml"/>
  <Override PartName="/xl/worksheets/sheet64.xml" ContentType="application/vnd.openxmlformats-officedocument.spreadsheetml.worksheet+xml"/>
  <Override PartName="/xl/charts/chart8.xml" ContentType="application/vnd.openxmlformats-officedocument.drawingml.chart+xml"/>
  <Override PartName="/xl/charts/chart40.xml" ContentType="application/vnd.openxmlformats-officedocument.drawingml.chart+xml"/>
  <Override PartName="/xl/charts/chart100.xml" ContentType="application/vnd.openxmlformats-officedocument.drawingml.chart+xml"/>
  <Override PartName="/xl/charts/chart234.xml" ContentType="application/vnd.openxmlformats-officedocument.drawingml.chart+xml"/>
  <Override PartName="/xl/worksheets/sheet53.xml" ContentType="application/vnd.openxmlformats-officedocument.spreadsheetml.worksheet+xml"/>
  <Override PartName="/xl/charts/chart223.xml" ContentType="application/vnd.openxmlformats-officedocument.drawingml.chart+xml"/>
  <Override PartName="/xl/worksheets/sheet42.xml" ContentType="application/vnd.openxmlformats-officedocument.spreadsheetml.worksheet+xml"/>
  <Override PartName="/xl/drawings/drawing6.xml" ContentType="application/vnd.openxmlformats-officedocument.drawing+xml"/>
  <Override PartName="/xl/charts/chart149.xml" ContentType="application/vnd.openxmlformats-officedocument.drawingml.chart+xml"/>
  <Override PartName="/xl/charts/chart196.xml" ContentType="application/vnd.openxmlformats-officedocument.drawingml.chart+xml"/>
  <Override PartName="/xl/charts/chart201.xml" ContentType="application/vnd.openxmlformats-officedocument.drawingml.chart+xml"/>
  <Override PartName="/xl/charts/chart212.xml" ContentType="application/vnd.openxmlformats-officedocument.drawingml.chart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charts/chart78.xml" ContentType="application/vnd.openxmlformats-officedocument.drawingml.chart+xml"/>
  <Override PartName="/xl/charts/chart89.xml" ContentType="application/vnd.openxmlformats-officedocument.drawingml.chart+xml"/>
  <Override PartName="/xl/charts/chart138.xml" ContentType="application/vnd.openxmlformats-officedocument.drawingml.chart+xml"/>
  <Override PartName="/xl/drawings/drawing46.xml" ContentType="application/vnd.openxmlformats-officedocument.drawing+xml"/>
  <Override PartName="/xl/charts/chart185.xml" ContentType="application/vnd.openxmlformats-officedocument.drawingml.chart+xml"/>
  <Override PartName="/xl/charts/chart67.xml" ContentType="application/vnd.openxmlformats-officedocument.drawingml.chart+xml"/>
  <Override PartName="/xl/charts/chart116.xml" ContentType="application/vnd.openxmlformats-officedocument.drawingml.chart+xml"/>
  <Override PartName="/xl/charts/chart127.xml" ContentType="application/vnd.openxmlformats-officedocument.drawingml.chart+xml"/>
  <Override PartName="/xl/drawings/drawing35.xml" ContentType="application/vnd.openxmlformats-officedocument.drawing+xml"/>
  <Override PartName="/xl/charts/chart163.xml" ContentType="application/vnd.openxmlformats-officedocument.drawingml.chart+xml"/>
  <Override PartName="/xl/charts/chart174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drawings/drawing24.xml" ContentType="application/vnd.openxmlformats-officedocument.drawing+xml"/>
  <Override PartName="/xl/charts/chart105.xml" ContentType="application/vnd.openxmlformats-officedocument.drawingml.chart+xml"/>
  <Override PartName="/xl/charts/chart152.xml" ContentType="application/vnd.openxmlformats-officedocument.drawingml.chart+xml"/>
  <Override PartName="/xl/drawings/drawing60.xml" ContentType="application/vnd.openxmlformats-officedocument.drawing+xml"/>
  <Override PartName="/docProps/custom.xml" ContentType="application/vnd.openxmlformats-officedocument.custom-properti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81.xml" ContentType="application/vnd.openxmlformats-officedocument.drawingml.chart+xml"/>
  <Override PartName="/xl/charts/chart92.xml" ContentType="application/vnd.openxmlformats-officedocument.drawingml.chart+xml"/>
  <Override PartName="/xl/charts/chart141.xml" ContentType="application/vnd.openxmlformats-officedocument.drawingml.chart+xml"/>
  <Override PartName="/xl/charts/chart228.xml" ContentType="application/vnd.openxmlformats-officedocument.drawingml.chart+xml"/>
  <Override PartName="/xl/charts/chart239.xml" ContentType="application/vnd.openxmlformats-officedocument.drawingml.char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70.xml" ContentType="application/vnd.openxmlformats-officedocument.drawingml.chart+xml"/>
  <Override PartName="/xl/charts/chart130.xml" ContentType="application/vnd.openxmlformats-officedocument.drawingml.chart+xml"/>
  <Override PartName="/xl/charts/chart217.xml" ContentType="application/vnd.openxmlformats-officedocument.drawingml.chart+xml"/>
  <Override PartName="/xl/charts/chart264.xml" ContentType="application/vnd.openxmlformats-officedocument.drawingml.chart+xml"/>
  <Override PartName="/xl/worksheets/sheet36.xml" ContentType="application/vnd.openxmlformats-officedocument.spreadsheetml.worksheet+xml"/>
  <Override PartName="/xl/charts/chart12.xml" ContentType="application/vnd.openxmlformats-officedocument.drawingml.chart+xml"/>
  <Override PartName="/xl/charts/chart206.xml" ContentType="application/vnd.openxmlformats-officedocument.drawingml.chart+xml"/>
  <Override PartName="/xl/charts/chart253.xml" ContentType="application/vnd.openxmlformats-officedocument.drawingml.chart+xml"/>
  <Override PartName="/xl/worksheets/sheet25.xml" ContentType="application/vnd.openxmlformats-officedocument.spreadsheetml.worksheet+xml"/>
  <Override PartName="/xl/charts/chart179.xml" ContentType="application/vnd.openxmlformats-officedocument.drawingml.chart+xml"/>
  <Override PartName="/xl/charts/chart231.xml" ContentType="application/vnd.openxmlformats-officedocument.drawingml.chart+xml"/>
  <Override PartName="/xl/charts/chart242.xml" ContentType="application/vnd.openxmlformats-officedocument.drawingml.chart+xml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charts/chart168.xml" ContentType="application/vnd.openxmlformats-officedocument.drawingml.chart+xml"/>
  <Override PartName="/xl/charts/chart220.xml" ContentType="application/vnd.openxmlformats-officedocument.drawingml.chart+xml"/>
  <Override PartName="/xl/drawings/drawing18.xml" ContentType="application/vnd.openxmlformats-officedocument.drawing+xml"/>
  <Override PartName="/xl/charts/chart97.xml" ContentType="application/vnd.openxmlformats-officedocument.drawingml.chart+xml"/>
  <Override PartName="/xl/charts/chart157.xml" ContentType="application/vnd.openxmlformats-officedocument.drawingml.chart+xml"/>
  <Override PartName="/xl/drawings/drawing6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86.xml" ContentType="application/vnd.openxmlformats-officedocument.drawingml.chart+xml"/>
  <Override PartName="/xl/charts/chart135.xml" ContentType="application/vnd.openxmlformats-officedocument.drawingml.chart+xml"/>
  <Override PartName="/xl/charts/chart146.xml" ContentType="application/vnd.openxmlformats-officedocument.drawingml.chart+xml"/>
  <Override PartName="/xl/drawings/drawing43.xml" ContentType="application/vnd.openxmlformats-officedocument.drawing+xml"/>
  <Override PartName="/xl/charts/chart182.xml" ContentType="application/vnd.openxmlformats-officedocument.drawingml.chart+xml"/>
  <Override PartName="/xl/charts/chart193.xml" ContentType="application/vnd.openxmlformats-officedocument.drawingml.chart+xml"/>
  <Override PartName="/xl/drawings/drawing54.xml" ContentType="application/vnd.openxmlformats-officedocument.drawing+xml"/>
  <Override PartName="/xl/charts/chart28.xml" ContentType="application/vnd.openxmlformats-officedocument.drawingml.chart+xml"/>
  <Override PartName="/xl/charts/chart75.xml" ContentType="application/vnd.openxmlformats-officedocument.drawingml.chart+xml"/>
  <Override PartName="/xl/charts/chart124.xml" ContentType="application/vnd.openxmlformats-officedocument.drawingml.chart+xml"/>
  <Override PartName="/xl/drawings/drawing32.xml" ContentType="application/vnd.openxmlformats-officedocument.drawing+xml"/>
  <Override PartName="/xl/charts/chart171.xml" ContentType="application/vnd.openxmlformats-officedocument.drawingml.chart+xml"/>
  <Override PartName="/xl/charts/chart17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21.xml" ContentType="application/vnd.openxmlformats-officedocument.drawing+xml"/>
  <Override PartName="/xl/charts/chart113.xml" ContentType="application/vnd.openxmlformats-officedocument.drawingml.chart+xml"/>
  <Override PartName="/xl/charts/chart160.xml" ContentType="application/vnd.openxmlformats-officedocument.drawingml.chart+xml"/>
  <Override PartName="/xl/charts/chart247.xml" ContentType="application/vnd.openxmlformats-officedocument.drawingml.chart+xml"/>
  <Override PartName="/xl/charts/chart258.xml" ContentType="application/vnd.openxmlformats-officedocument.drawingml.char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chart102.xml" ContentType="application/vnd.openxmlformats-officedocument.drawingml.chart+xml"/>
  <Override PartName="/xl/charts/chart236.xml" ContentType="application/vnd.openxmlformats-officedocument.drawingml.chart+xml"/>
  <Override PartName="/xl/worksheets/sheet55.xml" ContentType="application/vnd.openxmlformats-officedocument.spreadsheetml.worksheet+xml"/>
  <Override PartName="/xl/charts/chart31.xml" ContentType="application/vnd.openxmlformats-officedocument.drawingml.chart+xml"/>
  <Override PartName="/xl/charts/chart225.xml" ContentType="application/vnd.openxmlformats-officedocument.drawingml.char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charts/chart20.xml" ContentType="application/vnd.openxmlformats-officedocument.drawingml.chart+xml"/>
  <Override PartName="/xl/charts/chart198.xml" ContentType="application/vnd.openxmlformats-officedocument.drawingml.chart+xml"/>
  <Override PartName="/xl/charts/chart203.xml" ContentType="application/vnd.openxmlformats-officedocument.drawingml.chart+xml"/>
  <Override PartName="/xl/charts/chart214.xml" ContentType="application/vnd.openxmlformats-officedocument.drawingml.chart+xml"/>
  <Override PartName="/xl/drawings/drawing59.xml" ContentType="application/vnd.openxmlformats-officedocument.drawing+xml"/>
  <Override PartName="/xl/charts/chart250.xml" ContentType="application/vnd.openxmlformats-officedocument.drawingml.chart+xml"/>
  <Override PartName="/xl/charts/chart261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charts/chart187.xml" ContentType="application/vnd.openxmlformats-officedocument.drawingml.chart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charts/chart69.xml" ContentType="application/vnd.openxmlformats-officedocument.drawingml.chart+xml"/>
  <Override PartName="/xl/charts/chart118.xml" ContentType="application/vnd.openxmlformats-officedocument.drawingml.chart+xml"/>
  <Override PartName="/xl/charts/chart129.xml" ContentType="application/vnd.openxmlformats-officedocument.drawingml.chart+xml"/>
  <Override PartName="/xl/drawings/drawing37.xml" ContentType="application/vnd.openxmlformats-officedocument.drawing+xml"/>
  <Override PartName="/xl/charts/chart165.xml" ContentType="application/vnd.openxmlformats-officedocument.drawingml.chart+xml"/>
  <Override PartName="/xl/charts/chart176.xml" ContentType="application/vnd.openxmlformats-officedocument.drawingml.chart+xml"/>
  <Default Extension="rels" ContentType="application/vnd.openxmlformats-package.relationships+xml"/>
  <Override PartName="/xl/drawings/drawing15.xml" ContentType="application/vnd.openxmlformats-officedocument.drawing+xml"/>
  <Override PartName="/xl/charts/chart58.xml" ContentType="application/vnd.openxmlformats-officedocument.drawingml.chart+xml"/>
  <Override PartName="/xl/drawings/drawing26.xml" ContentType="application/vnd.openxmlformats-officedocument.drawing+xml"/>
  <Override PartName="/xl/charts/chart107.xml" ContentType="application/vnd.openxmlformats-officedocument.drawingml.chart+xml"/>
  <Override PartName="/xl/charts/chart154.xml" ContentType="application/vnd.openxmlformats-officedocument.drawingml.chart+xml"/>
  <Override PartName="/xl/drawings/drawing62.xml" ContentType="application/vnd.openxmlformats-officedocument.drawing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83.xml" ContentType="application/vnd.openxmlformats-officedocument.drawingml.chart+xml"/>
  <Override PartName="/xl/charts/chart94.xml" ContentType="application/vnd.openxmlformats-officedocument.drawingml.chart+xml"/>
  <Override PartName="/xl/charts/chart143.xml" ContentType="application/vnd.openxmlformats-officedocument.drawingml.chart+xml"/>
  <Override PartName="/xl/charts/chart190.xml" ContentType="application/vnd.openxmlformats-officedocument.drawingml.chart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charts/chart25.xml" ContentType="application/vnd.openxmlformats-officedocument.drawingml.chart+xml"/>
  <Override PartName="/xl/charts/chart72.xml" ContentType="application/vnd.openxmlformats-officedocument.drawingml.chart+xml"/>
  <Override PartName="/xl/charts/chart132.xml" ContentType="application/vnd.openxmlformats-officedocument.drawingml.chart+xml"/>
  <Override PartName="/xl/drawings/drawing40.xml" ContentType="application/vnd.openxmlformats-officedocument.drawing+xml"/>
  <Override PartName="/xl/charts/chart219.xml" ContentType="application/vnd.openxmlformats-officedocument.drawingml.chart+xml"/>
  <Override PartName="/xl/worksheets/sheet38.xml" ContentType="application/vnd.openxmlformats-officedocument.spreadsheetml.worksheet+xml"/>
  <Override PartName="/xl/charts/chart14.xml" ContentType="application/vnd.openxmlformats-officedocument.drawingml.chart+xml"/>
  <Override PartName="/xl/charts/chart61.xml" ContentType="application/vnd.openxmlformats-officedocument.drawingml.chart+xml"/>
  <Override PartName="/xl/charts/chart110.xml" ContentType="application/vnd.openxmlformats-officedocument.drawingml.chart+xml"/>
  <Override PartName="/xl/charts/chart121.xml" ContentType="application/vnd.openxmlformats-officedocument.drawingml.chart+xml"/>
  <Override PartName="/xl/charts/chart208.xml" ContentType="application/vnd.openxmlformats-officedocument.drawingml.chart+xml"/>
  <Override PartName="/xl/charts/chart255.xml" ContentType="application/vnd.openxmlformats-officedocument.drawingml.chart+xml"/>
  <Override PartName="/xl/worksheets/sheet27.xml" ContentType="application/vnd.openxmlformats-officedocument.spreadsheetml.worksheet+xml"/>
  <Override PartName="/xl/charts/chart50.xml" ContentType="application/vnd.openxmlformats-officedocument.drawingml.chart+xml"/>
  <Override PartName="/xl/charts/chart233.xml" ContentType="application/vnd.openxmlformats-officedocument.drawingml.chart+xml"/>
  <Override PartName="/xl/charts/chart244.xml" ContentType="application/vnd.openxmlformats-officedocument.drawingml.chart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charts/chart7.xml" ContentType="application/vnd.openxmlformats-officedocument.drawingml.chart+xml"/>
  <Override PartName="/xl/charts/chart222.xml" ContentType="application/vnd.openxmlformats-officedocument.drawingml.chart+xml"/>
  <Override PartName="/xl/worksheets/sheet41.xml" ContentType="application/vnd.openxmlformats-officedocument.spreadsheetml.worksheet+xml"/>
  <Override PartName="/xl/charts/chart99.xml" ContentType="application/vnd.openxmlformats-officedocument.drawingml.chart+xml"/>
  <Override PartName="/xl/charts/chart159.xml" ContentType="application/vnd.openxmlformats-officedocument.drawingml.chart+xml"/>
  <Override PartName="/xl/charts/chart211.xml" ContentType="application/vnd.openxmlformats-officedocument.drawingml.char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charts/chart88.xml" ContentType="application/vnd.openxmlformats-officedocument.drawingml.chart+xml"/>
  <Override PartName="/xl/charts/chart137.xml" ContentType="application/vnd.openxmlformats-officedocument.drawingml.chart+xml"/>
  <Override PartName="/xl/charts/chart148.xml" ContentType="application/vnd.openxmlformats-officedocument.drawingml.chart+xml"/>
  <Override PartName="/xl/drawings/drawing45.xml" ContentType="application/vnd.openxmlformats-officedocument.drawing+xml"/>
  <Override PartName="/xl/charts/chart184.xml" ContentType="application/vnd.openxmlformats-officedocument.drawingml.chart+xml"/>
  <Override PartName="/xl/charts/chart195.xml" ContentType="application/vnd.openxmlformats-officedocument.drawingml.chart+xml"/>
  <Override PartName="/xl/charts/chart200.xml" ContentType="application/vnd.openxmlformats-officedocument.drawingml.chart+xml"/>
  <Override PartName="/xl/drawings/drawing56.xml" ContentType="application/vnd.openxmlformats-officedocument.drawing+xml"/>
  <Override PartName="/xl/charts/chart77.xml" ContentType="application/vnd.openxmlformats-officedocument.drawingml.chart+xml"/>
  <Override PartName="/xl/charts/chart126.xml" ContentType="application/vnd.openxmlformats-officedocument.drawingml.chart+xml"/>
  <Override PartName="/xl/drawings/drawing34.xml" ContentType="application/vnd.openxmlformats-officedocument.drawing+xml"/>
  <Override PartName="/xl/charts/chart173.xml" ContentType="application/vnd.openxmlformats-officedocument.drawingml.chart+xml"/>
  <Override PartName="/xl/charts/chart19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drawings/drawing23.xml" ContentType="application/vnd.openxmlformats-officedocument.drawing+xml"/>
  <Override PartName="/xl/charts/chart115.xml" ContentType="application/vnd.openxmlformats-officedocument.drawingml.chart+xml"/>
  <Override PartName="/xl/charts/chart162.xml" ContentType="application/vnd.openxmlformats-officedocument.drawingml.chart+xml"/>
  <Override PartName="/xl/charts/chart249.xml" ContentType="application/vnd.openxmlformats-officedocument.drawingml.chart+xml"/>
  <Override PartName="/xl/charts/chart44.xml" ContentType="application/vnd.openxmlformats-officedocument.drawingml.chart+xml"/>
  <Override PartName="/xl/drawings/drawing12.xml" ContentType="application/vnd.openxmlformats-officedocument.drawing+xml"/>
  <Override PartName="/xl/charts/chart91.xml" ContentType="application/vnd.openxmlformats-officedocument.drawingml.chart+xml"/>
  <Override PartName="/xl/charts/chart104.xml" ContentType="application/vnd.openxmlformats-officedocument.drawingml.chart+xml"/>
  <Override PartName="/xl/charts/chart140.xml" ContentType="application/vnd.openxmlformats-officedocument.drawingml.chart+xml"/>
  <Override PartName="/xl/charts/chart151.xml" ContentType="application/vnd.openxmlformats-officedocument.drawingml.chart+xml"/>
  <Override PartName="/xl/charts/chart238.xml" ContentType="application/vnd.openxmlformats-officedocument.drawingml.chart+xml"/>
  <Override PartName="/xl/worksheets/sheet57.xml" ContentType="application/vnd.openxmlformats-officedocument.spreadsheetml.worksheet+xml"/>
  <Override PartName="/xl/charts/chart33.xml" ContentType="application/vnd.openxmlformats-officedocument.drawingml.chart+xml"/>
  <Override PartName="/xl/charts/chart80.xml" ContentType="application/vnd.openxmlformats-officedocument.drawingml.chart+xml"/>
  <Override PartName="/xl/charts/chart227.xml" ContentType="application/vnd.openxmlformats-officedocument.drawingml.chart+xml"/>
  <Override PartName="/xl/worksheets/sheet46.xml" ContentType="application/vnd.openxmlformats-officedocument.spreadsheetml.workshee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205.xml" ContentType="application/vnd.openxmlformats-officedocument.drawingml.chart+xml"/>
  <Override PartName="/xl/charts/chart216.xml" ContentType="application/vnd.openxmlformats-officedocument.drawingml.chart+xml"/>
  <Override PartName="/xl/charts/chart252.xml" ContentType="application/vnd.openxmlformats-officedocument.drawingml.chart+xml"/>
  <Override PartName="/xl/charts/chart263.xml" ContentType="application/vnd.openxmlformats-officedocument.drawingml.chart+xml"/>
  <Override PartName="/xl/worksheets/sheet24.xml" ContentType="application/vnd.openxmlformats-officedocument.spreadsheetml.worksheet+xml"/>
  <Override PartName="/xl/charts/chart241.xml" ContentType="application/vnd.openxmlformats-officedocument.drawingml.chart+xml"/>
  <Override PartName="/xl/charts/chart178.xml" ContentType="application/vnd.openxmlformats-officedocument.drawingml.chart+xml"/>
  <Override PartName="/xl/drawings/drawing28.xml" ContentType="application/vnd.openxmlformats-officedocument.drawing+xml"/>
  <Override PartName="/xl/charts/chart109.xml" ContentType="application/vnd.openxmlformats-officedocument.drawingml.chart+xml"/>
  <Override PartName="/xl/charts/chart156.xml" ContentType="application/vnd.openxmlformats-officedocument.drawingml.chart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96.xml" ContentType="application/vnd.openxmlformats-officedocument.drawingml.chart+xml"/>
  <Override PartName="/xl/drawings/drawing5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0730" windowHeight="9840" firstSheet="58" activeTab="65"/>
  </bookViews>
  <sheets>
    <sheet name="zk79+045" sheetId="1" r:id="rId1"/>
    <sheet name="zk79+079" sheetId="2" r:id="rId2"/>
    <sheet name="zk79+110" sheetId="3" r:id="rId3"/>
    <sheet name="zk79+140" sheetId="4" r:id="rId4"/>
    <sheet name="zk79+148" sheetId="5" r:id="rId5"/>
    <sheet name="zk79+160" sheetId="6" r:id="rId6"/>
    <sheet name="zk79+174" sheetId="7" r:id="rId7"/>
    <sheet name="zk79+187" sheetId="8" r:id="rId8"/>
    <sheet name="zk79+202" sheetId="9" r:id="rId9"/>
    <sheet name="zk79+215" sheetId="10" r:id="rId10"/>
    <sheet name="zk79+225" sheetId="11" r:id="rId11"/>
    <sheet name="zk79+238" sheetId="12" r:id="rId12"/>
    <sheet name="zk79+251" sheetId="13" r:id="rId13"/>
    <sheet name="zk79+277" sheetId="14" r:id="rId14"/>
    <sheet name="zk79+300" sheetId="15" r:id="rId15"/>
    <sheet name="zk79+325" sheetId="16" r:id="rId16"/>
    <sheet name="zk79+360" sheetId="17" r:id="rId17"/>
    <sheet name="zk79+378" sheetId="18" r:id="rId18"/>
    <sheet name="zk79+406" sheetId="19" r:id="rId19"/>
    <sheet name="zk79+433" sheetId="20" r:id="rId20"/>
    <sheet name="zk79+466" sheetId="21" r:id="rId21"/>
    <sheet name="zk79+500" sheetId="22" r:id="rId22"/>
    <sheet name="zk79+540" sheetId="23" r:id="rId23"/>
    <sheet name="zk79+565" sheetId="24" r:id="rId24"/>
    <sheet name="zk79+593" sheetId="25" r:id="rId25"/>
    <sheet name="zk79+631" sheetId="26" r:id="rId26"/>
    <sheet name="zk79+657" sheetId="27" r:id="rId27"/>
    <sheet name="zk79+679" sheetId="28" r:id="rId28"/>
    <sheet name="zk79+719" sheetId="29" r:id="rId29"/>
    <sheet name="zk79+762" sheetId="30" r:id="rId30"/>
    <sheet name="zk79+785" sheetId="31" r:id="rId31"/>
    <sheet name="zk79+819" sheetId="32" r:id="rId32"/>
    <sheet name="zk79+839" sheetId="33" r:id="rId33"/>
    <sheet name="zk79+870" sheetId="34" r:id="rId34"/>
    <sheet name="zk79+896" sheetId="35" r:id="rId35"/>
    <sheet name="zk79+926" sheetId="36" r:id="rId36"/>
    <sheet name="zk79+954" sheetId="37" r:id="rId37"/>
    <sheet name="zk79+991" sheetId="38" r:id="rId38"/>
    <sheet name="zk80+029" sheetId="39" r:id="rId39"/>
    <sheet name="zk80+060" sheetId="40" r:id="rId40"/>
    <sheet name="zk80+096" sheetId="41" r:id="rId41"/>
    <sheet name="zk80+134" sheetId="42" r:id="rId42"/>
    <sheet name="zk80+162" sheetId="43" r:id="rId43"/>
    <sheet name="zk80+200" sheetId="44" r:id="rId44"/>
    <sheet name="zk80+235" sheetId="45" r:id="rId45"/>
    <sheet name="zk80+275" sheetId="46" r:id="rId46"/>
    <sheet name="zk80+313" sheetId="47" r:id="rId47"/>
    <sheet name="zk80+347" sheetId="49" r:id="rId48"/>
    <sheet name="zk80+371" sheetId="50" r:id="rId49"/>
    <sheet name="zk80+406" sheetId="51" r:id="rId50"/>
    <sheet name="zk80+422" sheetId="52" r:id="rId51"/>
    <sheet name="zk80+451" sheetId="53" r:id="rId52"/>
    <sheet name="zk80+481" sheetId="54" r:id="rId53"/>
    <sheet name="zk80+516" sheetId="55" r:id="rId54"/>
    <sheet name="zk80+538" sheetId="56" r:id="rId55"/>
    <sheet name="zk80+565" sheetId="57" r:id="rId56"/>
    <sheet name="zk80+592" sheetId="58" r:id="rId57"/>
    <sheet name="zk80+620" sheetId="59" r:id="rId58"/>
    <sheet name="zk80+635" sheetId="60" r:id="rId59"/>
    <sheet name="zk80+651" sheetId="61" r:id="rId60"/>
    <sheet name="zk80+690" sheetId="62" r:id="rId61"/>
    <sheet name="zk80+720" sheetId="63" r:id="rId62"/>
    <sheet name="zk80+764" sheetId="64" r:id="rId63"/>
    <sheet name="zk80+793" sheetId="65" r:id="rId64"/>
    <sheet name="zk80+826" sheetId="66" r:id="rId65"/>
    <sheet name="zk80+860" sheetId="67" r:id="rId66"/>
  </sheets>
  <calcPr calcId="125725"/>
</workbook>
</file>

<file path=xl/calcChain.xml><?xml version="1.0" encoding="utf-8"?>
<calcChain xmlns="http://schemas.openxmlformats.org/spreadsheetml/2006/main">
  <c r="K28" i="67"/>
  <c r="E28"/>
  <c r="AA28"/>
  <c r="Z28"/>
  <c r="Y28"/>
  <c r="X28"/>
  <c r="W28"/>
  <c r="V28"/>
  <c r="U28"/>
  <c r="H28"/>
  <c r="AA28" i="66"/>
  <c r="W28"/>
  <c r="V28"/>
  <c r="Z28"/>
  <c r="Y28"/>
  <c r="AA28" i="65"/>
  <c r="V28"/>
  <c r="Y28"/>
  <c r="K27" i="64"/>
  <c r="G27"/>
  <c r="F27"/>
  <c r="E27"/>
  <c r="AA27"/>
  <c r="W27"/>
  <c r="V27"/>
  <c r="U27"/>
  <c r="Z27"/>
  <c r="Y27"/>
  <c r="X27"/>
  <c r="J27"/>
  <c r="I27"/>
  <c r="H27"/>
  <c r="AG27" i="67"/>
  <c r="AE27"/>
  <c r="AD27"/>
  <c r="AC27"/>
  <c r="AA27"/>
  <c r="Z27"/>
  <c r="Y27"/>
  <c r="W27"/>
  <c r="V27"/>
  <c r="U27"/>
  <c r="S27"/>
  <c r="N27"/>
  <c r="I27"/>
  <c r="G27"/>
  <c r="F27"/>
  <c r="E27"/>
  <c r="D27"/>
  <c r="AG26"/>
  <c r="AE26"/>
  <c r="AD26"/>
  <c r="AC26"/>
  <c r="AA26"/>
  <c r="Z26"/>
  <c r="Y26"/>
  <c r="W26"/>
  <c r="V26"/>
  <c r="U26"/>
  <c r="S26"/>
  <c r="N26"/>
  <c r="O27" s="1"/>
  <c r="Q27" s="1"/>
  <c r="I26"/>
  <c r="J27" s="1"/>
  <c r="L27" s="1"/>
  <c r="G26"/>
  <c r="F26"/>
  <c r="E26"/>
  <c r="D26"/>
  <c r="AG25"/>
  <c r="AE25"/>
  <c r="AD25"/>
  <c r="AC25"/>
  <c r="AA25"/>
  <c r="Z25"/>
  <c r="Y25"/>
  <c r="W25"/>
  <c r="V25"/>
  <c r="U25"/>
  <c r="S25"/>
  <c r="N25"/>
  <c r="O25" s="1"/>
  <c r="Q25" s="1"/>
  <c r="I25"/>
  <c r="J26" s="1"/>
  <c r="L26" s="1"/>
  <c r="G25"/>
  <c r="F25"/>
  <c r="E25"/>
  <c r="D25"/>
  <c r="AG24"/>
  <c r="AE24"/>
  <c r="AD24"/>
  <c r="AC24"/>
  <c r="AA24"/>
  <c r="Z24"/>
  <c r="Y24"/>
  <c r="W24"/>
  <c r="V24"/>
  <c r="U24"/>
  <c r="S24"/>
  <c r="N24"/>
  <c r="J24"/>
  <c r="L24" s="1"/>
  <c r="I24"/>
  <c r="G24"/>
  <c r="F24"/>
  <c r="E24"/>
  <c r="D24"/>
  <c r="AG23"/>
  <c r="AE23"/>
  <c r="AD23"/>
  <c r="AC23"/>
  <c r="AA23"/>
  <c r="Z23"/>
  <c r="Y23"/>
  <c r="W23"/>
  <c r="V23"/>
  <c r="U23"/>
  <c r="S23"/>
  <c r="N23"/>
  <c r="O24" s="1"/>
  <c r="Q24" s="1"/>
  <c r="I23"/>
  <c r="J23" s="1"/>
  <c r="L23" s="1"/>
  <c r="G23"/>
  <c r="F23"/>
  <c r="E23"/>
  <c r="D23"/>
  <c r="AG22"/>
  <c r="AE22"/>
  <c r="AD22"/>
  <c r="AC22"/>
  <c r="AA22"/>
  <c r="Z22"/>
  <c r="Y22"/>
  <c r="W22"/>
  <c r="V22"/>
  <c r="U22"/>
  <c r="S22"/>
  <c r="N22"/>
  <c r="L22"/>
  <c r="J22"/>
  <c r="I22"/>
  <c r="G22"/>
  <c r="F22"/>
  <c r="E22"/>
  <c r="D22"/>
  <c r="AG21"/>
  <c r="AE21"/>
  <c r="AD21"/>
  <c r="AC21"/>
  <c r="AA21"/>
  <c r="Z21"/>
  <c r="Y21"/>
  <c r="W21"/>
  <c r="V21"/>
  <c r="U21"/>
  <c r="S21"/>
  <c r="O21"/>
  <c r="Q21" s="1"/>
  <c r="N21"/>
  <c r="O22" s="1"/>
  <c r="Q22" s="1"/>
  <c r="I21"/>
  <c r="G21"/>
  <c r="F21"/>
  <c r="E21"/>
  <c r="D21"/>
  <c r="AG20"/>
  <c r="AE20"/>
  <c r="AD20"/>
  <c r="AC20"/>
  <c r="AA20"/>
  <c r="Z20"/>
  <c r="Y20"/>
  <c r="W20"/>
  <c r="V20"/>
  <c r="U20"/>
  <c r="S20"/>
  <c r="Q20"/>
  <c r="O20"/>
  <c r="N20"/>
  <c r="I20"/>
  <c r="J20" s="1"/>
  <c r="L20" s="1"/>
  <c r="G20"/>
  <c r="F20"/>
  <c r="E20"/>
  <c r="D20"/>
  <c r="AG19"/>
  <c r="AE19"/>
  <c r="AD19"/>
  <c r="AC19"/>
  <c r="AA19"/>
  <c r="Z19"/>
  <c r="Y19"/>
  <c r="W19"/>
  <c r="V19"/>
  <c r="U19"/>
  <c r="S19"/>
  <c r="Q19"/>
  <c r="O19"/>
  <c r="N19"/>
  <c r="I19"/>
  <c r="G19"/>
  <c r="F19"/>
  <c r="E19"/>
  <c r="D19"/>
  <c r="AG18"/>
  <c r="AE18"/>
  <c r="AD18"/>
  <c r="AC18"/>
  <c r="AA18"/>
  <c r="Z18"/>
  <c r="Y18"/>
  <c r="W18"/>
  <c r="V18"/>
  <c r="U18"/>
  <c r="S18"/>
  <c r="Q18"/>
  <c r="O18"/>
  <c r="N18"/>
  <c r="I18"/>
  <c r="J19" s="1"/>
  <c r="L19" s="1"/>
  <c r="G18"/>
  <c r="F18"/>
  <c r="E18"/>
  <c r="D18"/>
  <c r="AG17"/>
  <c r="AE17"/>
  <c r="AD17"/>
  <c r="AC17"/>
  <c r="AA17"/>
  <c r="Z17"/>
  <c r="Y17"/>
  <c r="W17"/>
  <c r="V17"/>
  <c r="U17"/>
  <c r="S17"/>
  <c r="Q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N9"/>
  <c r="O10" s="1"/>
  <c r="Q10" s="1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7" i="66"/>
  <c r="AE27"/>
  <c r="AD27"/>
  <c r="AC27"/>
  <c r="AA27"/>
  <c r="Z27"/>
  <c r="Y27"/>
  <c r="W27"/>
  <c r="U27"/>
  <c r="S27"/>
  <c r="Q27"/>
  <c r="O27"/>
  <c r="N27"/>
  <c r="I27"/>
  <c r="G27"/>
  <c r="E27"/>
  <c r="D27"/>
  <c r="AG26"/>
  <c r="AE26"/>
  <c r="AD26"/>
  <c r="AC26"/>
  <c r="AA26"/>
  <c r="Z26"/>
  <c r="Y26"/>
  <c r="U26"/>
  <c r="W26" s="1"/>
  <c r="S26"/>
  <c r="Q26"/>
  <c r="O26"/>
  <c r="N26"/>
  <c r="I26"/>
  <c r="J26" s="1"/>
  <c r="L26" s="1"/>
  <c r="G26"/>
  <c r="E26"/>
  <c r="D26"/>
  <c r="AG25"/>
  <c r="AE25"/>
  <c r="AD25"/>
  <c r="AC25"/>
  <c r="AA25"/>
  <c r="Z25"/>
  <c r="Y25"/>
  <c r="U25"/>
  <c r="W25" s="1"/>
  <c r="S25"/>
  <c r="Q25"/>
  <c r="O25"/>
  <c r="N25"/>
  <c r="J25"/>
  <c r="L25" s="1"/>
  <c r="I25"/>
  <c r="D25"/>
  <c r="AG24"/>
  <c r="AE24"/>
  <c r="AD24"/>
  <c r="AC24"/>
  <c r="AA24"/>
  <c r="Z24"/>
  <c r="Y24"/>
  <c r="U24"/>
  <c r="W24" s="1"/>
  <c r="S24"/>
  <c r="Q24"/>
  <c r="O24"/>
  <c r="N24"/>
  <c r="I24"/>
  <c r="D24"/>
  <c r="E25" s="1"/>
  <c r="G25" s="1"/>
  <c r="AG23"/>
  <c r="AE23"/>
  <c r="AD23"/>
  <c r="AC23"/>
  <c r="AA23"/>
  <c r="Z23"/>
  <c r="Y23"/>
  <c r="U23"/>
  <c r="W23" s="1"/>
  <c r="S23"/>
  <c r="Q23"/>
  <c r="O23"/>
  <c r="N23"/>
  <c r="I23"/>
  <c r="D23"/>
  <c r="E24" s="1"/>
  <c r="G24" s="1"/>
  <c r="AG22"/>
  <c r="AE22"/>
  <c r="AD22"/>
  <c r="AC22"/>
  <c r="AA22"/>
  <c r="Z22"/>
  <c r="Y22"/>
  <c r="U22"/>
  <c r="W22" s="1"/>
  <c r="S22"/>
  <c r="Q22"/>
  <c r="O22"/>
  <c r="N22"/>
  <c r="L22"/>
  <c r="K22"/>
  <c r="J22"/>
  <c r="I22"/>
  <c r="E22"/>
  <c r="G22" s="1"/>
  <c r="D22"/>
  <c r="AG21"/>
  <c r="AE21"/>
  <c r="AD21"/>
  <c r="AC21"/>
  <c r="AA21"/>
  <c r="Z21"/>
  <c r="Y21"/>
  <c r="U21"/>
  <c r="W21" s="1"/>
  <c r="S21"/>
  <c r="Q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U20"/>
  <c r="S20"/>
  <c r="Q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U19"/>
  <c r="S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V19" s="1"/>
  <c r="V20" s="1"/>
  <c r="U18"/>
  <c r="S18"/>
  <c r="N18"/>
  <c r="O19" s="1"/>
  <c r="Q19" s="1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7" i="65"/>
  <c r="AC27"/>
  <c r="AE27" s="1"/>
  <c r="AA27"/>
  <c r="Z27"/>
  <c r="Y27"/>
  <c r="W27"/>
  <c r="U27"/>
  <c r="S27"/>
  <c r="N27"/>
  <c r="L27"/>
  <c r="J27"/>
  <c r="I27"/>
  <c r="D27"/>
  <c r="E27" s="1"/>
  <c r="G27" s="1"/>
  <c r="AG26"/>
  <c r="AE26"/>
  <c r="AC26"/>
  <c r="AA26"/>
  <c r="Z26"/>
  <c r="Y26"/>
  <c r="W26"/>
  <c r="U26"/>
  <c r="S26"/>
  <c r="N26"/>
  <c r="O27" s="1"/>
  <c r="Q27" s="1"/>
  <c r="L26"/>
  <c r="J26"/>
  <c r="I26"/>
  <c r="D26"/>
  <c r="AG25"/>
  <c r="AE25"/>
  <c r="AC25"/>
  <c r="AA25"/>
  <c r="Z25"/>
  <c r="Y25"/>
  <c r="W25"/>
  <c r="U25"/>
  <c r="S25"/>
  <c r="N25"/>
  <c r="O25" s="1"/>
  <c r="Q25" s="1"/>
  <c r="L25"/>
  <c r="J25"/>
  <c r="I25"/>
  <c r="D25"/>
  <c r="E26" s="1"/>
  <c r="G26" s="1"/>
  <c r="AG24"/>
  <c r="AE24"/>
  <c r="AC24"/>
  <c r="AA24"/>
  <c r="Z24"/>
  <c r="Y24"/>
  <c r="W24"/>
  <c r="U24"/>
  <c r="S24"/>
  <c r="N24"/>
  <c r="L24"/>
  <c r="J24"/>
  <c r="I24"/>
  <c r="E24"/>
  <c r="G24" s="1"/>
  <c r="D24"/>
  <c r="AG23"/>
  <c r="AC23"/>
  <c r="AE23" s="1"/>
  <c r="AA23"/>
  <c r="Z23"/>
  <c r="Y23"/>
  <c r="W23"/>
  <c r="U23"/>
  <c r="S23"/>
  <c r="N23"/>
  <c r="O24" s="1"/>
  <c r="Q24" s="1"/>
  <c r="L23"/>
  <c r="J23"/>
  <c r="I23"/>
  <c r="G23"/>
  <c r="E23"/>
  <c r="D23"/>
  <c r="AG22"/>
  <c r="AC22"/>
  <c r="AE22" s="1"/>
  <c r="AA22"/>
  <c r="Z22"/>
  <c r="Y22"/>
  <c r="W22"/>
  <c r="U22"/>
  <c r="S22"/>
  <c r="N22"/>
  <c r="I22"/>
  <c r="D22"/>
  <c r="AG21"/>
  <c r="AC21"/>
  <c r="AE21" s="1"/>
  <c r="AA21"/>
  <c r="Z21"/>
  <c r="Y21"/>
  <c r="U21"/>
  <c r="W21" s="1"/>
  <c r="S21"/>
  <c r="N21"/>
  <c r="O22" s="1"/>
  <c r="Q22" s="1"/>
  <c r="I21"/>
  <c r="J22" s="1"/>
  <c r="L22" s="1"/>
  <c r="D21"/>
  <c r="E22" s="1"/>
  <c r="G22" s="1"/>
  <c r="AG20"/>
  <c r="AE20"/>
  <c r="AC20"/>
  <c r="AA20"/>
  <c r="Z20"/>
  <c r="Y20"/>
  <c r="W20"/>
  <c r="U20"/>
  <c r="S20"/>
  <c r="N20"/>
  <c r="O20" s="1"/>
  <c r="I20"/>
  <c r="J21" s="1"/>
  <c r="L21" s="1"/>
  <c r="G20"/>
  <c r="F20"/>
  <c r="E20"/>
  <c r="D20"/>
  <c r="AG19"/>
  <c r="AC19"/>
  <c r="AE19" s="1"/>
  <c r="AA19"/>
  <c r="Z19"/>
  <c r="Y19"/>
  <c r="W19"/>
  <c r="U19"/>
  <c r="S19"/>
  <c r="Q19"/>
  <c r="P19"/>
  <c r="O19"/>
  <c r="N19"/>
  <c r="I19"/>
  <c r="G19"/>
  <c r="F19"/>
  <c r="E19"/>
  <c r="D19"/>
  <c r="AG18"/>
  <c r="AE18"/>
  <c r="AC18"/>
  <c r="AD18" s="1"/>
  <c r="AD19" s="1"/>
  <c r="AD20" s="1"/>
  <c r="AA18"/>
  <c r="Z18"/>
  <c r="Y18"/>
  <c r="U18"/>
  <c r="W18" s="1"/>
  <c r="S18"/>
  <c r="Q18"/>
  <c r="P18"/>
  <c r="O18"/>
  <c r="N18"/>
  <c r="I18"/>
  <c r="J19" s="1"/>
  <c r="L19" s="1"/>
  <c r="G18"/>
  <c r="F18"/>
  <c r="E18"/>
  <c r="D18"/>
  <c r="AG17"/>
  <c r="AE17"/>
  <c r="AD17"/>
  <c r="AC17"/>
  <c r="AA17"/>
  <c r="Z17"/>
  <c r="Y17"/>
  <c r="U17"/>
  <c r="V17" s="1"/>
  <c r="S17"/>
  <c r="Q17"/>
  <c r="P17"/>
  <c r="O17"/>
  <c r="N17"/>
  <c r="I17"/>
  <c r="J17" s="1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6" i="64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63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1" i="62"/>
  <c r="Z31"/>
  <c r="Y31"/>
  <c r="X31"/>
  <c r="W31"/>
  <c r="V31"/>
  <c r="U31"/>
  <c r="K31"/>
  <c r="J31"/>
  <c r="I31"/>
  <c r="H31"/>
  <c r="G31"/>
  <c r="F31"/>
  <c r="E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6" i="61"/>
  <c r="Z36"/>
  <c r="Y36"/>
  <c r="X36"/>
  <c r="W36"/>
  <c r="V36"/>
  <c r="U36"/>
  <c r="K36"/>
  <c r="J36"/>
  <c r="I36"/>
  <c r="H36"/>
  <c r="G36"/>
  <c r="F36"/>
  <c r="E36"/>
  <c r="AG35"/>
  <c r="AE35"/>
  <c r="AD35"/>
  <c r="AC35"/>
  <c r="AA35"/>
  <c r="Z35"/>
  <c r="Y35"/>
  <c r="W35"/>
  <c r="V35"/>
  <c r="U35"/>
  <c r="S35"/>
  <c r="Q35"/>
  <c r="P35"/>
  <c r="O35"/>
  <c r="N35"/>
  <c r="L35"/>
  <c r="K35"/>
  <c r="J35"/>
  <c r="I35"/>
  <c r="G35"/>
  <c r="F35"/>
  <c r="E35"/>
  <c r="D35"/>
  <c r="AG34"/>
  <c r="AE34"/>
  <c r="AD34"/>
  <c r="AC34"/>
  <c r="AA34"/>
  <c r="Z34"/>
  <c r="Y34"/>
  <c r="W34"/>
  <c r="V34"/>
  <c r="U34"/>
  <c r="S34"/>
  <c r="Q34"/>
  <c r="P34"/>
  <c r="O34"/>
  <c r="N34"/>
  <c r="L34"/>
  <c r="K34"/>
  <c r="J34"/>
  <c r="I34"/>
  <c r="G34"/>
  <c r="F34"/>
  <c r="E34"/>
  <c r="D34"/>
  <c r="AG33"/>
  <c r="AE33"/>
  <c r="AD33"/>
  <c r="AC33"/>
  <c r="AA33"/>
  <c r="Z33"/>
  <c r="Y33"/>
  <c r="W33"/>
  <c r="V33"/>
  <c r="U33"/>
  <c r="S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8" i="60"/>
  <c r="Z38"/>
  <c r="Y38"/>
  <c r="X38"/>
  <c r="W38"/>
  <c r="V38"/>
  <c r="U38"/>
  <c r="K38"/>
  <c r="J38"/>
  <c r="I38"/>
  <c r="H38"/>
  <c r="G38"/>
  <c r="F38"/>
  <c r="E38"/>
  <c r="AG37"/>
  <c r="AE37"/>
  <c r="AD37"/>
  <c r="AC37"/>
  <c r="AA37"/>
  <c r="Z37"/>
  <c r="Y37"/>
  <c r="W37"/>
  <c r="V37"/>
  <c r="U37"/>
  <c r="S37"/>
  <c r="Q37"/>
  <c r="P37"/>
  <c r="O37"/>
  <c r="N37"/>
  <c r="L37"/>
  <c r="K37"/>
  <c r="J37"/>
  <c r="I37"/>
  <c r="G37"/>
  <c r="F37"/>
  <c r="E37"/>
  <c r="D37"/>
  <c r="AG36"/>
  <c r="AE36"/>
  <c r="AD36"/>
  <c r="AC36"/>
  <c r="AA36"/>
  <c r="Z36"/>
  <c r="Y36"/>
  <c r="W36"/>
  <c r="V36"/>
  <c r="U36"/>
  <c r="S36"/>
  <c r="Q36"/>
  <c r="P36"/>
  <c r="O36"/>
  <c r="N36"/>
  <c r="L36"/>
  <c r="K36"/>
  <c r="J36"/>
  <c r="I36"/>
  <c r="G36"/>
  <c r="F36"/>
  <c r="E36"/>
  <c r="D36"/>
  <c r="AG35"/>
  <c r="AE35"/>
  <c r="AD35"/>
  <c r="AC35"/>
  <c r="AA35"/>
  <c r="Z35"/>
  <c r="Y35"/>
  <c r="W35"/>
  <c r="V35"/>
  <c r="U35"/>
  <c r="S35"/>
  <c r="Q35"/>
  <c r="P35"/>
  <c r="O35"/>
  <c r="N35"/>
  <c r="L35"/>
  <c r="K35"/>
  <c r="J35"/>
  <c r="I35"/>
  <c r="G35"/>
  <c r="F35"/>
  <c r="E35"/>
  <c r="D35"/>
  <c r="AG34"/>
  <c r="AE34"/>
  <c r="AD34"/>
  <c r="AC34"/>
  <c r="AA34"/>
  <c r="Z34"/>
  <c r="Y34"/>
  <c r="W34"/>
  <c r="V34"/>
  <c r="U34"/>
  <c r="S34"/>
  <c r="Q34"/>
  <c r="P34"/>
  <c r="O34"/>
  <c r="N34"/>
  <c r="L34"/>
  <c r="K34"/>
  <c r="J34"/>
  <c r="I34"/>
  <c r="G34"/>
  <c r="F34"/>
  <c r="E34"/>
  <c r="D34"/>
  <c r="AG33"/>
  <c r="AE33"/>
  <c r="AD33"/>
  <c r="AC33"/>
  <c r="AA33"/>
  <c r="Z33"/>
  <c r="Y33"/>
  <c r="W33"/>
  <c r="V33"/>
  <c r="U33"/>
  <c r="S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1" i="59"/>
  <c r="Z31"/>
  <c r="Y31"/>
  <c r="X31"/>
  <c r="W31"/>
  <c r="V31"/>
  <c r="U31"/>
  <c r="K31"/>
  <c r="J31"/>
  <c r="I31"/>
  <c r="H31"/>
  <c r="G31"/>
  <c r="F31"/>
  <c r="E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1" i="58"/>
  <c r="Z31"/>
  <c r="Y31"/>
  <c r="X31"/>
  <c r="W31"/>
  <c r="V31"/>
  <c r="U31"/>
  <c r="K31"/>
  <c r="J31"/>
  <c r="I31"/>
  <c r="H31"/>
  <c r="G31"/>
  <c r="F31"/>
  <c r="E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57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56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55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6" i="54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6" i="53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G25" i="52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51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50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49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9" i="47"/>
  <c r="Z29"/>
  <c r="Y29"/>
  <c r="X29"/>
  <c r="W29"/>
  <c r="V29"/>
  <c r="U29"/>
  <c r="K29"/>
  <c r="J29"/>
  <c r="I29"/>
  <c r="H29"/>
  <c r="G29"/>
  <c r="F29"/>
  <c r="E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46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45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9" i="44"/>
  <c r="Z29"/>
  <c r="Y29"/>
  <c r="X29"/>
  <c r="W29"/>
  <c r="V29"/>
  <c r="U29"/>
  <c r="K29"/>
  <c r="J29"/>
  <c r="I29"/>
  <c r="H29"/>
  <c r="G29"/>
  <c r="F29"/>
  <c r="E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43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42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41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40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39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38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9" i="37"/>
  <c r="Z29"/>
  <c r="Y29"/>
  <c r="X29"/>
  <c r="W29"/>
  <c r="V29"/>
  <c r="U29"/>
  <c r="K29"/>
  <c r="J29"/>
  <c r="I29"/>
  <c r="H29"/>
  <c r="G29"/>
  <c r="F29"/>
  <c r="E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36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35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3" i="34"/>
  <c r="Z23"/>
  <c r="Y23"/>
  <c r="X23"/>
  <c r="W23"/>
  <c r="V23"/>
  <c r="U23"/>
  <c r="K23"/>
  <c r="J23"/>
  <c r="I23"/>
  <c r="H23"/>
  <c r="G23"/>
  <c r="F23"/>
  <c r="E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33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6" i="32"/>
  <c r="Z26"/>
  <c r="Y26"/>
  <c r="X26"/>
  <c r="W26"/>
  <c r="V26"/>
  <c r="U26"/>
  <c r="K26"/>
  <c r="J26"/>
  <c r="I26"/>
  <c r="H26"/>
  <c r="G26"/>
  <c r="F26"/>
  <c r="E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31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4" i="30"/>
  <c r="Z24"/>
  <c r="Y24"/>
  <c r="X24"/>
  <c r="W24"/>
  <c r="V24"/>
  <c r="U24"/>
  <c r="K24"/>
  <c r="J24"/>
  <c r="I24"/>
  <c r="H24"/>
  <c r="G24"/>
  <c r="F24"/>
  <c r="E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29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6" i="28"/>
  <c r="Z26"/>
  <c r="Y26"/>
  <c r="X26"/>
  <c r="W26"/>
  <c r="V26"/>
  <c r="U26"/>
  <c r="K26"/>
  <c r="J26"/>
  <c r="I26"/>
  <c r="H26"/>
  <c r="G26"/>
  <c r="F26"/>
  <c r="E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27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26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9" i="25"/>
  <c r="Z29"/>
  <c r="Y29"/>
  <c r="X29"/>
  <c r="W29"/>
  <c r="V29"/>
  <c r="U29"/>
  <c r="K29"/>
  <c r="J29"/>
  <c r="I29"/>
  <c r="H29"/>
  <c r="G29"/>
  <c r="F29"/>
  <c r="E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8" i="24"/>
  <c r="Z28"/>
  <c r="Y28"/>
  <c r="X28"/>
  <c r="W28"/>
  <c r="V28"/>
  <c r="U28"/>
  <c r="K28"/>
  <c r="J28"/>
  <c r="I28"/>
  <c r="H28"/>
  <c r="G28"/>
  <c r="F28"/>
  <c r="E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5" i="23"/>
  <c r="Z25"/>
  <c r="Y25"/>
  <c r="X25"/>
  <c r="W25"/>
  <c r="V25"/>
  <c r="U25"/>
  <c r="K25"/>
  <c r="J25"/>
  <c r="I25"/>
  <c r="H25"/>
  <c r="G25"/>
  <c r="F25"/>
  <c r="E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4" i="22"/>
  <c r="Z24"/>
  <c r="Y24"/>
  <c r="X24"/>
  <c r="W24"/>
  <c r="V24"/>
  <c r="U24"/>
  <c r="K24"/>
  <c r="J24"/>
  <c r="I24"/>
  <c r="H24"/>
  <c r="G24"/>
  <c r="F24"/>
  <c r="E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3" i="21"/>
  <c r="Z23"/>
  <c r="Y23"/>
  <c r="X23"/>
  <c r="W23"/>
  <c r="V23"/>
  <c r="U23"/>
  <c r="K23"/>
  <c r="J23"/>
  <c r="I23"/>
  <c r="H23"/>
  <c r="G23"/>
  <c r="F23"/>
  <c r="E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20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7" i="19"/>
  <c r="Z27"/>
  <c r="Y27"/>
  <c r="X27"/>
  <c r="W27"/>
  <c r="V27"/>
  <c r="U27"/>
  <c r="K27"/>
  <c r="J27"/>
  <c r="I27"/>
  <c r="H27"/>
  <c r="G27"/>
  <c r="F27"/>
  <c r="E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0" i="18"/>
  <c r="Z30"/>
  <c r="Y30"/>
  <c r="X30"/>
  <c r="W30"/>
  <c r="V30"/>
  <c r="U30"/>
  <c r="K30"/>
  <c r="J30"/>
  <c r="I30"/>
  <c r="H30"/>
  <c r="G30"/>
  <c r="F30"/>
  <c r="E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29" i="17"/>
  <c r="Z29"/>
  <c r="Y29"/>
  <c r="X29"/>
  <c r="W29"/>
  <c r="V29"/>
  <c r="U29"/>
  <c r="K29"/>
  <c r="J29"/>
  <c r="I29"/>
  <c r="H29"/>
  <c r="G29"/>
  <c r="F29"/>
  <c r="E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2" i="16"/>
  <c r="Z32"/>
  <c r="Y32"/>
  <c r="X32"/>
  <c r="W32"/>
  <c r="V32"/>
  <c r="U32"/>
  <c r="K32"/>
  <c r="J32"/>
  <c r="I32"/>
  <c r="H32"/>
  <c r="G32"/>
  <c r="F32"/>
  <c r="E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2" i="15"/>
  <c r="Z32"/>
  <c r="Y32"/>
  <c r="X32"/>
  <c r="W32"/>
  <c r="V32"/>
  <c r="U32"/>
  <c r="K32"/>
  <c r="J32"/>
  <c r="I32"/>
  <c r="H32"/>
  <c r="G32"/>
  <c r="F32"/>
  <c r="E32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3" i="14"/>
  <c r="Z33"/>
  <c r="Y33"/>
  <c r="X33"/>
  <c r="W33"/>
  <c r="V33"/>
  <c r="U33"/>
  <c r="K33"/>
  <c r="J33"/>
  <c r="I33"/>
  <c r="H33"/>
  <c r="G33"/>
  <c r="F33"/>
  <c r="E33"/>
  <c r="AG31"/>
  <c r="AE31"/>
  <c r="AD31"/>
  <c r="AC31"/>
  <c r="AA31"/>
  <c r="Z31"/>
  <c r="Y31"/>
  <c r="W31"/>
  <c r="V31"/>
  <c r="U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5" i="13"/>
  <c r="Z35"/>
  <c r="Y35"/>
  <c r="X35"/>
  <c r="W35"/>
  <c r="V35"/>
  <c r="U35"/>
  <c r="K35"/>
  <c r="J35"/>
  <c r="I35"/>
  <c r="H35"/>
  <c r="G35"/>
  <c r="F35"/>
  <c r="E35"/>
  <c r="AG33"/>
  <c r="AE33"/>
  <c r="AD33"/>
  <c r="AC33"/>
  <c r="AA33"/>
  <c r="Z33"/>
  <c r="Y33"/>
  <c r="W33"/>
  <c r="V33"/>
  <c r="U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5" i="12"/>
  <c r="Z35"/>
  <c r="Y35"/>
  <c r="X35"/>
  <c r="W35"/>
  <c r="V35"/>
  <c r="U35"/>
  <c r="K35"/>
  <c r="J35"/>
  <c r="I35"/>
  <c r="H35"/>
  <c r="G35"/>
  <c r="F35"/>
  <c r="E35"/>
  <c r="AG33"/>
  <c r="AE33"/>
  <c r="AD33"/>
  <c r="AC33"/>
  <c r="AA33"/>
  <c r="Z33"/>
  <c r="Y33"/>
  <c r="W33"/>
  <c r="V33"/>
  <c r="U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3" i="11"/>
  <c r="Z33"/>
  <c r="Y33"/>
  <c r="X33"/>
  <c r="W33"/>
  <c r="V33"/>
  <c r="U33"/>
  <c r="K33"/>
  <c r="J33"/>
  <c r="I33"/>
  <c r="H33"/>
  <c r="G33"/>
  <c r="F33"/>
  <c r="AG31"/>
  <c r="AE31"/>
  <c r="AD31"/>
  <c r="AC31"/>
  <c r="AA31"/>
  <c r="Z31"/>
  <c r="Y31"/>
  <c r="W31"/>
  <c r="V31"/>
  <c r="U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2" i="10"/>
  <c r="Z32"/>
  <c r="Y32"/>
  <c r="X32"/>
  <c r="W32"/>
  <c r="V32"/>
  <c r="U32"/>
  <c r="K32"/>
  <c r="J32"/>
  <c r="I32"/>
  <c r="H32"/>
  <c r="G32"/>
  <c r="F32"/>
  <c r="E32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3" i="9"/>
  <c r="Z33"/>
  <c r="Y33"/>
  <c r="X33"/>
  <c r="W33"/>
  <c r="V33"/>
  <c r="U33"/>
  <c r="K33"/>
  <c r="J33"/>
  <c r="I33"/>
  <c r="H33"/>
  <c r="G33"/>
  <c r="F33"/>
  <c r="E33"/>
  <c r="AG31"/>
  <c r="AE31"/>
  <c r="AD31"/>
  <c r="AC31"/>
  <c r="AA31"/>
  <c r="Z31"/>
  <c r="Y31"/>
  <c r="W31"/>
  <c r="V31"/>
  <c r="U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5" i="8"/>
  <c r="Z35"/>
  <c r="Y35"/>
  <c r="X35"/>
  <c r="W35"/>
  <c r="V35"/>
  <c r="U35"/>
  <c r="K35"/>
  <c r="J35"/>
  <c r="I35"/>
  <c r="H35"/>
  <c r="G35"/>
  <c r="F35"/>
  <c r="E35"/>
  <c r="AG33"/>
  <c r="AE33"/>
  <c r="AD33"/>
  <c r="AC33"/>
  <c r="AA33"/>
  <c r="Z33"/>
  <c r="Y33"/>
  <c r="W33"/>
  <c r="V33"/>
  <c r="U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5" i="7"/>
  <c r="Z35"/>
  <c r="Y35"/>
  <c r="X35"/>
  <c r="W35"/>
  <c r="V35"/>
  <c r="U35"/>
  <c r="K35"/>
  <c r="J35"/>
  <c r="I35"/>
  <c r="H35"/>
  <c r="G35"/>
  <c r="F35"/>
  <c r="E35"/>
  <c r="AG33"/>
  <c r="AE33"/>
  <c r="AD33"/>
  <c r="AC33"/>
  <c r="AA33"/>
  <c r="Z33"/>
  <c r="Y33"/>
  <c r="W33"/>
  <c r="V33"/>
  <c r="U33"/>
  <c r="S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6" i="6"/>
  <c r="Z36"/>
  <c r="Y36"/>
  <c r="X36"/>
  <c r="W36"/>
  <c r="V36"/>
  <c r="U36"/>
  <c r="K36"/>
  <c r="J36"/>
  <c r="I36"/>
  <c r="H36"/>
  <c r="G36"/>
  <c r="F36"/>
  <c r="E36"/>
  <c r="AG34"/>
  <c r="AE34"/>
  <c r="AD34"/>
  <c r="AC34"/>
  <c r="AA34"/>
  <c r="Z34"/>
  <c r="Y34"/>
  <c r="W34"/>
  <c r="V34"/>
  <c r="U34"/>
  <c r="Q34"/>
  <c r="P34"/>
  <c r="O34"/>
  <c r="N34"/>
  <c r="L34"/>
  <c r="K34"/>
  <c r="J34"/>
  <c r="I34"/>
  <c r="G34"/>
  <c r="F34"/>
  <c r="E34"/>
  <c r="D34"/>
  <c r="AG33"/>
  <c r="AE33"/>
  <c r="AD33"/>
  <c r="AC33"/>
  <c r="AA33"/>
  <c r="Z33"/>
  <c r="Y33"/>
  <c r="W33"/>
  <c r="V33"/>
  <c r="U33"/>
  <c r="Q33"/>
  <c r="P33"/>
  <c r="O33"/>
  <c r="N33"/>
  <c r="L33"/>
  <c r="K33"/>
  <c r="J33"/>
  <c r="I33"/>
  <c r="G33"/>
  <c r="F33"/>
  <c r="E33"/>
  <c r="D33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2" i="5"/>
  <c r="Z32"/>
  <c r="Y32"/>
  <c r="X32"/>
  <c r="W32"/>
  <c r="V32"/>
  <c r="U32"/>
  <c r="K32"/>
  <c r="J32"/>
  <c r="I32"/>
  <c r="H32"/>
  <c r="G32"/>
  <c r="F32"/>
  <c r="E32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4" i="4"/>
  <c r="Z34"/>
  <c r="Y34"/>
  <c r="X34"/>
  <c r="W34"/>
  <c r="V34"/>
  <c r="U34"/>
  <c r="K34"/>
  <c r="J34"/>
  <c r="I34"/>
  <c r="H34"/>
  <c r="G34"/>
  <c r="F34"/>
  <c r="E34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3" i="3"/>
  <c r="Z33"/>
  <c r="Y33"/>
  <c r="X33"/>
  <c r="W33"/>
  <c r="V33"/>
  <c r="U33"/>
  <c r="K33"/>
  <c r="J33"/>
  <c r="I33"/>
  <c r="H33"/>
  <c r="G33"/>
  <c r="F33"/>
  <c r="E33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4" i="2"/>
  <c r="Z34"/>
  <c r="Y34"/>
  <c r="X34"/>
  <c r="W34"/>
  <c r="V34"/>
  <c r="U34"/>
  <c r="K34"/>
  <c r="J34"/>
  <c r="I34"/>
  <c r="H34"/>
  <c r="G34"/>
  <c r="F34"/>
  <c r="E34"/>
  <c r="AG32"/>
  <c r="AE32"/>
  <c r="AD32"/>
  <c r="AC32"/>
  <c r="AA32"/>
  <c r="Z32"/>
  <c r="Y32"/>
  <c r="W32"/>
  <c r="V32"/>
  <c r="U32"/>
  <c r="S32"/>
  <c r="Q32"/>
  <c r="P32"/>
  <c r="O32"/>
  <c r="N32"/>
  <c r="L32"/>
  <c r="K32"/>
  <c r="J32"/>
  <c r="I32"/>
  <c r="G32"/>
  <c r="F32"/>
  <c r="E32"/>
  <c r="D32"/>
  <c r="AG31"/>
  <c r="AE31"/>
  <c r="AD31"/>
  <c r="AC31"/>
  <c r="AA31"/>
  <c r="Z31"/>
  <c r="Y31"/>
  <c r="W31"/>
  <c r="V31"/>
  <c r="U31"/>
  <c r="S31"/>
  <c r="Q31"/>
  <c r="P31"/>
  <c r="O31"/>
  <c r="N31"/>
  <c r="L31"/>
  <c r="K31"/>
  <c r="J31"/>
  <c r="I31"/>
  <c r="G31"/>
  <c r="F31"/>
  <c r="E31"/>
  <c r="D31"/>
  <c r="AG30"/>
  <c r="AE30"/>
  <c r="AD30"/>
  <c r="AC30"/>
  <c r="AA30"/>
  <c r="Z30"/>
  <c r="Y30"/>
  <c r="W30"/>
  <c r="V30"/>
  <c r="U30"/>
  <c r="S30"/>
  <c r="Q30"/>
  <c r="P30"/>
  <c r="O30"/>
  <c r="N30"/>
  <c r="L30"/>
  <c r="K30"/>
  <c r="J30"/>
  <c r="I30"/>
  <c r="G30"/>
  <c r="F30"/>
  <c r="E30"/>
  <c r="D30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AA31" i="1"/>
  <c r="Z31"/>
  <c r="Y31"/>
  <c r="X31"/>
  <c r="W31"/>
  <c r="V31"/>
  <c r="U31"/>
  <c r="K31"/>
  <c r="J31"/>
  <c r="I31"/>
  <c r="H31"/>
  <c r="G31"/>
  <c r="F31"/>
  <c r="E31"/>
  <c r="AG29"/>
  <c r="AE29"/>
  <c r="AD29"/>
  <c r="AC29"/>
  <c r="AA29"/>
  <c r="Z29"/>
  <c r="Y29"/>
  <c r="W29"/>
  <c r="V29"/>
  <c r="U29"/>
  <c r="S29"/>
  <c r="Q29"/>
  <c r="P29"/>
  <c r="O29"/>
  <c r="N29"/>
  <c r="L29"/>
  <c r="K29"/>
  <c r="J29"/>
  <c r="I29"/>
  <c r="G29"/>
  <c r="F29"/>
  <c r="E29"/>
  <c r="D29"/>
  <c r="AG28"/>
  <c r="AE28"/>
  <c r="AD28"/>
  <c r="AC28"/>
  <c r="AA28"/>
  <c r="Z28"/>
  <c r="Y28"/>
  <c r="W28"/>
  <c r="V28"/>
  <c r="U28"/>
  <c r="S28"/>
  <c r="Q28"/>
  <c r="P28"/>
  <c r="O28"/>
  <c r="N28"/>
  <c r="L28"/>
  <c r="K28"/>
  <c r="J28"/>
  <c r="I28"/>
  <c r="G28"/>
  <c r="F28"/>
  <c r="E28"/>
  <c r="D28"/>
  <c r="AG27"/>
  <c r="AE27"/>
  <c r="AD27"/>
  <c r="AC27"/>
  <c r="AA27"/>
  <c r="Z27"/>
  <c r="Y27"/>
  <c r="W27"/>
  <c r="V27"/>
  <c r="U27"/>
  <c r="S27"/>
  <c r="Q27"/>
  <c r="P27"/>
  <c r="O27"/>
  <c r="N27"/>
  <c r="L27"/>
  <c r="K27"/>
  <c r="J27"/>
  <c r="I27"/>
  <c r="G27"/>
  <c r="F27"/>
  <c r="E27"/>
  <c r="D27"/>
  <c r="AG26"/>
  <c r="AE26"/>
  <c r="AD26"/>
  <c r="AC26"/>
  <c r="AA26"/>
  <c r="Z26"/>
  <c r="Y26"/>
  <c r="W26"/>
  <c r="V26"/>
  <c r="U26"/>
  <c r="S26"/>
  <c r="Q26"/>
  <c r="P26"/>
  <c r="O26"/>
  <c r="N26"/>
  <c r="L26"/>
  <c r="K26"/>
  <c r="J26"/>
  <c r="I26"/>
  <c r="G26"/>
  <c r="F26"/>
  <c r="E26"/>
  <c r="D26"/>
  <c r="AG25"/>
  <c r="AE25"/>
  <c r="AD25"/>
  <c r="AC25"/>
  <c r="AA25"/>
  <c r="Z25"/>
  <c r="Y25"/>
  <c r="W25"/>
  <c r="V25"/>
  <c r="U25"/>
  <c r="S25"/>
  <c r="Q25"/>
  <c r="P25"/>
  <c r="O25"/>
  <c r="N25"/>
  <c r="L25"/>
  <c r="K25"/>
  <c r="J25"/>
  <c r="I25"/>
  <c r="G25"/>
  <c r="F25"/>
  <c r="E25"/>
  <c r="D25"/>
  <c r="AG24"/>
  <c r="AE24"/>
  <c r="AD24"/>
  <c r="AC24"/>
  <c r="AA24"/>
  <c r="Z24"/>
  <c r="Y24"/>
  <c r="W24"/>
  <c r="V24"/>
  <c r="U24"/>
  <c r="S24"/>
  <c r="Q24"/>
  <c r="P24"/>
  <c r="O24"/>
  <c r="N24"/>
  <c r="L24"/>
  <c r="K24"/>
  <c r="J24"/>
  <c r="I24"/>
  <c r="G24"/>
  <c r="F24"/>
  <c r="E24"/>
  <c r="D24"/>
  <c r="AG23"/>
  <c r="AE23"/>
  <c r="AD23"/>
  <c r="AC23"/>
  <c r="AA23"/>
  <c r="Z23"/>
  <c r="Y23"/>
  <c r="W23"/>
  <c r="V23"/>
  <c r="U23"/>
  <c r="S23"/>
  <c r="Q23"/>
  <c r="P23"/>
  <c r="O23"/>
  <c r="N23"/>
  <c r="L23"/>
  <c r="K23"/>
  <c r="J23"/>
  <c r="I23"/>
  <c r="G23"/>
  <c r="F23"/>
  <c r="E23"/>
  <c r="D23"/>
  <c r="AG22"/>
  <c r="AE22"/>
  <c r="AD22"/>
  <c r="AC22"/>
  <c r="AA22"/>
  <c r="Z22"/>
  <c r="Y22"/>
  <c r="W22"/>
  <c r="V22"/>
  <c r="U22"/>
  <c r="S22"/>
  <c r="Q22"/>
  <c r="P22"/>
  <c r="O22"/>
  <c r="N22"/>
  <c r="L22"/>
  <c r="K22"/>
  <c r="J22"/>
  <c r="I22"/>
  <c r="G22"/>
  <c r="F22"/>
  <c r="E22"/>
  <c r="D22"/>
  <c r="AG21"/>
  <c r="AE21"/>
  <c r="AD21"/>
  <c r="AC21"/>
  <c r="AA21"/>
  <c r="Z21"/>
  <c r="Y21"/>
  <c r="W21"/>
  <c r="V21"/>
  <c r="U21"/>
  <c r="S21"/>
  <c r="Q21"/>
  <c r="P21"/>
  <c r="O21"/>
  <c r="N21"/>
  <c r="L21"/>
  <c r="K21"/>
  <c r="J21"/>
  <c r="I21"/>
  <c r="G21"/>
  <c r="F21"/>
  <c r="E21"/>
  <c r="D21"/>
  <c r="AG20"/>
  <c r="AE20"/>
  <c r="AD20"/>
  <c r="AC20"/>
  <c r="AA20"/>
  <c r="Z20"/>
  <c r="Y20"/>
  <c r="W20"/>
  <c r="V20"/>
  <c r="U20"/>
  <c r="S20"/>
  <c r="Q20"/>
  <c r="P20"/>
  <c r="O20"/>
  <c r="N20"/>
  <c r="L20"/>
  <c r="K20"/>
  <c r="J20"/>
  <c r="I20"/>
  <c r="G20"/>
  <c r="F20"/>
  <c r="E20"/>
  <c r="D20"/>
  <c r="AG19"/>
  <c r="AE19"/>
  <c r="AD19"/>
  <c r="AC19"/>
  <c r="AA19"/>
  <c r="Z19"/>
  <c r="Y19"/>
  <c r="W19"/>
  <c r="V19"/>
  <c r="U19"/>
  <c r="S19"/>
  <c r="Q19"/>
  <c r="P19"/>
  <c r="O19"/>
  <c r="N19"/>
  <c r="L19"/>
  <c r="K19"/>
  <c r="J19"/>
  <c r="I19"/>
  <c r="G19"/>
  <c r="F19"/>
  <c r="E19"/>
  <c r="D19"/>
  <c r="AG18"/>
  <c r="AE18"/>
  <c r="AD18"/>
  <c r="AC18"/>
  <c r="AA18"/>
  <c r="Z18"/>
  <c r="Y18"/>
  <c r="W18"/>
  <c r="V18"/>
  <c r="U18"/>
  <c r="S18"/>
  <c r="Q18"/>
  <c r="P18"/>
  <c r="O18"/>
  <c r="N18"/>
  <c r="L18"/>
  <c r="K18"/>
  <c r="J18"/>
  <c r="I18"/>
  <c r="G18"/>
  <c r="F18"/>
  <c r="E18"/>
  <c r="D18"/>
  <c r="AG17"/>
  <c r="AE17"/>
  <c r="AD17"/>
  <c r="AC17"/>
  <c r="AA17"/>
  <c r="Z17"/>
  <c r="Y17"/>
  <c r="W17"/>
  <c r="V17"/>
  <c r="U17"/>
  <c r="S17"/>
  <c r="Q17"/>
  <c r="P17"/>
  <c r="O17"/>
  <c r="N17"/>
  <c r="L17"/>
  <c r="K17"/>
  <c r="J17"/>
  <c r="I17"/>
  <c r="G17"/>
  <c r="F17"/>
  <c r="E17"/>
  <c r="D17"/>
  <c r="AG16"/>
  <c r="AE16"/>
  <c r="AD16"/>
  <c r="AC16"/>
  <c r="AA16"/>
  <c r="Z16"/>
  <c r="Y16"/>
  <c r="W16"/>
  <c r="V16"/>
  <c r="U16"/>
  <c r="S16"/>
  <c r="Q16"/>
  <c r="P16"/>
  <c r="O16"/>
  <c r="N16"/>
  <c r="L16"/>
  <c r="K16"/>
  <c r="J16"/>
  <c r="I16"/>
  <c r="G16"/>
  <c r="F16"/>
  <c r="E16"/>
  <c r="D16"/>
  <c r="AG15"/>
  <c r="AE15"/>
  <c r="AD15"/>
  <c r="AC15"/>
  <c r="AA15"/>
  <c r="Z15"/>
  <c r="Y15"/>
  <c r="W15"/>
  <c r="V15"/>
  <c r="U15"/>
  <c r="S15"/>
  <c r="Q15"/>
  <c r="P15"/>
  <c r="O15"/>
  <c r="N15"/>
  <c r="L15"/>
  <c r="K15"/>
  <c r="J15"/>
  <c r="I15"/>
  <c r="G15"/>
  <c r="F15"/>
  <c r="E15"/>
  <c r="D15"/>
  <c r="AG14"/>
  <c r="AE14"/>
  <c r="AD14"/>
  <c r="AC14"/>
  <c r="AA14"/>
  <c r="Z14"/>
  <c r="Y14"/>
  <c r="W14"/>
  <c r="V14"/>
  <c r="U14"/>
  <c r="S14"/>
  <c r="Q14"/>
  <c r="P14"/>
  <c r="O14"/>
  <c r="N14"/>
  <c r="L14"/>
  <c r="K14"/>
  <c r="J14"/>
  <c r="I14"/>
  <c r="G14"/>
  <c r="F14"/>
  <c r="E14"/>
  <c r="D14"/>
  <c r="AG13"/>
  <c r="AE13"/>
  <c r="AD13"/>
  <c r="AC13"/>
  <c r="AA13"/>
  <c r="Z13"/>
  <c r="Y13"/>
  <c r="W13"/>
  <c r="V13"/>
  <c r="U13"/>
  <c r="S13"/>
  <c r="Q13"/>
  <c r="P13"/>
  <c r="O13"/>
  <c r="N13"/>
  <c r="L13"/>
  <c r="K13"/>
  <c r="J13"/>
  <c r="I13"/>
  <c r="G13"/>
  <c r="F13"/>
  <c r="E13"/>
  <c r="D13"/>
  <c r="AG12"/>
  <c r="AE12"/>
  <c r="AD12"/>
  <c r="AC12"/>
  <c r="AA12"/>
  <c r="Z12"/>
  <c r="Y12"/>
  <c r="W12"/>
  <c r="V12"/>
  <c r="U12"/>
  <c r="S12"/>
  <c r="Q12"/>
  <c r="P12"/>
  <c r="O12"/>
  <c r="N12"/>
  <c r="L12"/>
  <c r="K12"/>
  <c r="J12"/>
  <c r="I12"/>
  <c r="G12"/>
  <c r="F12"/>
  <c r="E12"/>
  <c r="D12"/>
  <c r="AG11"/>
  <c r="AE11"/>
  <c r="AD11"/>
  <c r="AC11"/>
  <c r="AA11"/>
  <c r="Z11"/>
  <c r="Y11"/>
  <c r="W11"/>
  <c r="V11"/>
  <c r="U11"/>
  <c r="S11"/>
  <c r="Q11"/>
  <c r="P11"/>
  <c r="O11"/>
  <c r="N11"/>
  <c r="L11"/>
  <c r="K11"/>
  <c r="J11"/>
  <c r="I11"/>
  <c r="G11"/>
  <c r="F11"/>
  <c r="E11"/>
  <c r="D11"/>
  <c r="AG10"/>
  <c r="AE10"/>
  <c r="AD10"/>
  <c r="AC10"/>
  <c r="AA10"/>
  <c r="Z10"/>
  <c r="Y10"/>
  <c r="W10"/>
  <c r="V10"/>
  <c r="U10"/>
  <c r="S10"/>
  <c r="Q10"/>
  <c r="P10"/>
  <c r="O10"/>
  <c r="N10"/>
  <c r="L10"/>
  <c r="K10"/>
  <c r="J10"/>
  <c r="I10"/>
  <c r="G10"/>
  <c r="F10"/>
  <c r="E10"/>
  <c r="D10"/>
  <c r="AG9"/>
  <c r="AE9"/>
  <c r="AD9"/>
  <c r="AC9"/>
  <c r="AA9"/>
  <c r="Z9"/>
  <c r="Y9"/>
  <c r="W9"/>
  <c r="V9"/>
  <c r="U9"/>
  <c r="S9"/>
  <c r="Q9"/>
  <c r="P9"/>
  <c r="O9"/>
  <c r="N9"/>
  <c r="L9"/>
  <c r="K9"/>
  <c r="J9"/>
  <c r="I9"/>
  <c r="G9"/>
  <c r="F9"/>
  <c r="E9"/>
  <c r="D9"/>
  <c r="AG8"/>
  <c r="AE8"/>
  <c r="AD8"/>
  <c r="AC8"/>
  <c r="AA8"/>
  <c r="Z8"/>
  <c r="Y8"/>
  <c r="W8"/>
  <c r="V8"/>
  <c r="U8"/>
  <c r="S8"/>
  <c r="Q8"/>
  <c r="P8"/>
  <c r="O8"/>
  <c r="N8"/>
  <c r="L8"/>
  <c r="K8"/>
  <c r="J8"/>
  <c r="I8"/>
  <c r="G8"/>
  <c r="F8"/>
  <c r="E8"/>
  <c r="D8"/>
  <c r="AG7"/>
  <c r="AE7"/>
  <c r="AD7"/>
  <c r="AC7"/>
  <c r="AA7"/>
  <c r="Z7"/>
  <c r="Y7"/>
  <c r="W7"/>
  <c r="V7"/>
  <c r="U7"/>
  <c r="S7"/>
  <c r="Q7"/>
  <c r="P7"/>
  <c r="O7"/>
  <c r="N7"/>
  <c r="L7"/>
  <c r="K7"/>
  <c r="J7"/>
  <c r="I7"/>
  <c r="G7"/>
  <c r="F7"/>
  <c r="E7"/>
  <c r="D7"/>
  <c r="AG6"/>
  <c r="W6"/>
  <c r="S6"/>
  <c r="N6"/>
  <c r="I6"/>
  <c r="D6"/>
  <c r="O18" i="66" l="1"/>
  <c r="O26" i="67"/>
  <c r="Q26" s="1"/>
  <c r="O23"/>
  <c r="Q23" s="1"/>
  <c r="O9"/>
  <c r="J25"/>
  <c r="L25" s="1"/>
  <c r="J21"/>
  <c r="L21" s="1"/>
  <c r="J18"/>
  <c r="V21" i="66"/>
  <c r="V22" s="1"/>
  <c r="V23" s="1"/>
  <c r="V24" s="1"/>
  <c r="V25" s="1"/>
  <c r="V26" s="1"/>
  <c r="V27" s="1"/>
  <c r="U28" s="1"/>
  <c r="AD21" i="65"/>
  <c r="AD22" s="1"/>
  <c r="AD23" s="1"/>
  <c r="AD24" s="1"/>
  <c r="AD25" s="1"/>
  <c r="AD26" s="1"/>
  <c r="AD27" s="1"/>
  <c r="W28" s="1"/>
  <c r="V18"/>
  <c r="V19" s="1"/>
  <c r="V20" s="1"/>
  <c r="V21" s="1"/>
  <c r="V22" s="1"/>
  <c r="V23" s="1"/>
  <c r="V24" s="1"/>
  <c r="V25" s="1"/>
  <c r="V26" s="1"/>
  <c r="V27" s="1"/>
  <c r="U28" s="1"/>
  <c r="W17"/>
  <c r="O26"/>
  <c r="Q26" s="1"/>
  <c r="O23"/>
  <c r="Q23" s="1"/>
  <c r="Q20"/>
  <c r="P20"/>
  <c r="P21" s="1"/>
  <c r="P22" s="1"/>
  <c r="O21"/>
  <c r="Q21" s="1"/>
  <c r="J20"/>
  <c r="L20" s="1"/>
  <c r="K17"/>
  <c r="K18" s="1"/>
  <c r="K19" s="1"/>
  <c r="L17"/>
  <c r="J18"/>
  <c r="L18" s="1"/>
  <c r="E25"/>
  <c r="G25" s="1"/>
  <c r="E21"/>
  <c r="J27" i="66"/>
  <c r="L27" s="1"/>
  <c r="J24"/>
  <c r="L24" s="1"/>
  <c r="J23"/>
  <c r="E23"/>
  <c r="G23" s="1"/>
  <c r="F22"/>
  <c r="P18" l="1"/>
  <c r="P19" s="1"/>
  <c r="P20" s="1"/>
  <c r="P21" s="1"/>
  <c r="P22" s="1"/>
  <c r="P23" s="1"/>
  <c r="P24" s="1"/>
  <c r="P25" s="1"/>
  <c r="P26" s="1"/>
  <c r="P27" s="1"/>
  <c r="Q18"/>
  <c r="P9" i="67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Q9"/>
  <c r="K18"/>
  <c r="K19" s="1"/>
  <c r="K20" s="1"/>
  <c r="K21" s="1"/>
  <c r="K22" s="1"/>
  <c r="K23" s="1"/>
  <c r="K24" s="1"/>
  <c r="K25" s="1"/>
  <c r="K26" s="1"/>
  <c r="K27" s="1"/>
  <c r="L18"/>
  <c r="X28" i="66"/>
  <c r="Z28" i="65"/>
  <c r="X28"/>
  <c r="P23"/>
  <c r="P24" s="1"/>
  <c r="P25" s="1"/>
  <c r="P26" s="1"/>
  <c r="P27" s="1"/>
  <c r="G28" s="1"/>
  <c r="K20"/>
  <c r="K21" s="1"/>
  <c r="K22" s="1"/>
  <c r="K23" s="1"/>
  <c r="K24" s="1"/>
  <c r="K25" s="1"/>
  <c r="K26" s="1"/>
  <c r="K27" s="1"/>
  <c r="I28" s="1"/>
  <c r="F21"/>
  <c r="F22" s="1"/>
  <c r="F23" s="1"/>
  <c r="F24" s="1"/>
  <c r="F25" s="1"/>
  <c r="F26" s="1"/>
  <c r="F27" s="1"/>
  <c r="G21"/>
  <c r="K23" i="66"/>
  <c r="K24" s="1"/>
  <c r="K25" s="1"/>
  <c r="K26" s="1"/>
  <c r="K27" s="1"/>
  <c r="L23"/>
  <c r="F23"/>
  <c r="F24" s="1"/>
  <c r="F25" s="1"/>
  <c r="F26" s="1"/>
  <c r="F27" s="1"/>
  <c r="E28" s="1"/>
  <c r="G28" l="1"/>
  <c r="J28"/>
  <c r="J28" i="67"/>
  <c r="G28"/>
  <c r="F28"/>
  <c r="I28"/>
  <c r="J28" i="65"/>
  <c r="F28"/>
  <c r="K28"/>
  <c r="E28"/>
  <c r="H28"/>
  <c r="I28" i="66"/>
  <c r="F28"/>
  <c r="H28"/>
  <c r="K28"/>
</calcChain>
</file>

<file path=xl/sharedStrings.xml><?xml version="1.0" encoding="utf-8"?>
<sst xmlns="http://schemas.openxmlformats.org/spreadsheetml/2006/main" count="2907" uniqueCount="90">
  <si>
    <t>四川峨汉高速 大峡谷隧道进口左洞zk79+045初衬断面 拱顶沉降 及 周边位移 监测数据汇总表</t>
  </si>
  <si>
    <t>测设日期</t>
  </si>
  <si>
    <t>符号说明：负号表明测点（测线）下沉（内收） ；正号表明测点（测线）上抬（拉伸）</t>
  </si>
  <si>
    <t>备注：</t>
  </si>
  <si>
    <t>拱顶下沉(mm)</t>
  </si>
  <si>
    <t>周边位移(mm)（上台阶）</t>
  </si>
  <si>
    <t>掌子面当日桩号</t>
  </si>
  <si>
    <t>至掌子面距离</t>
  </si>
  <si>
    <t>日期</t>
  </si>
  <si>
    <t>G1</t>
  </si>
  <si>
    <t>G2</t>
  </si>
  <si>
    <t>G3</t>
  </si>
  <si>
    <t>AB</t>
  </si>
  <si>
    <t>BC</t>
  </si>
  <si>
    <t>AC</t>
  </si>
  <si>
    <t>后视点高程</t>
  </si>
  <si>
    <t>前视</t>
  </si>
  <si>
    <t>前视点高程</t>
  </si>
  <si>
    <t>单日沉降</t>
  </si>
  <si>
    <t>累计沉降</t>
  </si>
  <si>
    <t>沉降速率</t>
  </si>
  <si>
    <t>测线长</t>
  </si>
  <si>
    <t>单日位移</t>
  </si>
  <si>
    <t>累计位移</t>
  </si>
  <si>
    <t>位移速率</t>
  </si>
  <si>
    <t>四川峨汉高速 大峡谷隧道进口左洞zk79+079初衬断面 拱顶沉降 及 周边位移 监测数据汇总表</t>
  </si>
  <si>
    <t>四川峨汉高速 大峡谷隧道进口左洞zk79+110初衬断面 拱顶沉降 及 周边位移 监测数据汇总表</t>
  </si>
  <si>
    <t>四川峨汉高速 大峡谷隧道进口左洞zk79+140初衬断面 拱顶沉降 及 周边位移 监测数据汇总表</t>
  </si>
  <si>
    <t>四川峨汉高速 大峡谷隧道进口左洞zk79+148初衬断面 拱顶沉降 及 周边位移 监测数据汇总表</t>
  </si>
  <si>
    <t>四川峨汉高速 大峡谷隧道进口左洞zk79+160初衬断面 拱顶沉降 及 周边位移 监测数据汇总表</t>
  </si>
  <si>
    <t>四川峨汉高速 大峡谷隧道进口左洞zk79+174初衬断面 拱顶沉降 及 周边位移 监测数据汇总表</t>
  </si>
  <si>
    <t>四川峨汉高速 大峡谷隧道进口左洞zk79+187初衬断面 拱顶沉降 及 周边位移 监测数据汇总表</t>
  </si>
  <si>
    <t>四川峨汉高速 大峡谷隧道进口左洞zk79+202初衬断面 拱顶沉降 及 周边位移 监测数据汇总表</t>
  </si>
  <si>
    <t>四川峨汉高速 大峡谷隧道进口左洞zk79+215初衬断面 拱顶沉降 及 周边位移 监测数据汇总表</t>
  </si>
  <si>
    <t>四川峨汉高速 大峡谷隧道进口左洞zk79+225初衬断面 拱顶沉降 及 周边位移 监测数据汇总表</t>
  </si>
  <si>
    <t xml:space="preserve">     </t>
  </si>
  <si>
    <t>四川峨汉高速 大峡谷隧道进口左洞zk79+238初衬断面 拱顶沉降 及 周边位移 监测数据汇总表</t>
  </si>
  <si>
    <t>四川峨汉高速 大峡谷隧道进口左洞zk79+251初衬断面 拱顶沉降 及 周边位移 监测数据汇总表</t>
  </si>
  <si>
    <t>四川峨汉高速 大峡谷隧道进口左洞zk79+277初衬断面 拱顶沉降 及 周边位移 监测数据汇总表</t>
  </si>
  <si>
    <t>四川峨汉高速 大峡谷隧道进口左洞zk79+300初衬断面 拱顶沉降 及 周边位移 监测数据汇总表</t>
  </si>
  <si>
    <t>四川峨汉高速 大峡谷隧道进口左洞zk79+325初衬断面 拱顶沉降 及 周边位移 监测数据汇总表</t>
  </si>
  <si>
    <t>四川峨汉高速 大峡谷隧道进口左洞zk79+360初衬断面 拱顶沉降 及 周边位移 监测数据汇总表</t>
  </si>
  <si>
    <t>四川峨汉高速 大峡谷隧道进口左洞zk79+378初衬断面 拱顶沉降 及 周边位移 监测数据汇总表</t>
  </si>
  <si>
    <t>四川峨汉高速 大峡谷隧道进口左洞zk79+406初衬断面 拱顶沉降 及 周边位移 监测数据汇总表</t>
  </si>
  <si>
    <t>四川峨汉高速 大峡谷隧道进口左洞zk79+433初衬断面 拱顶沉降 及 周边位移 监测数据汇总表</t>
  </si>
  <si>
    <t>四川峨汉高速 大峡谷隧道进口左洞zk79+466初衬断面 拱顶沉降 及 周边位移 监测数据汇总表</t>
  </si>
  <si>
    <t>四川峨汉高速 大峡谷隧道进口左洞zk79+500初衬断面 拱顶沉降 及 周边位移 监测数据汇总表</t>
  </si>
  <si>
    <t>四川峨汉高速 大峡谷隧道进口左洞zk79+540初衬断面 拱顶沉降 及 周边位移 监测数据汇总表</t>
  </si>
  <si>
    <t>四川峨汉高速 大峡谷隧道进口左洞zk79+565初衬断面 拱顶沉降 及 周边位移 监测数据汇总表</t>
  </si>
  <si>
    <t>四川峨汉高速 大峡谷隧道进口左洞zk79+593初衬断面 拱顶沉降 及 周边位移 监测数据汇总表</t>
  </si>
  <si>
    <t>四川峨汉高速 大峡谷隧道进口左洞zk79+631初衬断面 拱顶沉降 及 周边位移 监测数据汇总表</t>
  </si>
  <si>
    <t>四川峨汉高速 大峡谷隧道进口左洞zk79+657初衬断面 拱顶沉降 及 周边位移 监测数据汇总表</t>
  </si>
  <si>
    <t>四川峨汉高速 大峡谷隧道进口左洞zk79+719初衬断面 拱顶沉降 及 周边位移 监测数据汇总表</t>
  </si>
  <si>
    <t>四川峨汉高速 大峡谷隧道进口左洞zk79+762初衬断面 拱顶沉降 及 周边位移 监测数据汇总表</t>
  </si>
  <si>
    <t>四川峨汉高速 大峡谷隧道进口左洞zk79+785初衬断面 拱顶沉降 及 周边位移 监测数据汇总表</t>
  </si>
  <si>
    <t>四川峨汉高速 大峡谷隧道进口左洞zk79+819初衬断面 拱顶沉降 及 周边位移 监测数据汇总表</t>
  </si>
  <si>
    <t>四川峨汉高速 大峡谷隧道进口左洞zk79+839初衬断面 拱顶沉降 及 周边位移 监测数据汇总表</t>
  </si>
  <si>
    <t>四川峨汉高速 大峡谷隧道进口左洞zk79+870初衬断面 拱顶沉降 及 周边位移 监测数据汇总表</t>
  </si>
  <si>
    <t>四川峨汉高速 大峡谷隧道进口左洞zk79+896初衬断面 拱顶沉降 及 周边位移 监测数据汇总表</t>
  </si>
  <si>
    <t>四川峨汉高速 大峡谷隧道进口左洞zk79+926初衬断面 拱顶沉降 及 周边位移 监测数据汇总表</t>
  </si>
  <si>
    <t>四川峨汉高速 大峡谷隧道进口左洞zk79+954初衬断面 拱顶沉降 及 周边位移 监测数据汇总表</t>
  </si>
  <si>
    <t>四川峨汉高速 大峡谷隧道进口左洞zk80+029初衬断面 拱顶沉降 及 周边位移 监测数据汇总表</t>
  </si>
  <si>
    <t>四川峨汉高速 大峡谷隧道进口左洞zk80+060初衬断面 拱顶沉降 及 周边位移 监测数据汇总表</t>
  </si>
  <si>
    <t>四川峨汉高速 大峡谷隧道进口左洞zk80+096初衬断面 拱顶沉降 及 周边位移 监测数据汇总表</t>
  </si>
  <si>
    <t>四川峨汉高速 大峡谷隧道进口左洞zk80+134初衬断面 拱顶沉降 及 周边位移 监测数据汇总表</t>
  </si>
  <si>
    <t>四川峨汉高速 大峡谷隧道进口左洞zk80+162初衬断面 拱顶沉降 及 周边位移 监测数据汇总表</t>
  </si>
  <si>
    <t>四川峨汉高速 大峡谷隧道进口左洞zk80+200初衬断面 拱顶沉降 及 周边位移 监测数据汇总表</t>
  </si>
  <si>
    <t xml:space="preserve"> </t>
  </si>
  <si>
    <t>四川峨汉高速 大峡谷隧道进口左洞zk80+235初衬断面 拱顶沉降 及 周边位移 监测数据汇总表</t>
  </si>
  <si>
    <t>四川峨汉高速 大峡谷隧道进口左洞zk80+275初衬断面 拱顶沉降 及 周边位移 监测数据汇总表</t>
  </si>
  <si>
    <t>四川峨汉高速 大峡谷隧道进口左洞zk80+313初衬断面 拱顶沉降 及 周边位移 监测数据汇总表</t>
  </si>
  <si>
    <t>四川峨汉高速 大峡谷隧道进口左洞zk80+347初衬断面 拱顶沉降 及 周边位移 监测数据汇总表</t>
  </si>
  <si>
    <t>四川峨汉高速 大峡谷隧道进口左洞zk80+371初衬断面 拱顶沉降 及 周边位移 监测数据汇总表</t>
  </si>
  <si>
    <t>四川峨汉高速 大峡谷隧道进口左洞zk80+406初衬断面 拱顶沉降 及 周边位移 监测数据汇总表</t>
  </si>
  <si>
    <t>四川峨汉高速 大峡谷隧道进口左洞zk80+422初衬断面 拱顶沉降 及 周边位移 监测数据汇总表</t>
  </si>
  <si>
    <t>四川峨汉高速 大峡谷隧道进口左洞zk80+451初衬断面 拱顶沉降 及 周边位移 监测数据汇总表</t>
  </si>
  <si>
    <t>四川峨汉高速 大峡谷隧道进口左洞zk80+481初衬断面 拱顶沉降 及 周边位移 监测数据汇总表</t>
  </si>
  <si>
    <t>四川峨汉高速 大峡谷隧道进口左洞zk80+516初衬断面 拱顶沉降 及 周边位移 监测数据汇总表</t>
  </si>
  <si>
    <t>四川峨汉高速 大峡谷隧道进口左洞zk80+538初衬断面 拱顶沉降 及 周边位移 监测数据汇总表</t>
  </si>
  <si>
    <t>四川峨汉高速 大峡谷隧道进口左洞zk80+565初衬断面 拱顶沉降 及 周边位移 监测数据汇总表</t>
  </si>
  <si>
    <t>四川峨汉高速 大峡谷隧道进口左洞zk80+592初衬断面 拱顶沉降 及 周边位移 监测数据汇总表</t>
  </si>
  <si>
    <t>四川峨汉高速 大峡谷隧道进口左洞zk80+620初衬断面 拱顶沉降 及 周边位移 监测数据汇总表</t>
  </si>
  <si>
    <t>四川峨汉高速 大峡谷隧道进口左洞zk80+635初衬断面 拱顶沉降 及 周边位移 监测数据汇总表</t>
  </si>
  <si>
    <t>四川峨汉高速 大峡谷隧道进口左洞zk80+651初衬断面 拱顶沉降 及 周边位移 监测数据汇总表</t>
  </si>
  <si>
    <t>四川峨汉高速 大峡谷隧道进口左洞zk80+690初衬断面 拱顶沉降 及 周边位移 监测数据汇总表</t>
  </si>
  <si>
    <t>四川峨汉高速 大峡谷隧道进口左洞zk80+720初衬断面 拱顶沉降 及 周边位移 监测数据汇总表</t>
  </si>
  <si>
    <t>四川峨汉高速 大峡谷隧道进口左洞zk80+764初衬断面 拱顶沉降 及 周边位移 监测数据汇总表</t>
  </si>
  <si>
    <t>四川峨汉高速 大峡谷隧道进口左洞zk80+793初衬断面 拱顶沉降 及 周边位移 监测数据汇总表</t>
  </si>
  <si>
    <t>四川峨汉高速 大峡谷隧道进口左洞zk80+826初衬断面 拱顶沉降 及 周边位移 监测数据汇总表</t>
  </si>
  <si>
    <t>四川峨汉高速 大峡谷隧道进口左洞zk80+860初衬断面 拱顶沉降 及 周边位移 监测数据汇总表</t>
  </si>
</sst>
</file>

<file path=xl/styles.xml><?xml version="1.0" encoding="utf-8"?>
<styleSheet xmlns="http://schemas.openxmlformats.org/spreadsheetml/2006/main">
  <numFmts count="8">
    <numFmt numFmtId="178" formatCode="0.0000_ "/>
    <numFmt numFmtId="179" formatCode="0.00_ "/>
    <numFmt numFmtId="180" formatCode="0.00000_ "/>
    <numFmt numFmtId="181" formatCode="0.00000_);[Red]\(0.00000\)"/>
    <numFmt numFmtId="182" formatCode="0.0_ "/>
    <numFmt numFmtId="183" formatCode="m&quot;月&quot;d&quot;日&quot;;@"/>
    <numFmt numFmtId="184" formatCode="yy/m/d;@"/>
    <numFmt numFmtId="185" formatCode="[DBNum1][$-804]上午/下午h&quot;时&quot;mm&quot;分&quot;;@"/>
  </numFmts>
  <fonts count="22">
    <font>
      <sz val="11"/>
      <color theme="1"/>
      <name val="宋体"/>
      <charset val="134"/>
      <scheme val="minor"/>
    </font>
    <font>
      <sz val="11"/>
      <name val="宋体"/>
      <charset val="134"/>
    </font>
    <font>
      <sz val="12"/>
      <name val="宋体"/>
      <charset val="134"/>
    </font>
    <font>
      <sz val="12"/>
      <color indexed="10"/>
      <name val="宋体"/>
      <charset val="134"/>
    </font>
    <font>
      <sz val="12"/>
      <color indexed="12"/>
      <name val="宋体"/>
      <charset val="134"/>
    </font>
    <font>
      <b/>
      <sz val="18"/>
      <name val="宋体"/>
      <charset val="134"/>
    </font>
    <font>
      <sz val="11"/>
      <color indexed="10"/>
      <name val="宋体"/>
      <charset val="134"/>
    </font>
    <font>
      <b/>
      <sz val="12"/>
      <color indexed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b/>
      <sz val="10"/>
      <name val="宋体"/>
      <charset val="134"/>
    </font>
    <font>
      <b/>
      <sz val="10"/>
      <color indexed="10"/>
      <name val="宋体"/>
      <charset val="134"/>
    </font>
    <font>
      <b/>
      <sz val="10"/>
      <color indexed="12"/>
      <name val="宋体"/>
      <charset val="134"/>
    </font>
    <font>
      <sz val="12"/>
      <color indexed="14"/>
      <name val="宋体"/>
      <charset val="134"/>
    </font>
    <font>
      <sz val="12"/>
      <color rgb="FFFF00FF"/>
      <name val="宋体"/>
      <charset val="134"/>
    </font>
    <font>
      <sz val="12"/>
      <color rgb="FFFF0000"/>
      <name val="宋体"/>
      <charset val="134"/>
    </font>
    <font>
      <sz val="12"/>
      <color rgb="FF0000FF"/>
      <name val="宋体"/>
      <charset val="134"/>
    </font>
    <font>
      <b/>
      <sz val="9"/>
      <color indexed="10"/>
      <name val="宋体"/>
      <charset val="134"/>
    </font>
    <font>
      <b/>
      <sz val="9"/>
      <name val="宋体"/>
      <charset val="134"/>
    </font>
    <font>
      <sz val="10"/>
      <name val="宋体"/>
      <charset val="134"/>
    </font>
    <font>
      <sz val="10"/>
      <color indexed="8"/>
      <name val="仿宋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1" fillId="0" borderId="0" xfId="0" applyFont="1" applyFill="1" applyBorder="1" applyAlignment="1"/>
    <xf numFmtId="178" fontId="1" fillId="0" borderId="0" xfId="0" applyNumberFormat="1" applyFont="1" applyFill="1" applyBorder="1" applyAlignment="1"/>
    <xf numFmtId="179" fontId="2" fillId="0" borderId="0" xfId="0" applyNumberFormat="1" applyFont="1" applyFill="1" applyBorder="1" applyAlignment="1"/>
    <xf numFmtId="179" fontId="3" fillId="0" borderId="0" xfId="0" applyNumberFormat="1" applyFont="1" applyFill="1" applyBorder="1" applyAlignment="1"/>
    <xf numFmtId="179" fontId="4" fillId="0" borderId="0" xfId="0" applyNumberFormat="1" applyFont="1" applyFill="1" applyBorder="1" applyAlignment="1"/>
    <xf numFmtId="180" fontId="2" fillId="0" borderId="0" xfId="0" applyNumberFormat="1" applyFont="1" applyFill="1" applyBorder="1" applyAlignment="1"/>
    <xf numFmtId="0" fontId="4" fillId="2" borderId="0" xfId="0" applyFont="1" applyFill="1" applyBorder="1" applyAlignment="1"/>
    <xf numFmtId="181" fontId="1" fillId="0" borderId="0" xfId="0" applyNumberFormat="1" applyFont="1" applyFill="1" applyBorder="1" applyAlignment="1"/>
    <xf numFmtId="0" fontId="4" fillId="0" borderId="0" xfId="0" applyFont="1" applyFill="1" applyBorder="1" applyAlignment="1"/>
    <xf numFmtId="0" fontId="2" fillId="0" borderId="0" xfId="0" applyFont="1" applyFill="1" applyBorder="1" applyAlignment="1"/>
    <xf numFmtId="0" fontId="5" fillId="0" borderId="0" xfId="0" applyFont="1" applyFill="1" applyBorder="1" applyAlignment="1">
      <alignment horizontal="center" vertical="center"/>
    </xf>
    <xf numFmtId="182" fontId="6" fillId="0" borderId="0" xfId="0" applyNumberFormat="1" applyFont="1" applyFill="1" applyBorder="1" applyAlignment="1">
      <alignment horizontal="center" vertical="center"/>
    </xf>
    <xf numFmtId="180" fontId="8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78" fontId="2" fillId="0" borderId="0" xfId="0" applyNumberFormat="1" applyFont="1" applyFill="1" applyBorder="1" applyAlignment="1">
      <alignment horizontal="center" vertical="center" wrapText="1"/>
    </xf>
    <xf numFmtId="178" fontId="2" fillId="3" borderId="0" xfId="0" applyNumberFormat="1" applyFont="1" applyFill="1" applyBorder="1" applyAlignment="1">
      <alignment horizontal="center" vertical="center" wrapText="1"/>
    </xf>
    <xf numFmtId="179" fontId="10" fillId="0" borderId="0" xfId="0" applyNumberFormat="1" applyFont="1" applyFill="1" applyBorder="1" applyAlignment="1">
      <alignment horizontal="center" vertical="center"/>
    </xf>
    <xf numFmtId="179" fontId="11" fillId="0" borderId="0" xfId="0" applyNumberFormat="1" applyFont="1" applyFill="1" applyBorder="1" applyAlignment="1">
      <alignment horizontal="center" vertical="center"/>
    </xf>
    <xf numFmtId="179" fontId="12" fillId="0" borderId="0" xfId="0" applyNumberFormat="1" applyFont="1" applyFill="1" applyBorder="1" applyAlignment="1">
      <alignment horizontal="center" vertical="center"/>
    </xf>
    <xf numFmtId="180" fontId="2" fillId="0" borderId="0" xfId="0" applyNumberFormat="1" applyFont="1" applyFill="1" applyBorder="1" applyAlignment="1">
      <alignment horizontal="center" vertical="center" wrapText="1"/>
    </xf>
    <xf numFmtId="183" fontId="1" fillId="0" borderId="0" xfId="0" applyNumberFormat="1" applyFont="1" applyFill="1" applyBorder="1" applyAlignment="1">
      <alignment horizontal="center" vertical="center" wrapText="1"/>
    </xf>
    <xf numFmtId="178" fontId="1" fillId="0" borderId="0" xfId="0" applyNumberFormat="1" applyFont="1" applyFill="1" applyBorder="1" applyAlignment="1">
      <alignment horizontal="center" vertical="center" wrapText="1"/>
    </xf>
    <xf numFmtId="180" fontId="1" fillId="3" borderId="0" xfId="0" applyNumberFormat="1" applyFont="1" applyFill="1" applyBorder="1" applyAlignment="1"/>
    <xf numFmtId="179" fontId="13" fillId="0" borderId="0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 applyBorder="1" applyAlignment="1">
      <alignment horizontal="center" vertical="center"/>
    </xf>
    <xf numFmtId="179" fontId="4" fillId="0" borderId="0" xfId="0" applyNumberFormat="1" applyFont="1" applyFill="1" applyBorder="1" applyAlignment="1">
      <alignment horizontal="center" vertical="center"/>
    </xf>
    <xf numFmtId="180" fontId="1" fillId="0" borderId="0" xfId="0" applyNumberFormat="1" applyFont="1" applyFill="1" applyBorder="1" applyAlignment="1"/>
    <xf numFmtId="178" fontId="1" fillId="3" borderId="0" xfId="0" applyNumberFormat="1" applyFont="1" applyFill="1" applyBorder="1" applyAlignment="1"/>
    <xf numFmtId="180" fontId="2" fillId="0" borderId="0" xfId="0" applyNumberFormat="1" applyFont="1" applyFill="1" applyBorder="1" applyAlignment="1">
      <alignment horizontal="center" vertical="center"/>
    </xf>
    <xf numFmtId="18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179" fontId="2" fillId="0" borderId="0" xfId="0" applyNumberFormat="1" applyFont="1" applyFill="1" applyBorder="1" applyAlignment="1">
      <alignment horizontal="center" vertical="center"/>
    </xf>
    <xf numFmtId="180" fontId="2" fillId="3" borderId="0" xfId="0" applyNumberFormat="1" applyFont="1" applyFill="1" applyBorder="1" applyAlignment="1">
      <alignment horizontal="center" vertical="center" wrapText="1"/>
    </xf>
    <xf numFmtId="180" fontId="2" fillId="3" borderId="0" xfId="0" applyNumberFormat="1" applyFont="1" applyFill="1" applyBorder="1" applyAlignment="1"/>
    <xf numFmtId="182" fontId="8" fillId="2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81" fontId="9" fillId="0" borderId="0" xfId="0" applyNumberFormat="1" applyFont="1" applyFill="1" applyBorder="1" applyAlignment="1">
      <alignment horizontal="center" vertical="center"/>
    </xf>
    <xf numFmtId="182" fontId="12" fillId="2" borderId="0" xfId="0" applyNumberFormat="1" applyFont="1" applyFill="1" applyBorder="1" applyAlignment="1">
      <alignment horizontal="center" vertical="center"/>
    </xf>
    <xf numFmtId="181" fontId="2" fillId="0" borderId="0" xfId="0" applyNumberFormat="1" applyFont="1" applyFill="1" applyBorder="1" applyAlignment="1">
      <alignment horizontal="center" vertical="center" wrapText="1"/>
    </xf>
    <xf numFmtId="182" fontId="4" fillId="2" borderId="0" xfId="0" applyNumberFormat="1" applyFont="1" applyFill="1" applyBorder="1" applyAlignment="1">
      <alignment horizontal="center" vertical="center"/>
    </xf>
    <xf numFmtId="181" fontId="1" fillId="0" borderId="0" xfId="0" applyNumberFormat="1" applyFont="1" applyFill="1" applyBorder="1" applyAlignment="1">
      <alignment horizontal="center" vertical="center" wrapText="1"/>
    </xf>
    <xf numFmtId="179" fontId="14" fillId="0" borderId="0" xfId="0" applyNumberFormat="1" applyFont="1" applyFill="1" applyBorder="1" applyAlignment="1">
      <alignment horizontal="center" vertical="center" wrapText="1"/>
    </xf>
    <xf numFmtId="179" fontId="15" fillId="0" borderId="0" xfId="0" applyNumberFormat="1" applyFont="1" applyFill="1" applyBorder="1" applyAlignment="1">
      <alignment horizontal="center" vertical="center"/>
    </xf>
    <xf numFmtId="179" fontId="16" fillId="0" borderId="0" xfId="0" applyNumberFormat="1" applyFont="1" applyFill="1" applyBorder="1" applyAlignment="1">
      <alignment horizontal="center" vertical="center"/>
    </xf>
    <xf numFmtId="181" fontId="1" fillId="0" borderId="0" xfId="0" applyNumberFormat="1" applyFont="1" applyFill="1" applyBorder="1" applyAlignment="1">
      <alignment horizontal="center" vertical="center"/>
    </xf>
    <xf numFmtId="180" fontId="2" fillId="0" borderId="0" xfId="0" applyNumberFormat="1" applyFont="1" applyFill="1" applyBorder="1" applyAlignment="1">
      <alignment vertical="center"/>
    </xf>
    <xf numFmtId="179" fontId="4" fillId="0" borderId="0" xfId="0" applyNumberFormat="1" applyFont="1" applyFill="1" applyBorder="1" applyAlignment="1">
      <alignment horizontal="left" vertical="center"/>
    </xf>
    <xf numFmtId="180" fontId="1" fillId="0" borderId="0" xfId="0" applyNumberFormat="1" applyFont="1" applyFill="1" applyBorder="1" applyAlignment="1">
      <alignment horizontal="center" vertical="center" wrapText="1"/>
    </xf>
    <xf numFmtId="182" fontId="3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0" fontId="8" fillId="0" borderId="0" xfId="0" applyFont="1" applyFill="1" applyBorder="1" applyAlignment="1"/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/>
    <xf numFmtId="182" fontId="1" fillId="0" borderId="0" xfId="0" applyNumberFormat="1" applyFont="1" applyFill="1" applyBorder="1" applyAlignment="1">
      <alignment horizontal="center" vertical="center"/>
    </xf>
    <xf numFmtId="0" fontId="19" fillId="0" borderId="0" xfId="0" applyNumberFormat="1" applyFont="1" applyFill="1" applyBorder="1" applyAlignment="1">
      <alignment horizontal="center" vertical="center"/>
    </xf>
    <xf numFmtId="185" fontId="20" fillId="0" borderId="0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20" fillId="0" borderId="0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49" fontId="19" fillId="0" borderId="0" xfId="0" applyNumberFormat="1" applyFont="1" applyFill="1" applyBorder="1" applyAlignment="1">
      <alignment horizontal="center" vertical="center"/>
    </xf>
    <xf numFmtId="179" fontId="2" fillId="0" borderId="0" xfId="0" applyNumberFormat="1" applyFont="1" applyFill="1" applyBorder="1" applyAlignment="1">
      <alignment horizontal="center" vertical="center" wrapText="1"/>
    </xf>
    <xf numFmtId="179" fontId="2" fillId="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9" fontId="2" fillId="0" borderId="0" xfId="0" applyNumberFormat="1" applyFont="1" applyFill="1" applyBorder="1" applyAlignment="1">
      <alignment vertical="center"/>
    </xf>
    <xf numFmtId="179" fontId="2" fillId="3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180" fontId="1" fillId="0" borderId="0" xfId="0" applyNumberFormat="1" applyFont="1" applyFill="1" applyBorder="1" applyAlignment="1">
      <alignment vertical="center"/>
    </xf>
    <xf numFmtId="180" fontId="1" fillId="3" borderId="0" xfId="0" applyNumberFormat="1" applyFont="1" applyFill="1" applyBorder="1" applyAlignment="1">
      <alignment vertical="center"/>
    </xf>
    <xf numFmtId="180" fontId="2" fillId="3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178" fontId="5" fillId="0" borderId="0" xfId="0" applyNumberFormat="1" applyFont="1" applyFill="1" applyBorder="1" applyAlignment="1">
      <alignment horizontal="center" vertical="center"/>
    </xf>
    <xf numFmtId="179" fontId="5" fillId="0" borderId="0" xfId="0" applyNumberFormat="1" applyFont="1" applyFill="1" applyBorder="1" applyAlignment="1">
      <alignment horizontal="center" vertical="center"/>
    </xf>
    <xf numFmtId="180" fontId="5" fillId="0" borderId="0" xfId="0" applyNumberFormat="1" applyFont="1" applyFill="1" applyBorder="1" applyAlignment="1">
      <alignment horizontal="center" vertical="center"/>
    </xf>
    <xf numFmtId="181" fontId="5" fillId="0" borderId="0" xfId="0" applyNumberFormat="1" applyFont="1" applyFill="1" applyBorder="1" applyAlignment="1">
      <alignment horizontal="center" vertical="center"/>
    </xf>
    <xf numFmtId="14" fontId="7" fillId="0" borderId="0" xfId="0" applyNumberFormat="1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left" vertical="center"/>
    </xf>
    <xf numFmtId="180" fontId="3" fillId="0" borderId="0" xfId="0" applyNumberFormat="1" applyFont="1" applyFill="1" applyBorder="1" applyAlignment="1">
      <alignment horizontal="left" vertical="center"/>
    </xf>
    <xf numFmtId="182" fontId="3" fillId="0" borderId="0" xfId="0" applyNumberFormat="1" applyFont="1" applyFill="1" applyBorder="1" applyAlignment="1">
      <alignment horizontal="left" vertical="center"/>
    </xf>
    <xf numFmtId="181" fontId="3" fillId="0" borderId="0" xfId="0" applyNumberFormat="1" applyFont="1" applyFill="1" applyBorder="1" applyAlignment="1">
      <alignment horizontal="left" vertical="center"/>
    </xf>
    <xf numFmtId="179" fontId="4" fillId="0" borderId="0" xfId="0" applyNumberFormat="1" applyFont="1" applyFill="1" applyBorder="1" applyAlignment="1">
      <alignment horizontal="left" vertical="center"/>
    </xf>
    <xf numFmtId="180" fontId="4" fillId="0" borderId="0" xfId="0" applyNumberFormat="1" applyFont="1" applyFill="1" applyBorder="1" applyAlignment="1">
      <alignment horizontal="left" vertical="center"/>
    </xf>
    <xf numFmtId="182" fontId="8" fillId="0" borderId="0" xfId="0" applyNumberFormat="1" applyFont="1" applyFill="1" applyBorder="1" applyAlignment="1">
      <alignment horizontal="center" vertical="center"/>
    </xf>
    <xf numFmtId="178" fontId="8" fillId="0" borderId="0" xfId="0" applyNumberFormat="1" applyFont="1" applyFill="1" applyBorder="1" applyAlignment="1">
      <alignment horizontal="center" vertical="center"/>
    </xf>
    <xf numFmtId="179" fontId="8" fillId="0" borderId="0" xfId="0" applyNumberFormat="1" applyFont="1" applyFill="1" applyBorder="1" applyAlignment="1">
      <alignment horizontal="center" vertical="center"/>
    </xf>
    <xf numFmtId="180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81" fontId="8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9+045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527564557575002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'zk79+045'!$U$4:$W$4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'zk79+045'!$V$6:$V$29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-0.49999999999883499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-0.89999999999967895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-1.4000000000002899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-2.2999999999999701</c:v>
                </c:pt>
                <c:pt idx="13">
                  <c:v>-2.3999999999997401</c:v>
                </c:pt>
                <c:pt idx="14">
                  <c:v>-2.7999999999899199</c:v>
                </c:pt>
                <c:pt idx="15">
                  <c:v>-2.99999999998946</c:v>
                </c:pt>
                <c:pt idx="16">
                  <c:v>-3.0999999999998802</c:v>
                </c:pt>
                <c:pt idx="17">
                  <c:v>-3.3999999999903001</c:v>
                </c:pt>
                <c:pt idx="18">
                  <c:v>-3.59999999998983</c:v>
                </c:pt>
                <c:pt idx="19">
                  <c:v>-3.8999999999997899</c:v>
                </c:pt>
                <c:pt idx="20">
                  <c:v>-3.4999999999989502</c:v>
                </c:pt>
                <c:pt idx="21">
                  <c:v>-3.1999999999996498</c:v>
                </c:pt>
                <c:pt idx="22">
                  <c:v>-3.80000000000003</c:v>
                </c:pt>
                <c:pt idx="23">
                  <c:v>-3.0999999999998802</c:v>
                </c:pt>
              </c:numCache>
            </c:numRef>
          </c:val>
        </c:ser>
        <c:ser>
          <c:idx val="1"/>
          <c:order val="1"/>
          <c:tx>
            <c:strRef>
              <c:f>'zk79+045'!$Y$4:$AA$4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'zk79+045'!$Z$6:$Z$29</c:f>
              <c:numCache>
                <c:formatCode>0.00_ </c:formatCode>
                <c:ptCount val="24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-0.799999999999912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-1.9000000000009001</c:v>
                </c:pt>
                <c:pt idx="11">
                  <c:v>-1.9000000000009001</c:v>
                </c:pt>
                <c:pt idx="12">
                  <c:v>-2.10000000000043</c:v>
                </c:pt>
                <c:pt idx="13">
                  <c:v>-2.0000000000006701</c:v>
                </c:pt>
                <c:pt idx="14">
                  <c:v>-2.4999999999995</c:v>
                </c:pt>
                <c:pt idx="15">
                  <c:v>-2.7000000000008102</c:v>
                </c:pt>
                <c:pt idx="16">
                  <c:v>-2.59999999999927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-3.1999999999996498</c:v>
                </c:pt>
                <c:pt idx="20">
                  <c:v>-3.0999999999998802</c:v>
                </c:pt>
                <c:pt idx="21">
                  <c:v>-2.9000000000003499</c:v>
                </c:pt>
                <c:pt idx="22">
                  <c:v>-3.1999999999996498</c:v>
                </c:pt>
                <c:pt idx="23">
                  <c:v>-3.0000000000001101</c:v>
                </c:pt>
              </c:numCache>
            </c:numRef>
          </c:val>
        </c:ser>
        <c:ser>
          <c:idx val="2"/>
          <c:order val="2"/>
          <c:tx>
            <c:strRef>
              <c:f>'zk79+045'!$AC$4:$AE$4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'zk79+045'!$AD$6:$AD$29</c:f>
              <c:numCache>
                <c:formatCode>0.00_ </c:formatCode>
                <c:ptCount val="24"/>
                <c:pt idx="0">
                  <c:v>0</c:v>
                </c:pt>
                <c:pt idx="1">
                  <c:v>0.30000000000107702</c:v>
                </c:pt>
                <c:pt idx="2">
                  <c:v>0.10000000000154299</c:v>
                </c:pt>
                <c:pt idx="3">
                  <c:v>-9.99999999997669E-2</c:v>
                </c:pt>
                <c:pt idx="4">
                  <c:v>0</c:v>
                </c:pt>
                <c:pt idx="5">
                  <c:v>-0.49999999999883499</c:v>
                </c:pt>
                <c:pt idx="6">
                  <c:v>-0.69999999999836904</c:v>
                </c:pt>
                <c:pt idx="7">
                  <c:v>-1.0999999999992101</c:v>
                </c:pt>
                <c:pt idx="8">
                  <c:v>-1.0999999999992101</c:v>
                </c:pt>
                <c:pt idx="9">
                  <c:v>-0.999999999999446</c:v>
                </c:pt>
                <c:pt idx="10">
                  <c:v>-1.49999999999828</c:v>
                </c:pt>
                <c:pt idx="11">
                  <c:v>-1.6999999999995901</c:v>
                </c:pt>
                <c:pt idx="12">
                  <c:v>-1.89999999998847</c:v>
                </c:pt>
                <c:pt idx="13">
                  <c:v>-1.59999999999982</c:v>
                </c:pt>
                <c:pt idx="14">
                  <c:v>-2.2999999999893102</c:v>
                </c:pt>
                <c:pt idx="15">
                  <c:v>-2.49999999998884</c:v>
                </c:pt>
                <c:pt idx="16">
                  <c:v>-2.8999999999985699</c:v>
                </c:pt>
                <c:pt idx="17">
                  <c:v>-2.8999999999896899</c:v>
                </c:pt>
                <c:pt idx="18">
                  <c:v>-3.0999999999892198</c:v>
                </c:pt>
                <c:pt idx="19">
                  <c:v>-2.99999999999834</c:v>
                </c:pt>
                <c:pt idx="20">
                  <c:v>-2.7999999999987999</c:v>
                </c:pt>
                <c:pt idx="21">
                  <c:v>-2.99999999999834</c:v>
                </c:pt>
                <c:pt idx="22">
                  <c:v>-2.8999999999985699</c:v>
                </c:pt>
                <c:pt idx="23">
                  <c:v>-2.59999999999927</c:v>
                </c:pt>
              </c:numCache>
            </c:numRef>
          </c:val>
        </c:ser>
        <c:dLbls/>
        <c:marker val="1"/>
        <c:axId val="177055232"/>
        <c:axId val="177106944"/>
      </c:lineChart>
      <c:lineChart>
        <c:grouping val="standard"/>
        <c:ser>
          <c:idx val="3"/>
          <c:order val="3"/>
          <c:tx>
            <c:strRef>
              <c:f>'zk79+045'!$AG$3:$AG$5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'zk79+045'!$AG$6:$AG$29</c:f>
              <c:numCache>
                <c:formatCode>0.0_ </c:formatCode>
                <c:ptCount val="24"/>
                <c:pt idx="0">
                  <c:v>10</c:v>
                </c:pt>
                <c:pt idx="1">
                  <c:v>16</c:v>
                </c:pt>
                <c:pt idx="2">
                  <c:v>22</c:v>
                </c:pt>
                <c:pt idx="3">
                  <c:v>28</c:v>
                </c:pt>
                <c:pt idx="4">
                  <c:v>34</c:v>
                </c:pt>
                <c:pt idx="5">
                  <c:v>40</c:v>
                </c:pt>
                <c:pt idx="6">
                  <c:v>46</c:v>
                </c:pt>
                <c:pt idx="7">
                  <c:v>52</c:v>
                </c:pt>
                <c:pt idx="8">
                  <c:v>58</c:v>
                </c:pt>
                <c:pt idx="9">
                  <c:v>64</c:v>
                </c:pt>
                <c:pt idx="10">
                  <c:v>70</c:v>
                </c:pt>
                <c:pt idx="11">
                  <c:v>73</c:v>
                </c:pt>
                <c:pt idx="12">
                  <c:v>76</c:v>
                </c:pt>
                <c:pt idx="13">
                  <c:v>79</c:v>
                </c:pt>
                <c:pt idx="14">
                  <c:v>82</c:v>
                </c:pt>
                <c:pt idx="15">
                  <c:v>85</c:v>
                </c:pt>
                <c:pt idx="16">
                  <c:v>88</c:v>
                </c:pt>
                <c:pt idx="17">
                  <c:v>91</c:v>
                </c:pt>
                <c:pt idx="18">
                  <c:v>94</c:v>
                </c:pt>
                <c:pt idx="19">
                  <c:v>97</c:v>
                </c:pt>
                <c:pt idx="20">
                  <c:v>100</c:v>
                </c:pt>
                <c:pt idx="21">
                  <c:v>103</c:v>
                </c:pt>
                <c:pt idx="22">
                  <c:v>106</c:v>
                </c:pt>
                <c:pt idx="23">
                  <c:v>109</c:v>
                </c:pt>
              </c:numCache>
            </c:numRef>
          </c:val>
        </c:ser>
        <c:dLbls/>
        <c:marker val="1"/>
        <c:axId val="177108864"/>
        <c:axId val="177110400"/>
      </c:lineChart>
      <c:dateAx>
        <c:axId val="1770552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106944"/>
        <c:crossesAt val="-50"/>
        <c:auto val="1"/>
        <c:lblOffset val="100"/>
        <c:baseTimeUnit val="days"/>
      </c:dateAx>
      <c:valAx>
        <c:axId val="17710694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055232"/>
        <c:crosses val="autoZero"/>
        <c:crossBetween val="midCat"/>
        <c:majorUnit val="1"/>
        <c:minorUnit val="0.1"/>
      </c:valAx>
      <c:dateAx>
        <c:axId val="1771088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177110400"/>
        <c:crosses val="autoZero"/>
        <c:auto val="1"/>
        <c:lblOffset val="100"/>
        <c:baseTimeUnit val="days"/>
      </c:dateAx>
      <c:valAx>
        <c:axId val="17711040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10886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ZK79+0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'zk79+045'!$C$4:$G$4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'zk79+045'!$A$6:$A$29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'zk79+045'!$G$6:$G$29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0.20000000006348301</c:v>
                </c:pt>
                <c:pt idx="14">
                  <c:v>-0.59999999996307496</c:v>
                </c:pt>
                <c:pt idx="15">
                  <c:v>-0.100000000031741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0.15000000001919001</c:v>
                </c:pt>
                <c:pt idx="21">
                  <c:v>-0.100000000031741</c:v>
                </c:pt>
                <c:pt idx="22">
                  <c:v>0.15000000001919001</c:v>
                </c:pt>
                <c:pt idx="23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'zk79+045'!$H$4:$L$4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'zk79+045'!$A$6:$A$29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'zk79+045'!$L$6:$L$29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-0.10000000008858501</c:v>
                </c:pt>
                <c:pt idx="3">
                  <c:v>-0.199999999949796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-0.20000000006348301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0.100000000031741</c:v>
                </c:pt>
                <c:pt idx="16">
                  <c:v>-0.30000000003838101</c:v>
                </c:pt>
                <c:pt idx="17">
                  <c:v>-9.9999999974897905E-2</c:v>
                </c:pt>
                <c:pt idx="18">
                  <c:v>4.9999999987449001E-2</c:v>
                </c:pt>
                <c:pt idx="19">
                  <c:v>9.9999999974897905E-2</c:v>
                </c:pt>
                <c:pt idx="20">
                  <c:v>-4.9999999987449001E-2</c:v>
                </c:pt>
                <c:pt idx="21">
                  <c:v>-0.40000000001327901</c:v>
                </c:pt>
                <c:pt idx="22">
                  <c:v>0.40000000001327901</c:v>
                </c:pt>
                <c:pt idx="23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'zk79+045'!$M$4:$Q$4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'zk79+045'!$A$6:$A$29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'zk79+045'!$Q$6:$Q$29</c:f>
              <c:numCache>
                <c:formatCode>0.00_ </c:formatCode>
                <c:ptCount val="24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-9.9999999974897905E-2</c:v>
                </c:pt>
                <c:pt idx="5">
                  <c:v>-0.30000000003838101</c:v>
                </c:pt>
                <c:pt idx="6">
                  <c:v>-9.9999999974897905E-2</c:v>
                </c:pt>
                <c:pt idx="7">
                  <c:v>-9.9999999974897905E-2</c:v>
                </c:pt>
                <c:pt idx="8">
                  <c:v>9.9999999974897905E-2</c:v>
                </c:pt>
                <c:pt idx="9">
                  <c:v>-0.30000000003838101</c:v>
                </c:pt>
                <c:pt idx="10">
                  <c:v>-9.9999999974897905E-2</c:v>
                </c:pt>
                <c:pt idx="11">
                  <c:v>-0.199999999949796</c:v>
                </c:pt>
                <c:pt idx="12">
                  <c:v>0</c:v>
                </c:pt>
                <c:pt idx="13">
                  <c:v>-0.10000000008858501</c:v>
                </c:pt>
                <c:pt idx="14">
                  <c:v>-0.29999999992469401</c:v>
                </c:pt>
                <c:pt idx="15">
                  <c:v>4.9999999987449001E-2</c:v>
                </c:pt>
                <c:pt idx="16">
                  <c:v>-4.9999999987449001E-2</c:v>
                </c:pt>
                <c:pt idx="17">
                  <c:v>-0.100000000031741</c:v>
                </c:pt>
                <c:pt idx="18">
                  <c:v>0</c:v>
                </c:pt>
                <c:pt idx="19">
                  <c:v>-4.9999999987449001E-2</c:v>
                </c:pt>
                <c:pt idx="20">
                  <c:v>0.100000000031741</c:v>
                </c:pt>
                <c:pt idx="21">
                  <c:v>9.9999999974897905E-2</c:v>
                </c:pt>
                <c:pt idx="22">
                  <c:v>-4.9999999987449001E-2</c:v>
                </c:pt>
                <c:pt idx="23">
                  <c:v>4.9999999987449001E-2</c:v>
                </c:pt>
              </c:numCache>
            </c:numRef>
          </c:val>
        </c:ser>
        <c:dLbls/>
        <c:marker val="1"/>
        <c:axId val="177169152"/>
        <c:axId val="177171456"/>
      </c:lineChart>
      <c:dateAx>
        <c:axId val="1771691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171456"/>
        <c:crossesAt val="-50"/>
        <c:auto val="1"/>
        <c:lblOffset val="100"/>
        <c:baseTimeUnit val="days"/>
      </c:dateAx>
      <c:valAx>
        <c:axId val="17717145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16915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9+045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'zk79+045'!$U$4:$W$4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'zk79+045'!$W$6:$W$29</c:f>
              <c:numCache>
                <c:formatCode>0.00_ </c:formatCode>
                <c:ptCount val="24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0.30000000000107702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0.50000000000061096</c:v>
                </c:pt>
                <c:pt idx="8">
                  <c:v>0.19999999999953399</c:v>
                </c:pt>
                <c:pt idx="9">
                  <c:v>-0.19999999999953399</c:v>
                </c:pt>
                <c:pt idx="10">
                  <c:v>0.59999999999860198</c:v>
                </c:pt>
                <c:pt idx="11">
                  <c:v>0.20000000000130999</c:v>
                </c:pt>
                <c:pt idx="12">
                  <c:v>9.99999999997669E-2</c:v>
                </c:pt>
                <c:pt idx="13">
                  <c:v>9.99999999997669E-2</c:v>
                </c:pt>
                <c:pt idx="14">
                  <c:v>0.39999999999018598</c:v>
                </c:pt>
                <c:pt idx="15">
                  <c:v>9.99999999997669E-2</c:v>
                </c:pt>
                <c:pt idx="16">
                  <c:v>5.00000000052125E-2</c:v>
                </c:pt>
                <c:pt idx="17">
                  <c:v>0.14999999999520999</c:v>
                </c:pt>
                <c:pt idx="18">
                  <c:v>9.99999999997669E-2</c:v>
                </c:pt>
                <c:pt idx="19">
                  <c:v>0.15000000000497901</c:v>
                </c:pt>
                <c:pt idx="20">
                  <c:v>-0.20000000000042201</c:v>
                </c:pt>
                <c:pt idx="21">
                  <c:v>-0.14999999999965</c:v>
                </c:pt>
                <c:pt idx="22">
                  <c:v>0.300000000000189</c:v>
                </c:pt>
                <c:pt idx="23">
                  <c:v>-0.35000000000007198</c:v>
                </c:pt>
              </c:numCache>
            </c:numRef>
          </c:val>
        </c:ser>
        <c:ser>
          <c:idx val="1"/>
          <c:order val="1"/>
          <c:tx>
            <c:strRef>
              <c:f>'zk79+045'!$Y$4:$AA$4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'zk79+045'!$AA$6:$AA$29</c:f>
              <c:numCache>
                <c:formatCode>0.00_ </c:formatCode>
                <c:ptCount val="24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-0.50000000000061096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-0.40000000000084401</c:v>
                </c:pt>
                <c:pt idx="11">
                  <c:v>0</c:v>
                </c:pt>
                <c:pt idx="12">
                  <c:v>-0.19999999999953399</c:v>
                </c:pt>
                <c:pt idx="13">
                  <c:v>9.99999999997669E-2</c:v>
                </c:pt>
                <c:pt idx="14">
                  <c:v>-0.49999999999883499</c:v>
                </c:pt>
                <c:pt idx="15">
                  <c:v>-0.100000000000655</c:v>
                </c:pt>
                <c:pt idx="16">
                  <c:v>5.0000000000771601E-2</c:v>
                </c:pt>
                <c:pt idx="17">
                  <c:v>-0.25000000000030598</c:v>
                </c:pt>
                <c:pt idx="18">
                  <c:v>-9.99999999997669E-2</c:v>
                </c:pt>
                <c:pt idx="19">
                  <c:v>4.9999999999883499E-2</c:v>
                </c:pt>
                <c:pt idx="20">
                  <c:v>4.9999999999883499E-2</c:v>
                </c:pt>
                <c:pt idx="21">
                  <c:v>9.99999999997669E-2</c:v>
                </c:pt>
                <c:pt idx="22">
                  <c:v>-0.14999999999965</c:v>
                </c:pt>
                <c:pt idx="23">
                  <c:v>9.99999999997669E-2</c:v>
                </c:pt>
              </c:numCache>
            </c:numRef>
          </c:val>
        </c:ser>
        <c:ser>
          <c:idx val="2"/>
          <c:order val="2"/>
          <c:tx>
            <c:strRef>
              <c:f>'zk79+045'!$AC$4:$AE$4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'zk79+045'!$AE$6:$AE$29</c:f>
              <c:numCache>
                <c:formatCode>0.00_ </c:formatCode>
                <c:ptCount val="24"/>
                <c:pt idx="0">
                  <c:v>0</c:v>
                </c:pt>
                <c:pt idx="1">
                  <c:v>0.30000000000107702</c:v>
                </c:pt>
                <c:pt idx="2">
                  <c:v>-0.19999999999953399</c:v>
                </c:pt>
                <c:pt idx="3">
                  <c:v>-0.20000000000130999</c:v>
                </c:pt>
                <c:pt idx="4">
                  <c:v>9.99999999997669E-2</c:v>
                </c:pt>
                <c:pt idx="5">
                  <c:v>-0.49999999999883499</c:v>
                </c:pt>
                <c:pt idx="6">
                  <c:v>-0.19999999999953399</c:v>
                </c:pt>
                <c:pt idx="7">
                  <c:v>-0.40000000000084401</c:v>
                </c:pt>
                <c:pt idx="8">
                  <c:v>0</c:v>
                </c:pt>
                <c:pt idx="9">
                  <c:v>9.99999999997669E-2</c:v>
                </c:pt>
                <c:pt idx="10">
                  <c:v>-0.49999999999883499</c:v>
                </c:pt>
                <c:pt idx="11">
                  <c:v>-0.20000000000130999</c:v>
                </c:pt>
                <c:pt idx="12">
                  <c:v>-0.19999999998887599</c:v>
                </c:pt>
                <c:pt idx="13">
                  <c:v>0.29999999998864302</c:v>
                </c:pt>
                <c:pt idx="14">
                  <c:v>-0.69999999998948703</c:v>
                </c:pt>
                <c:pt idx="15">
                  <c:v>-9.99999999997669E-2</c:v>
                </c:pt>
                <c:pt idx="16">
                  <c:v>-0.20000000000486301</c:v>
                </c:pt>
                <c:pt idx="17">
                  <c:v>4.4408920985006302E-12</c:v>
                </c:pt>
                <c:pt idx="18">
                  <c:v>-9.99999999997669E-2</c:v>
                </c:pt>
                <c:pt idx="19">
                  <c:v>4.99999999954426E-2</c:v>
                </c:pt>
                <c:pt idx="20">
                  <c:v>9.99999999997669E-2</c:v>
                </c:pt>
                <c:pt idx="21">
                  <c:v>-9.99999999997669E-2</c:v>
                </c:pt>
                <c:pt idx="22">
                  <c:v>4.9999999999883499E-2</c:v>
                </c:pt>
                <c:pt idx="23">
                  <c:v>0.14999999999965</c:v>
                </c:pt>
              </c:numCache>
            </c:numRef>
          </c:val>
        </c:ser>
        <c:dLbls/>
        <c:marker val="1"/>
        <c:axId val="177214976"/>
        <c:axId val="177242112"/>
      </c:lineChart>
      <c:dateAx>
        <c:axId val="1772149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242112"/>
        <c:crossesAt val="-50"/>
        <c:auto val="1"/>
        <c:lblOffset val="100"/>
        <c:baseTimeUnit val="days"/>
      </c:dateAx>
      <c:valAx>
        <c:axId val="17724211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21497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ZK79+0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'zk79+045'!$C$4:$G$4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'zk79+045'!$F$6:$F$29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-0.69999999993797202</c:v>
                </c:pt>
                <c:pt idx="7">
                  <c:v>-1.1999999999261499</c:v>
                </c:pt>
                <c:pt idx="8">
                  <c:v>-1.39999999998963</c:v>
                </c:pt>
                <c:pt idx="9">
                  <c:v>-1.30000000001473</c:v>
                </c:pt>
                <c:pt idx="10">
                  <c:v>-1.8000000000029099</c:v>
                </c:pt>
                <c:pt idx="11">
                  <c:v>-1.9999999999527101</c:v>
                </c:pt>
                <c:pt idx="12">
                  <c:v>-2.2000000000161899</c:v>
                </c:pt>
                <c:pt idx="13">
                  <c:v>-1.9999999999527101</c:v>
                </c:pt>
                <c:pt idx="14">
                  <c:v>-2.5999999999157799</c:v>
                </c:pt>
                <c:pt idx="15">
                  <c:v>-2.79999999997926</c:v>
                </c:pt>
                <c:pt idx="16">
                  <c:v>-2.70000000000437</c:v>
                </c:pt>
                <c:pt idx="17">
                  <c:v>-3.1999999999925399</c:v>
                </c:pt>
                <c:pt idx="18">
                  <c:v>-3.3999999999423398</c:v>
                </c:pt>
                <c:pt idx="19">
                  <c:v>-3.2999999999674401</c:v>
                </c:pt>
                <c:pt idx="20">
                  <c:v>-2.9999999999290599</c:v>
                </c:pt>
                <c:pt idx="21">
                  <c:v>-3.1999999999925399</c:v>
                </c:pt>
                <c:pt idx="22">
                  <c:v>-2.8999999999541601</c:v>
                </c:pt>
                <c:pt idx="23">
                  <c:v>-2.70000000000437</c:v>
                </c:pt>
              </c:numCache>
            </c:numRef>
          </c:val>
        </c:ser>
        <c:ser>
          <c:idx val="1"/>
          <c:order val="1"/>
          <c:tx>
            <c:strRef>
              <c:f>'zk79+045'!$H$4:$L$4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'zk79+045'!$K$6:$K$29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-0.40000000001327901</c:v>
                </c:pt>
                <c:pt idx="5">
                  <c:v>-0.90000000000145497</c:v>
                </c:pt>
                <c:pt idx="6">
                  <c:v>-1.09999999995125</c:v>
                </c:pt>
                <c:pt idx="7">
                  <c:v>-1.30000000001473</c:v>
                </c:pt>
                <c:pt idx="8">
                  <c:v>-1.2000000000398401</c:v>
                </c:pt>
                <c:pt idx="9">
                  <c:v>-1.70000000002801</c:v>
                </c:pt>
                <c:pt idx="10">
                  <c:v>-1.8999999999778101</c:v>
                </c:pt>
                <c:pt idx="11">
                  <c:v>-1.8000000000029099</c:v>
                </c:pt>
                <c:pt idx="12">
                  <c:v>-2.2999999999910901</c:v>
                </c:pt>
                <c:pt idx="13">
                  <c:v>-2.4999999999408802</c:v>
                </c:pt>
                <c:pt idx="14">
                  <c:v>-2.70000000000437</c:v>
                </c:pt>
                <c:pt idx="15">
                  <c:v>-2.4999999999408802</c:v>
                </c:pt>
                <c:pt idx="16">
                  <c:v>-3.1000000000176402</c:v>
                </c:pt>
                <c:pt idx="17">
                  <c:v>-3.2999999999674401</c:v>
                </c:pt>
                <c:pt idx="18">
                  <c:v>-3.1999999999925399</c:v>
                </c:pt>
                <c:pt idx="19">
                  <c:v>-3.0000000000427498</c:v>
                </c:pt>
                <c:pt idx="20">
                  <c:v>-3.1000000000176402</c:v>
                </c:pt>
                <c:pt idx="21">
                  <c:v>-3.9000000000442001</c:v>
                </c:pt>
                <c:pt idx="22">
                  <c:v>-3.1000000000176402</c:v>
                </c:pt>
                <c:pt idx="23">
                  <c:v>-3.1999999999925399</c:v>
                </c:pt>
              </c:numCache>
            </c:numRef>
          </c:val>
        </c:ser>
        <c:ser>
          <c:idx val="2"/>
          <c:order val="2"/>
          <c:tx>
            <c:strRef>
              <c:f>'zk79+045'!$M$4:$Q$4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'zk79+045'!$P$6:$P$29</c:f>
              <c:numCache>
                <c:formatCode>0.00_ </c:formatCode>
                <c:ptCount val="24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-0.40000000001327901</c:v>
                </c:pt>
                <c:pt idx="5">
                  <c:v>-0.70000000005165897</c:v>
                </c:pt>
                <c:pt idx="6">
                  <c:v>-0.80000000002655702</c:v>
                </c:pt>
                <c:pt idx="7">
                  <c:v>-0.90000000000145497</c:v>
                </c:pt>
                <c:pt idx="8">
                  <c:v>-0.80000000002655702</c:v>
                </c:pt>
                <c:pt idx="9">
                  <c:v>-1.1000000000649399</c:v>
                </c:pt>
                <c:pt idx="10">
                  <c:v>-1.2000000000398401</c:v>
                </c:pt>
                <c:pt idx="11">
                  <c:v>-1.39999999998963</c:v>
                </c:pt>
                <c:pt idx="12">
                  <c:v>-1.39999999998963</c:v>
                </c:pt>
                <c:pt idx="13">
                  <c:v>-1.5000000000782201</c:v>
                </c:pt>
                <c:pt idx="14">
                  <c:v>-1.8000000000029099</c:v>
                </c:pt>
                <c:pt idx="15">
                  <c:v>-1.70000000002801</c:v>
                </c:pt>
                <c:pt idx="16">
                  <c:v>-1.8000000000029099</c:v>
                </c:pt>
                <c:pt idx="17">
                  <c:v>-2.00000000006639</c:v>
                </c:pt>
                <c:pt idx="18">
                  <c:v>-2.00000000006639</c:v>
                </c:pt>
                <c:pt idx="19">
                  <c:v>-2.1000000000412902</c:v>
                </c:pt>
                <c:pt idx="20">
                  <c:v>-1.8999999999778101</c:v>
                </c:pt>
                <c:pt idx="21">
                  <c:v>-1.70000000002801</c:v>
                </c:pt>
                <c:pt idx="22">
                  <c:v>-1.8000000000029099</c:v>
                </c:pt>
                <c:pt idx="23">
                  <c:v>-1.70000000002801</c:v>
                </c:pt>
              </c:numCache>
            </c:numRef>
          </c:val>
        </c:ser>
        <c:dLbls/>
        <c:marker val="1"/>
        <c:axId val="177313664"/>
        <c:axId val="177324416"/>
      </c:lineChart>
      <c:lineChart>
        <c:grouping val="standard"/>
        <c:ser>
          <c:idx val="3"/>
          <c:order val="3"/>
          <c:tx>
            <c:strRef>
              <c:f>'zk79+045'!$AG$3:$AG$5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'zk79+045'!$S$6:$S$29</c:f>
              <c:numCache>
                <c:formatCode>m"月"d"日";@</c:formatCode>
                <c:ptCount val="24"/>
                <c:pt idx="0">
                  <c:v>44462</c:v>
                </c:pt>
                <c:pt idx="1">
                  <c:v>44463</c:v>
                </c:pt>
                <c:pt idx="2">
                  <c:v>44464</c:v>
                </c:pt>
                <c:pt idx="3">
                  <c:v>44465</c:v>
                </c:pt>
                <c:pt idx="4">
                  <c:v>44466</c:v>
                </c:pt>
                <c:pt idx="5">
                  <c:v>44467</c:v>
                </c:pt>
                <c:pt idx="6">
                  <c:v>44468</c:v>
                </c:pt>
                <c:pt idx="7">
                  <c:v>44469</c:v>
                </c:pt>
                <c:pt idx="8">
                  <c:v>44470</c:v>
                </c:pt>
                <c:pt idx="9">
                  <c:v>44471</c:v>
                </c:pt>
                <c:pt idx="10">
                  <c:v>44472</c:v>
                </c:pt>
                <c:pt idx="11">
                  <c:v>44473</c:v>
                </c:pt>
                <c:pt idx="12">
                  <c:v>44474</c:v>
                </c:pt>
                <c:pt idx="13">
                  <c:v>44475</c:v>
                </c:pt>
                <c:pt idx="14">
                  <c:v>44476</c:v>
                </c:pt>
                <c:pt idx="15">
                  <c:v>44478</c:v>
                </c:pt>
                <c:pt idx="16">
                  <c:v>44480</c:v>
                </c:pt>
                <c:pt idx="17">
                  <c:v>44482</c:v>
                </c:pt>
                <c:pt idx="18">
                  <c:v>44484</c:v>
                </c:pt>
                <c:pt idx="19">
                  <c:v>44486</c:v>
                </c:pt>
                <c:pt idx="20">
                  <c:v>44488</c:v>
                </c:pt>
                <c:pt idx="21">
                  <c:v>44490</c:v>
                </c:pt>
                <c:pt idx="22">
                  <c:v>44492</c:v>
                </c:pt>
                <c:pt idx="23">
                  <c:v>44494</c:v>
                </c:pt>
              </c:numCache>
            </c:numRef>
          </c:cat>
          <c:val>
            <c:numRef>
              <c:f>'zk79+045'!$AG$6:$AG$29</c:f>
              <c:numCache>
                <c:formatCode>0.0_ </c:formatCode>
                <c:ptCount val="24"/>
                <c:pt idx="0">
                  <c:v>10</c:v>
                </c:pt>
                <c:pt idx="1">
                  <c:v>16</c:v>
                </c:pt>
                <c:pt idx="2">
                  <c:v>22</c:v>
                </c:pt>
                <c:pt idx="3">
                  <c:v>28</c:v>
                </c:pt>
                <c:pt idx="4">
                  <c:v>34</c:v>
                </c:pt>
                <c:pt idx="5">
                  <c:v>40</c:v>
                </c:pt>
                <c:pt idx="6">
                  <c:v>46</c:v>
                </c:pt>
                <c:pt idx="7">
                  <c:v>52</c:v>
                </c:pt>
                <c:pt idx="8">
                  <c:v>58</c:v>
                </c:pt>
                <c:pt idx="9">
                  <c:v>64</c:v>
                </c:pt>
                <c:pt idx="10">
                  <c:v>70</c:v>
                </c:pt>
                <c:pt idx="11">
                  <c:v>73</c:v>
                </c:pt>
                <c:pt idx="12">
                  <c:v>76</c:v>
                </c:pt>
                <c:pt idx="13">
                  <c:v>79</c:v>
                </c:pt>
                <c:pt idx="14">
                  <c:v>82</c:v>
                </c:pt>
                <c:pt idx="15">
                  <c:v>85</c:v>
                </c:pt>
                <c:pt idx="16">
                  <c:v>88</c:v>
                </c:pt>
                <c:pt idx="17">
                  <c:v>91</c:v>
                </c:pt>
                <c:pt idx="18">
                  <c:v>94</c:v>
                </c:pt>
                <c:pt idx="19">
                  <c:v>97</c:v>
                </c:pt>
                <c:pt idx="20">
                  <c:v>100</c:v>
                </c:pt>
                <c:pt idx="21">
                  <c:v>103</c:v>
                </c:pt>
                <c:pt idx="22">
                  <c:v>106</c:v>
                </c:pt>
                <c:pt idx="23">
                  <c:v>109</c:v>
                </c:pt>
              </c:numCache>
            </c:numRef>
          </c:val>
        </c:ser>
        <c:dLbls/>
        <c:marker val="1"/>
        <c:axId val="177326336"/>
        <c:axId val="176816128"/>
      </c:lineChart>
      <c:dateAx>
        <c:axId val="1773136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324416"/>
        <c:crossesAt val="-50"/>
        <c:auto val="1"/>
        <c:lblOffset val="100"/>
        <c:baseTimeUnit val="days"/>
      </c:dateAx>
      <c:valAx>
        <c:axId val="17732441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313664"/>
        <c:crosses val="autoZero"/>
        <c:crossBetween val="midCat"/>
        <c:majorUnit val="1"/>
        <c:minorUnit val="0.5"/>
      </c:valAx>
      <c:dateAx>
        <c:axId val="1773263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176816128"/>
        <c:crosses val="autoZero"/>
        <c:auto val="1"/>
        <c:lblOffset val="100"/>
        <c:baseTimeUnit val="days"/>
      </c:dateAx>
      <c:valAx>
        <c:axId val="176816128"/>
        <c:scaling>
          <c:orientation val="minMax"/>
          <c:max val="150"/>
          <c:min val="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32633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9+079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737208163445002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'zk79+079'!$U$4:$W$4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'zk79+079'!$V$6:$V$32</c:f>
              <c:numCache>
                <c:formatCode>0.00_ </c:formatCode>
                <c:ptCount val="27"/>
                <c:pt idx="0">
                  <c:v>0</c:v>
                </c:pt>
                <c:pt idx="1">
                  <c:v>0.39999999999906799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-0.19999999999953399</c:v>
                </c:pt>
                <c:pt idx="5">
                  <c:v>-0.40000000000084401</c:v>
                </c:pt>
                <c:pt idx="6">
                  <c:v>-0.30000000000107702</c:v>
                </c:pt>
                <c:pt idx="7">
                  <c:v>-0.799999999999912</c:v>
                </c:pt>
                <c:pt idx="8">
                  <c:v>-0.999999999999446</c:v>
                </c:pt>
                <c:pt idx="9">
                  <c:v>-0.799999999999912</c:v>
                </c:pt>
                <c:pt idx="10">
                  <c:v>-1.4000000000002899</c:v>
                </c:pt>
                <c:pt idx="11">
                  <c:v>-1.59999999999982</c:v>
                </c:pt>
                <c:pt idx="12">
                  <c:v>-1.3000000000005201</c:v>
                </c:pt>
                <c:pt idx="13">
                  <c:v>-2.0000000000006701</c:v>
                </c:pt>
                <c:pt idx="14">
                  <c:v>-2.1999999999895401</c:v>
                </c:pt>
                <c:pt idx="15">
                  <c:v>-2.6000000000010499</c:v>
                </c:pt>
                <c:pt idx="16">
                  <c:v>-2.59999999999039</c:v>
                </c:pt>
                <c:pt idx="17">
                  <c:v>-2.4999999999995</c:v>
                </c:pt>
                <c:pt idx="18">
                  <c:v>-2.6000000000010499</c:v>
                </c:pt>
                <c:pt idx="19">
                  <c:v>-2.30000000001951</c:v>
                </c:pt>
                <c:pt idx="20">
                  <c:v>-2.2000000000303999</c:v>
                </c:pt>
                <c:pt idx="21">
                  <c:v>-2.4999999999995</c:v>
                </c:pt>
                <c:pt idx="22">
                  <c:v>-2.00000000003975</c:v>
                </c:pt>
                <c:pt idx="23">
                  <c:v>-1.9000000000506401</c:v>
                </c:pt>
                <c:pt idx="24">
                  <c:v>-2.10000000000043</c:v>
                </c:pt>
                <c:pt idx="25">
                  <c:v>-1.9000000000009001</c:v>
                </c:pt>
                <c:pt idx="26">
                  <c:v>-2.2999999999999701</c:v>
                </c:pt>
              </c:numCache>
            </c:numRef>
          </c:val>
        </c:ser>
        <c:ser>
          <c:idx val="1"/>
          <c:order val="1"/>
          <c:tx>
            <c:strRef>
              <c:f>'zk79+079'!$Y$4:$AA$4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'zk79+079'!$Z$6:$Z$32</c:f>
              <c:numCache>
                <c:formatCode>0.00_ </c:formatCode>
                <c:ptCount val="27"/>
                <c:pt idx="0">
                  <c:v>0</c:v>
                </c:pt>
                <c:pt idx="1">
                  <c:v>0.29999999999930099</c:v>
                </c:pt>
                <c:pt idx="2">
                  <c:v>9.99999999997669E-2</c:v>
                </c:pt>
                <c:pt idx="3">
                  <c:v>-9.99999999997669E-2</c:v>
                </c:pt>
                <c:pt idx="4">
                  <c:v>-0.50000000000061096</c:v>
                </c:pt>
                <c:pt idx="5">
                  <c:v>-0.50000000000061096</c:v>
                </c:pt>
                <c:pt idx="6">
                  <c:v>-0.70000000000014495</c:v>
                </c:pt>
                <c:pt idx="7">
                  <c:v>-0.89999999999967895</c:v>
                </c:pt>
                <c:pt idx="8">
                  <c:v>-0.999999999999446</c:v>
                </c:pt>
                <c:pt idx="9">
                  <c:v>-1.3000000000005201</c:v>
                </c:pt>
                <c:pt idx="10">
                  <c:v>-1.50000000000006</c:v>
                </c:pt>
                <c:pt idx="11">
                  <c:v>-1.6999999999995901</c:v>
                </c:pt>
                <c:pt idx="12">
                  <c:v>-1.9000000000009001</c:v>
                </c:pt>
                <c:pt idx="13">
                  <c:v>-2.10000000000043</c:v>
                </c:pt>
                <c:pt idx="14">
                  <c:v>-2.0000000000006701</c:v>
                </c:pt>
                <c:pt idx="15">
                  <c:v>-2.4999999999995</c:v>
                </c:pt>
                <c:pt idx="16">
                  <c:v>-2.7000000000008102</c:v>
                </c:pt>
                <c:pt idx="17">
                  <c:v>-2.4999999999995</c:v>
                </c:pt>
                <c:pt idx="18">
                  <c:v>-2.8000000000005798</c:v>
                </c:pt>
                <c:pt idx="19">
                  <c:v>-3.0000000000001101</c:v>
                </c:pt>
                <c:pt idx="20">
                  <c:v>-2.9000000000003499</c:v>
                </c:pt>
                <c:pt idx="21">
                  <c:v>-3.1999999999996498</c:v>
                </c:pt>
                <c:pt idx="22">
                  <c:v>-3.0999999999998802</c:v>
                </c:pt>
                <c:pt idx="23">
                  <c:v>-3.5000000000007199</c:v>
                </c:pt>
                <c:pt idx="24">
                  <c:v>-3.40000000000096</c:v>
                </c:pt>
                <c:pt idx="25">
                  <c:v>-3.70000000000026</c:v>
                </c:pt>
                <c:pt idx="26">
                  <c:v>-3.5000000000007199</c:v>
                </c:pt>
              </c:numCache>
            </c:numRef>
          </c:val>
        </c:ser>
        <c:ser>
          <c:idx val="2"/>
          <c:order val="2"/>
          <c:tx>
            <c:strRef>
              <c:f>'zk79+079'!$AC$4:$AE$4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'zk79+079'!$AD$6:$AD$32</c:f>
              <c:numCache>
                <c:formatCode>0.00_ </c:formatCode>
                <c:ptCount val="27"/>
                <c:pt idx="0">
                  <c:v>0</c:v>
                </c:pt>
                <c:pt idx="1">
                  <c:v>-0.60000000000037801</c:v>
                </c:pt>
                <c:pt idx="2">
                  <c:v>-0.39999999999906799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-1.4000000000091699</c:v>
                </c:pt>
                <c:pt idx="8">
                  <c:v>-1.6000000000104799</c:v>
                </c:pt>
                <c:pt idx="9">
                  <c:v>-1.50000000000006</c:v>
                </c:pt>
                <c:pt idx="10">
                  <c:v>-2.0000000000095501</c:v>
                </c:pt>
                <c:pt idx="11">
                  <c:v>-2.20000000000908</c:v>
                </c:pt>
                <c:pt idx="12">
                  <c:v>-2.4000000000103898</c:v>
                </c:pt>
                <c:pt idx="13">
                  <c:v>-2.10000000000043</c:v>
                </c:pt>
                <c:pt idx="14">
                  <c:v>-2.8000000000201202</c:v>
                </c:pt>
                <c:pt idx="15">
                  <c:v>-3.0000000000196501</c:v>
                </c:pt>
                <c:pt idx="16">
                  <c:v>-3.0000000000001101</c:v>
                </c:pt>
                <c:pt idx="17">
                  <c:v>-3.2999999999994101</c:v>
                </c:pt>
                <c:pt idx="18">
                  <c:v>-3.6000000000004899</c:v>
                </c:pt>
                <c:pt idx="19">
                  <c:v>-3.0999999999998802</c:v>
                </c:pt>
                <c:pt idx="20">
                  <c:v>-3.2999999999994101</c:v>
                </c:pt>
                <c:pt idx="21">
                  <c:v>-3.3999999999991801</c:v>
                </c:pt>
                <c:pt idx="22">
                  <c:v>-3.1999999999996498</c:v>
                </c:pt>
                <c:pt idx="23">
                  <c:v>-3.3999999999991801</c:v>
                </c:pt>
                <c:pt idx="24">
                  <c:v>-3.2999999999994101</c:v>
                </c:pt>
                <c:pt idx="25">
                  <c:v>-3.6000000000004899</c:v>
                </c:pt>
                <c:pt idx="26">
                  <c:v>-3.0999999999998802</c:v>
                </c:pt>
              </c:numCache>
            </c:numRef>
          </c:val>
        </c:ser>
        <c:dLbls/>
        <c:marker val="1"/>
        <c:axId val="380426880"/>
        <c:axId val="177345280"/>
      </c:lineChart>
      <c:lineChart>
        <c:grouping val="standard"/>
        <c:ser>
          <c:idx val="3"/>
          <c:order val="3"/>
          <c:tx>
            <c:strRef>
              <c:f>'zk79+079'!$AG$3:$AG$5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'zk79+079'!$AG$6:$AG$32</c:f>
              <c:numCache>
                <c:formatCode>0.0_ </c:formatCode>
                <c:ptCount val="27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57</c:v>
                </c:pt>
                <c:pt idx="17">
                  <c:v>63</c:v>
                </c:pt>
                <c:pt idx="18">
                  <c:v>69</c:v>
                </c:pt>
                <c:pt idx="19">
                  <c:v>75</c:v>
                </c:pt>
                <c:pt idx="20">
                  <c:v>81</c:v>
                </c:pt>
                <c:pt idx="21">
                  <c:v>87</c:v>
                </c:pt>
                <c:pt idx="22">
                  <c:v>93</c:v>
                </c:pt>
                <c:pt idx="23">
                  <c:v>99</c:v>
                </c:pt>
                <c:pt idx="24">
                  <c:v>105</c:v>
                </c:pt>
                <c:pt idx="25">
                  <c:v>111</c:v>
                </c:pt>
                <c:pt idx="26">
                  <c:v>117</c:v>
                </c:pt>
              </c:numCache>
            </c:numRef>
          </c:val>
        </c:ser>
        <c:dLbls/>
        <c:marker val="1"/>
        <c:axId val="177346816"/>
        <c:axId val="177360896"/>
      </c:lineChart>
      <c:dateAx>
        <c:axId val="3804268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345280"/>
        <c:crossesAt val="-50"/>
        <c:auto val="1"/>
        <c:lblOffset val="100"/>
        <c:baseTimeUnit val="days"/>
      </c:dateAx>
      <c:valAx>
        <c:axId val="17734528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426880"/>
        <c:crosses val="autoZero"/>
        <c:crossBetween val="midCat"/>
        <c:majorUnit val="1"/>
        <c:minorUnit val="0.1"/>
      </c:valAx>
      <c:dateAx>
        <c:axId val="1773468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177360896"/>
        <c:crosses val="autoZero"/>
        <c:auto val="1"/>
        <c:lblOffset val="100"/>
        <c:baseTimeUnit val="days"/>
      </c:dateAx>
      <c:valAx>
        <c:axId val="177360896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734681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ZK79+0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'zk79+079'!$C$4:$G$4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'zk79+079'!$G$6:$G$32</c:f>
              <c:numCache>
                <c:formatCode>0.00_ </c:formatCode>
                <c:ptCount val="27"/>
                <c:pt idx="0">
                  <c:v>0</c:v>
                </c:pt>
                <c:pt idx="1">
                  <c:v>-0.60000000007676102</c:v>
                </c:pt>
                <c:pt idx="2">
                  <c:v>0.20000000006348301</c:v>
                </c:pt>
                <c:pt idx="3">
                  <c:v>-9.9999999974897905E-2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-0.10000000008858501</c:v>
                </c:pt>
                <c:pt idx="14">
                  <c:v>-0.29999999992469401</c:v>
                </c:pt>
                <c:pt idx="15">
                  <c:v>-0.100000000031741</c:v>
                </c:pt>
                <c:pt idx="16">
                  <c:v>-0.149999999962347</c:v>
                </c:pt>
                <c:pt idx="17">
                  <c:v>4.9999999987449001E-2</c:v>
                </c:pt>
                <c:pt idx="18">
                  <c:v>-0.20000000000663901</c:v>
                </c:pt>
                <c:pt idx="19">
                  <c:v>9.9999999974897905E-2</c:v>
                </c:pt>
                <c:pt idx="20">
                  <c:v>0.25000000005093198</c:v>
                </c:pt>
                <c:pt idx="21">
                  <c:v>4.9999999987449001E-2</c:v>
                </c:pt>
                <c:pt idx="22">
                  <c:v>9.9999999974897905E-2</c:v>
                </c:pt>
                <c:pt idx="23">
                  <c:v>-4.9999999987449001E-2</c:v>
                </c:pt>
                <c:pt idx="24">
                  <c:v>-4.9999999987449001E-2</c:v>
                </c:pt>
                <c:pt idx="25">
                  <c:v>-1.42857142821283E-2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'zk79+079'!$H$4:$L$4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'zk79+079'!$L$6:$L$32</c:f>
              <c:numCache>
                <c:formatCode>0.00_ </c:formatCode>
                <c:ptCount val="27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-9.9999999974897905E-2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-1.4499999999770801</c:v>
                </c:pt>
                <c:pt idx="8">
                  <c:v>1.0499999999637999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0</c:v>
                </c:pt>
                <c:pt idx="17">
                  <c:v>9.9999999974897905E-2</c:v>
                </c:pt>
                <c:pt idx="18">
                  <c:v>0.100000000031741</c:v>
                </c:pt>
                <c:pt idx="19">
                  <c:v>-4.9999999987449001E-2</c:v>
                </c:pt>
                <c:pt idx="20">
                  <c:v>0.24999999999408801</c:v>
                </c:pt>
                <c:pt idx="21">
                  <c:v>9.9999999974897905E-2</c:v>
                </c:pt>
                <c:pt idx="22">
                  <c:v>-0.15000000001919001</c:v>
                </c:pt>
                <c:pt idx="23">
                  <c:v>0.35000000002582998</c:v>
                </c:pt>
                <c:pt idx="24">
                  <c:v>9.9999999974897905E-2</c:v>
                </c:pt>
                <c:pt idx="25">
                  <c:v>-2.8571428564256599E-2</c:v>
                </c:pt>
                <c:pt idx="26">
                  <c:v>-2.8571428564256599E-2</c:v>
                </c:pt>
              </c:numCache>
            </c:numRef>
          </c:val>
        </c:ser>
        <c:ser>
          <c:idx val="2"/>
          <c:order val="2"/>
          <c:tx>
            <c:strRef>
              <c:f>'zk79+079'!$M$4:$Q$4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'zk79+079'!$Q$6:$Q$32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0.10000000008858501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-0.199999999949796</c:v>
                </c:pt>
                <c:pt idx="13">
                  <c:v>-0.10000000008858501</c:v>
                </c:pt>
                <c:pt idx="14">
                  <c:v>-0.29999999992469401</c:v>
                </c:pt>
                <c:pt idx="15">
                  <c:v>-0.100000000031741</c:v>
                </c:pt>
                <c:pt idx="16">
                  <c:v>0.100000000031741</c:v>
                </c:pt>
                <c:pt idx="17">
                  <c:v>4.9999999987449001E-2</c:v>
                </c:pt>
                <c:pt idx="18">
                  <c:v>4.9999999987449001E-2</c:v>
                </c:pt>
                <c:pt idx="19">
                  <c:v>0.100000000031741</c:v>
                </c:pt>
                <c:pt idx="20">
                  <c:v>0</c:v>
                </c:pt>
                <c:pt idx="21">
                  <c:v>4.9999999987449001E-2</c:v>
                </c:pt>
                <c:pt idx="22">
                  <c:v>0</c:v>
                </c:pt>
                <c:pt idx="23">
                  <c:v>9.9999999974897905E-2</c:v>
                </c:pt>
                <c:pt idx="24">
                  <c:v>-4.9999999987449001E-2</c:v>
                </c:pt>
                <c:pt idx="25">
                  <c:v>4.2857142862625798E-2</c:v>
                </c:pt>
                <c:pt idx="26">
                  <c:v>-5.7142857144754103E-2</c:v>
                </c:pt>
              </c:numCache>
            </c:numRef>
          </c:val>
        </c:ser>
        <c:dLbls/>
        <c:marker val="1"/>
        <c:axId val="380385152"/>
        <c:axId val="380502400"/>
      </c:lineChart>
      <c:dateAx>
        <c:axId val="3803851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502400"/>
        <c:crossesAt val="-50"/>
        <c:auto val="1"/>
        <c:lblOffset val="100"/>
        <c:baseTimeUnit val="days"/>
        <c:majorUnit val="6"/>
        <c:majorTimeUnit val="days"/>
      </c:dateAx>
      <c:valAx>
        <c:axId val="38050240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38515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9+079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'zk79+079'!$U$4:$W$4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'zk79+079'!$W$6:$W$32</c:f>
              <c:numCache>
                <c:formatCode>0.00_ </c:formatCode>
                <c:ptCount val="27"/>
                <c:pt idx="0">
                  <c:v>0</c:v>
                </c:pt>
                <c:pt idx="1">
                  <c:v>-0.39999999999906799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0.29999999999930099</c:v>
                </c:pt>
                <c:pt idx="5">
                  <c:v>0.20000000000130999</c:v>
                </c:pt>
                <c:pt idx="6">
                  <c:v>-9.99999999997669E-2</c:v>
                </c:pt>
                <c:pt idx="7">
                  <c:v>0.49999999999883499</c:v>
                </c:pt>
                <c:pt idx="8">
                  <c:v>0.19999999999953399</c:v>
                </c:pt>
                <c:pt idx="9">
                  <c:v>-0.19999999999953399</c:v>
                </c:pt>
                <c:pt idx="10">
                  <c:v>0.60000000000037801</c:v>
                </c:pt>
                <c:pt idx="11">
                  <c:v>0.19999999999953399</c:v>
                </c:pt>
                <c:pt idx="12">
                  <c:v>-0.29999999999930099</c:v>
                </c:pt>
                <c:pt idx="13">
                  <c:v>0.70000000000014495</c:v>
                </c:pt>
                <c:pt idx="14">
                  <c:v>0.19999999998887599</c:v>
                </c:pt>
                <c:pt idx="15">
                  <c:v>0.20000000000575099</c:v>
                </c:pt>
                <c:pt idx="16">
                  <c:v>-5.3290705182007498E-12</c:v>
                </c:pt>
                <c:pt idx="17">
                  <c:v>-4.99999999954426E-2</c:v>
                </c:pt>
                <c:pt idx="18">
                  <c:v>5.0000000000771601E-2</c:v>
                </c:pt>
                <c:pt idx="19">
                  <c:v>-0.14999999999076899</c:v>
                </c:pt>
                <c:pt idx="20">
                  <c:v>-4.99999999945544E-2</c:v>
                </c:pt>
                <c:pt idx="21">
                  <c:v>0.14999999998455099</c:v>
                </c:pt>
                <c:pt idx="22">
                  <c:v>-0.24999999997987701</c:v>
                </c:pt>
                <c:pt idx="23">
                  <c:v>-4.99999999945544E-2</c:v>
                </c:pt>
                <c:pt idx="24">
                  <c:v>9.9999999974897905E-2</c:v>
                </c:pt>
                <c:pt idx="25">
                  <c:v>-2.8571428571361999E-2</c:v>
                </c:pt>
                <c:pt idx="26">
                  <c:v>5.7142857142723998E-2</c:v>
                </c:pt>
              </c:numCache>
            </c:numRef>
          </c:val>
        </c:ser>
        <c:ser>
          <c:idx val="1"/>
          <c:order val="1"/>
          <c:tx>
            <c:strRef>
              <c:f>'zk79+079'!$Y$4:$AA$4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'zk79+079'!$AA$6:$AA$32</c:f>
              <c:numCache>
                <c:formatCode>0.00_ </c:formatCode>
                <c:ptCount val="27"/>
                <c:pt idx="0">
                  <c:v>0</c:v>
                </c:pt>
                <c:pt idx="1">
                  <c:v>0.29999999999930099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-0.40000000000084401</c:v>
                </c:pt>
                <c:pt idx="5">
                  <c:v>0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-0.19999999999953399</c:v>
                </c:pt>
                <c:pt idx="11">
                  <c:v>-0.19999999999953399</c:v>
                </c:pt>
                <c:pt idx="12">
                  <c:v>-0.20000000000130999</c:v>
                </c:pt>
                <c:pt idx="13">
                  <c:v>-0.19999999999953399</c:v>
                </c:pt>
                <c:pt idx="14">
                  <c:v>9.99999999997669E-2</c:v>
                </c:pt>
                <c:pt idx="15">
                  <c:v>-0.24999999999941699</c:v>
                </c:pt>
                <c:pt idx="16">
                  <c:v>-0.100000000000655</c:v>
                </c:pt>
                <c:pt idx="17">
                  <c:v>0.100000000000655</c:v>
                </c:pt>
                <c:pt idx="18">
                  <c:v>-0.15000000000053901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-0.14999999999965</c:v>
                </c:pt>
                <c:pt idx="22">
                  <c:v>4.9999999999883499E-2</c:v>
                </c:pt>
                <c:pt idx="23">
                  <c:v>-0.20000000000042201</c:v>
                </c:pt>
                <c:pt idx="24">
                  <c:v>4.9999999999883499E-2</c:v>
                </c:pt>
                <c:pt idx="25">
                  <c:v>-4.2857142857043E-2</c:v>
                </c:pt>
                <c:pt idx="26">
                  <c:v>2.8571428571361999E-2</c:v>
                </c:pt>
              </c:numCache>
            </c:numRef>
          </c:val>
        </c:ser>
        <c:ser>
          <c:idx val="2"/>
          <c:order val="2"/>
          <c:tx>
            <c:strRef>
              <c:f>'zk79+079'!$AC$4:$AE$4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'zk79+079'!$S$6:$S$32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'zk79+079'!$AE$6:$AE$32</c:f>
              <c:numCache>
                <c:formatCode>0.00_ </c:formatCode>
                <c:ptCount val="27"/>
                <c:pt idx="0">
                  <c:v>0</c:v>
                </c:pt>
                <c:pt idx="1">
                  <c:v>-0.60000000000037801</c:v>
                </c:pt>
                <c:pt idx="2">
                  <c:v>0.20000000000130999</c:v>
                </c:pt>
                <c:pt idx="3">
                  <c:v>-0.20000000000130999</c:v>
                </c:pt>
                <c:pt idx="4">
                  <c:v>-0.19999999999953399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-0.200000000010192</c:v>
                </c:pt>
                <c:pt idx="8">
                  <c:v>-0.20000000000130999</c:v>
                </c:pt>
                <c:pt idx="9">
                  <c:v>0.100000000010425</c:v>
                </c:pt>
                <c:pt idx="10">
                  <c:v>-0.50000000000949296</c:v>
                </c:pt>
                <c:pt idx="11">
                  <c:v>-0.19999999999953399</c:v>
                </c:pt>
                <c:pt idx="12">
                  <c:v>-0.20000000000130999</c:v>
                </c:pt>
                <c:pt idx="13">
                  <c:v>0.30000000000995902</c:v>
                </c:pt>
                <c:pt idx="14">
                  <c:v>-0.70000000001968499</c:v>
                </c:pt>
                <c:pt idx="15">
                  <c:v>-9.99999999997669E-2</c:v>
                </c:pt>
                <c:pt idx="16">
                  <c:v>9.7699626167013808E-12</c:v>
                </c:pt>
                <c:pt idx="17">
                  <c:v>-0.14999999999965</c:v>
                </c:pt>
                <c:pt idx="18">
                  <c:v>-0.15000000000053901</c:v>
                </c:pt>
                <c:pt idx="19">
                  <c:v>0.25000000000030598</c:v>
                </c:pt>
                <c:pt idx="20">
                  <c:v>-9.99999999997669E-2</c:v>
                </c:pt>
                <c:pt idx="21">
                  <c:v>-4.9999999999883499E-2</c:v>
                </c:pt>
                <c:pt idx="22">
                  <c:v>9.99999999997669E-2</c:v>
                </c:pt>
                <c:pt idx="23">
                  <c:v>-9.99999999997669E-2</c:v>
                </c:pt>
                <c:pt idx="24">
                  <c:v>4.9999999999883499E-2</c:v>
                </c:pt>
                <c:pt idx="25">
                  <c:v>-4.28571428572967E-2</c:v>
                </c:pt>
                <c:pt idx="26">
                  <c:v>7.1428571428658702E-2</c:v>
                </c:pt>
              </c:numCache>
            </c:numRef>
          </c:val>
        </c:ser>
        <c:dLbls/>
        <c:marker val="1"/>
        <c:axId val="380639872"/>
        <c:axId val="380650624"/>
      </c:lineChart>
      <c:dateAx>
        <c:axId val="3806398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650624"/>
        <c:crossesAt val="-50"/>
        <c:auto val="1"/>
        <c:lblOffset val="100"/>
        <c:baseTimeUnit val="days"/>
        <c:majorUnit val="6"/>
        <c:majorTimeUnit val="days"/>
      </c:dateAx>
      <c:valAx>
        <c:axId val="38065062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63987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ZK79+0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'zk79+079'!$C$4:$G$4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'zk79+079'!$F$6:$F$32</c:f>
              <c:numCache>
                <c:formatCode>0.00_ </c:formatCode>
                <c:ptCount val="27"/>
                <c:pt idx="0">
                  <c:v>0</c:v>
                </c:pt>
                <c:pt idx="1">
                  <c:v>-0.60000000007676102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-0.99999999997635303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-1.70000000002801</c:v>
                </c:pt>
                <c:pt idx="10">
                  <c:v>-1.60000000005311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-2.40000000007967</c:v>
                </c:pt>
                <c:pt idx="14">
                  <c:v>-2.70000000000437</c:v>
                </c:pt>
                <c:pt idx="15">
                  <c:v>-2.9000000000678501</c:v>
                </c:pt>
                <c:pt idx="16">
                  <c:v>-3.1999999999925399</c:v>
                </c:pt>
                <c:pt idx="17">
                  <c:v>-3.1000000000176402</c:v>
                </c:pt>
                <c:pt idx="18">
                  <c:v>-3.5000000000309202</c:v>
                </c:pt>
                <c:pt idx="19">
                  <c:v>-3.30000000008113</c:v>
                </c:pt>
                <c:pt idx="20">
                  <c:v>-2.79999999997926</c:v>
                </c:pt>
                <c:pt idx="21">
                  <c:v>-2.70000000000437</c:v>
                </c:pt>
                <c:pt idx="22">
                  <c:v>-2.5000000000545701</c:v>
                </c:pt>
                <c:pt idx="23">
                  <c:v>-2.6000000000294698</c:v>
                </c:pt>
                <c:pt idx="24">
                  <c:v>-2.70000000000437</c:v>
                </c:pt>
                <c:pt idx="25">
                  <c:v>-2.79999999997926</c:v>
                </c:pt>
                <c:pt idx="26">
                  <c:v>-2.79999999997926</c:v>
                </c:pt>
              </c:numCache>
            </c:numRef>
          </c:val>
        </c:ser>
        <c:ser>
          <c:idx val="1"/>
          <c:order val="1"/>
          <c:tx>
            <c:strRef>
              <c:f>'zk79+079'!$H$4:$L$4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'zk79+079'!$K$6:$K$32</c:f>
              <c:numCache>
                <c:formatCode>0.00_ </c:formatCode>
                <c:ptCount val="27"/>
                <c:pt idx="0">
                  <c:v>0</c:v>
                </c:pt>
                <c:pt idx="1">
                  <c:v>9.9999999974897905E-2</c:v>
                </c:pt>
                <c:pt idx="2">
                  <c:v>-0.10000000008858501</c:v>
                </c:pt>
                <c:pt idx="3">
                  <c:v>-0.20000000006348301</c:v>
                </c:pt>
                <c:pt idx="4">
                  <c:v>-0.40000000001327901</c:v>
                </c:pt>
                <c:pt idx="5">
                  <c:v>-0.60000000007676102</c:v>
                </c:pt>
                <c:pt idx="6">
                  <c:v>-0.80000000002655702</c:v>
                </c:pt>
                <c:pt idx="7">
                  <c:v>-2.2500000000036402</c:v>
                </c:pt>
                <c:pt idx="8">
                  <c:v>-1.2000000000398401</c:v>
                </c:pt>
                <c:pt idx="9">
                  <c:v>-1.39999999998963</c:v>
                </c:pt>
                <c:pt idx="10">
                  <c:v>-1.30000000001473</c:v>
                </c:pt>
                <c:pt idx="11">
                  <c:v>-1.8000000000029099</c:v>
                </c:pt>
                <c:pt idx="12">
                  <c:v>-2.00000000006639</c:v>
                </c:pt>
                <c:pt idx="13">
                  <c:v>-1.9000000000915001</c:v>
                </c:pt>
                <c:pt idx="14">
                  <c:v>-2.40000000007967</c:v>
                </c:pt>
                <c:pt idx="15">
                  <c:v>-2.6000000000294698</c:v>
                </c:pt>
                <c:pt idx="16">
                  <c:v>-2.6000000000294698</c:v>
                </c:pt>
                <c:pt idx="17">
                  <c:v>-2.40000000007967</c:v>
                </c:pt>
                <c:pt idx="18">
                  <c:v>-2.2000000000161899</c:v>
                </c:pt>
                <c:pt idx="19">
                  <c:v>-2.2999999999910901</c:v>
                </c:pt>
                <c:pt idx="20">
                  <c:v>-1.8000000000029099</c:v>
                </c:pt>
                <c:pt idx="21">
                  <c:v>-1.60000000005311</c:v>
                </c:pt>
                <c:pt idx="22">
                  <c:v>-1.9000000000915001</c:v>
                </c:pt>
                <c:pt idx="23">
                  <c:v>-1.2000000000398401</c:v>
                </c:pt>
                <c:pt idx="24">
                  <c:v>-1.00000000009004</c:v>
                </c:pt>
                <c:pt idx="25">
                  <c:v>-1.2000000000398401</c:v>
                </c:pt>
                <c:pt idx="26">
                  <c:v>-1.39999999998963</c:v>
                </c:pt>
              </c:numCache>
            </c:numRef>
          </c:val>
        </c:ser>
        <c:ser>
          <c:idx val="2"/>
          <c:order val="2"/>
          <c:tx>
            <c:strRef>
              <c:f>'zk79+079'!$M$4:$Q$4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'zk79+079'!$P$6:$P$32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-0.69999999993797202</c:v>
                </c:pt>
                <c:pt idx="6">
                  <c:v>-0.90000000000145497</c:v>
                </c:pt>
                <c:pt idx="7">
                  <c:v>-0.99999999997635303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-1.5999999999394301</c:v>
                </c:pt>
                <c:pt idx="11">
                  <c:v>-1.8999999999778101</c:v>
                </c:pt>
                <c:pt idx="12">
                  <c:v>-2.0999999999275998</c:v>
                </c:pt>
                <c:pt idx="13">
                  <c:v>-2.2000000000161899</c:v>
                </c:pt>
                <c:pt idx="14">
                  <c:v>-2.4999999999408802</c:v>
                </c:pt>
                <c:pt idx="15">
                  <c:v>-2.70000000000437</c:v>
                </c:pt>
                <c:pt idx="16">
                  <c:v>-2.4999999999408802</c:v>
                </c:pt>
                <c:pt idx="17">
                  <c:v>-2.39999999996598</c:v>
                </c:pt>
                <c:pt idx="18">
                  <c:v>-2.2999999999910901</c:v>
                </c:pt>
                <c:pt idx="19">
                  <c:v>-2.0999999999275998</c:v>
                </c:pt>
                <c:pt idx="20">
                  <c:v>-2.0999999999275998</c:v>
                </c:pt>
                <c:pt idx="21">
                  <c:v>-1.9999999999527101</c:v>
                </c:pt>
                <c:pt idx="22">
                  <c:v>-1.9999999999527101</c:v>
                </c:pt>
                <c:pt idx="23">
                  <c:v>-1.8000000000029099</c:v>
                </c:pt>
                <c:pt idx="24">
                  <c:v>-1.8999999999778101</c:v>
                </c:pt>
                <c:pt idx="25">
                  <c:v>-1.5999999999394301</c:v>
                </c:pt>
                <c:pt idx="26">
                  <c:v>-1.9999999999527101</c:v>
                </c:pt>
              </c:numCache>
            </c:numRef>
          </c:val>
        </c:ser>
        <c:dLbls/>
        <c:marker val="1"/>
        <c:axId val="380782848"/>
        <c:axId val="380797696"/>
      </c:lineChart>
      <c:lineChart>
        <c:grouping val="standard"/>
        <c:ser>
          <c:idx val="3"/>
          <c:order val="3"/>
          <c:tx>
            <c:strRef>
              <c:f>'zk79+079'!$AG$3:$AG$5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'zk79+079'!$A$6:$A$32</c:f>
              <c:numCache>
                <c:formatCode>m"月"d"日";@</c:formatCode>
                <c:ptCount val="27"/>
                <c:pt idx="0">
                  <c:v>44469</c:v>
                </c:pt>
                <c:pt idx="1">
                  <c:v>44470</c:v>
                </c:pt>
                <c:pt idx="2">
                  <c:v>44471</c:v>
                </c:pt>
                <c:pt idx="3">
                  <c:v>44472</c:v>
                </c:pt>
                <c:pt idx="4">
                  <c:v>44473</c:v>
                </c:pt>
                <c:pt idx="5">
                  <c:v>44474</c:v>
                </c:pt>
                <c:pt idx="6">
                  <c:v>44475</c:v>
                </c:pt>
                <c:pt idx="7">
                  <c:v>44476</c:v>
                </c:pt>
                <c:pt idx="8">
                  <c:v>44477</c:v>
                </c:pt>
                <c:pt idx="9">
                  <c:v>44478</c:v>
                </c:pt>
                <c:pt idx="10">
                  <c:v>44479</c:v>
                </c:pt>
                <c:pt idx="11">
                  <c:v>44480</c:v>
                </c:pt>
                <c:pt idx="12">
                  <c:v>44481</c:v>
                </c:pt>
                <c:pt idx="13">
                  <c:v>44482</c:v>
                </c:pt>
                <c:pt idx="14">
                  <c:v>44483</c:v>
                </c:pt>
                <c:pt idx="15">
                  <c:v>44485</c:v>
                </c:pt>
                <c:pt idx="16">
                  <c:v>44487</c:v>
                </c:pt>
                <c:pt idx="17">
                  <c:v>44489</c:v>
                </c:pt>
                <c:pt idx="18">
                  <c:v>44491</c:v>
                </c:pt>
                <c:pt idx="19">
                  <c:v>44493</c:v>
                </c:pt>
                <c:pt idx="20">
                  <c:v>44495</c:v>
                </c:pt>
                <c:pt idx="21">
                  <c:v>44497</c:v>
                </c:pt>
                <c:pt idx="22">
                  <c:v>44499</c:v>
                </c:pt>
                <c:pt idx="23">
                  <c:v>44501</c:v>
                </c:pt>
                <c:pt idx="24">
                  <c:v>44503</c:v>
                </c:pt>
                <c:pt idx="25">
                  <c:v>44510</c:v>
                </c:pt>
                <c:pt idx="26">
                  <c:v>44517</c:v>
                </c:pt>
              </c:numCache>
            </c:numRef>
          </c:cat>
          <c:val>
            <c:numRef>
              <c:f>'zk79+079'!$AG$6:$AG$32</c:f>
              <c:numCache>
                <c:formatCode>0.0_ </c:formatCode>
                <c:ptCount val="27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57</c:v>
                </c:pt>
                <c:pt idx="17">
                  <c:v>63</c:v>
                </c:pt>
                <c:pt idx="18">
                  <c:v>69</c:v>
                </c:pt>
                <c:pt idx="19">
                  <c:v>75</c:v>
                </c:pt>
                <c:pt idx="20">
                  <c:v>81</c:v>
                </c:pt>
                <c:pt idx="21">
                  <c:v>87</c:v>
                </c:pt>
                <c:pt idx="22">
                  <c:v>93</c:v>
                </c:pt>
                <c:pt idx="23">
                  <c:v>99</c:v>
                </c:pt>
                <c:pt idx="24">
                  <c:v>105</c:v>
                </c:pt>
                <c:pt idx="25">
                  <c:v>111</c:v>
                </c:pt>
                <c:pt idx="26">
                  <c:v>117</c:v>
                </c:pt>
              </c:numCache>
            </c:numRef>
          </c:val>
        </c:ser>
        <c:dLbls/>
        <c:marker val="1"/>
        <c:axId val="380799616"/>
        <c:axId val="380801408"/>
      </c:lineChart>
      <c:dateAx>
        <c:axId val="3807828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797696"/>
        <c:crossesAt val="-50"/>
        <c:auto val="1"/>
        <c:lblOffset val="100"/>
        <c:baseTimeUnit val="days"/>
        <c:majorUnit val="6"/>
        <c:majorTimeUnit val="days"/>
      </c:dateAx>
      <c:valAx>
        <c:axId val="38079769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782848"/>
        <c:crosses val="autoZero"/>
        <c:crossBetween val="midCat"/>
        <c:majorUnit val="2"/>
        <c:minorUnit val="0.5"/>
      </c:valAx>
      <c:dateAx>
        <c:axId val="3807996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0801408"/>
        <c:crosses val="autoZero"/>
        <c:auto val="1"/>
        <c:lblOffset val="100"/>
        <c:baseTimeUnit val="days"/>
      </c:dateAx>
      <c:valAx>
        <c:axId val="380801408"/>
        <c:scaling>
          <c:orientation val="minMax"/>
          <c:max val="150"/>
          <c:min val="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79961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9+110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737208163445002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946406070310402"/>
          <c:y val="0.22301304863582402"/>
          <c:w val="0.7804893885119709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'zk79+110'!$U$4:$W$4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'zk79+110'!$V$6:$V$40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-0.19999999999953399</c:v>
                </c:pt>
                <c:pt idx="2">
                  <c:v>-0.50000000000061096</c:v>
                </c:pt>
                <c:pt idx="3">
                  <c:v>-0.40000000000084401</c:v>
                </c:pt>
                <c:pt idx="4">
                  <c:v>-0.50000000000061096</c:v>
                </c:pt>
                <c:pt idx="5">
                  <c:v>-0.60000000000037801</c:v>
                </c:pt>
                <c:pt idx="6">
                  <c:v>-0.999999999999446</c:v>
                </c:pt>
                <c:pt idx="7">
                  <c:v>-0.89999999999967895</c:v>
                </c:pt>
                <c:pt idx="8">
                  <c:v>-0.70000000000014495</c:v>
                </c:pt>
                <c:pt idx="9">
                  <c:v>-0.799999999999912</c:v>
                </c:pt>
                <c:pt idx="10">
                  <c:v>-0.999999999999446</c:v>
                </c:pt>
                <c:pt idx="11">
                  <c:v>-1.20000000000076</c:v>
                </c:pt>
                <c:pt idx="12">
                  <c:v>-1.10000000000099</c:v>
                </c:pt>
                <c:pt idx="13">
                  <c:v>-1.59999999999982</c:v>
                </c:pt>
                <c:pt idx="14">
                  <c:v>-1.80000000000113</c:v>
                </c:pt>
                <c:pt idx="15">
                  <c:v>-1.3000000000005201</c:v>
                </c:pt>
                <c:pt idx="16">
                  <c:v>-2.2000000000002</c:v>
                </c:pt>
                <c:pt idx="17">
                  <c:v>-2.3999999999997401</c:v>
                </c:pt>
                <c:pt idx="18">
                  <c:v>-2.0000000000006701</c:v>
                </c:pt>
                <c:pt idx="19">
                  <c:v>-2.7999999999899199</c:v>
                </c:pt>
                <c:pt idx="20">
                  <c:v>-2.99999999998946</c:v>
                </c:pt>
                <c:pt idx="21">
                  <c:v>-2.3999999999997401</c:v>
                </c:pt>
                <c:pt idx="22">
                  <c:v>-2.0000000000006701</c:v>
                </c:pt>
                <c:pt idx="23">
                  <c:v>-2.2999999999999701</c:v>
                </c:pt>
                <c:pt idx="24">
                  <c:v>-2.3999999999997401</c:v>
                </c:pt>
                <c:pt idx="25">
                  <c:v>-2.4999999999995</c:v>
                </c:pt>
                <c:pt idx="27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'zk79+110'!$Y$4:$AA$4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'zk79+110'!$Z$6:$Z$40</c:f>
              <c:numCache>
                <c:formatCode>0.00_ </c:formatCode>
                <c:ptCount val="35"/>
                <c:pt idx="0">
                  <c:v>0</c:v>
                </c:pt>
                <c:pt idx="1">
                  <c:v>-0.50000000000061096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-0.60000000000037801</c:v>
                </c:pt>
                <c:pt idx="5">
                  <c:v>-0.799999999999912</c:v>
                </c:pt>
                <c:pt idx="6">
                  <c:v>-0.89999999999967895</c:v>
                </c:pt>
                <c:pt idx="7">
                  <c:v>-0.799999999999912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-1.4000000000002899</c:v>
                </c:pt>
                <c:pt idx="11">
                  <c:v>-1.9000000000009001</c:v>
                </c:pt>
                <c:pt idx="12">
                  <c:v>-2.10000000000043</c:v>
                </c:pt>
                <c:pt idx="13">
                  <c:v>-1.7999999999993599</c:v>
                </c:pt>
                <c:pt idx="14">
                  <c:v>-2.4999999999995</c:v>
                </c:pt>
                <c:pt idx="15">
                  <c:v>-2.7000000000008102</c:v>
                </c:pt>
                <c:pt idx="16">
                  <c:v>-2.9000000000003499</c:v>
                </c:pt>
                <c:pt idx="17">
                  <c:v>-2.8000000000005798</c:v>
                </c:pt>
                <c:pt idx="18">
                  <c:v>-3.2999999999994101</c:v>
                </c:pt>
                <c:pt idx="19">
                  <c:v>-3.5000000000007199</c:v>
                </c:pt>
                <c:pt idx="20">
                  <c:v>-3.0999999999998802</c:v>
                </c:pt>
                <c:pt idx="21">
                  <c:v>-3.1999999999996498</c:v>
                </c:pt>
                <c:pt idx="22">
                  <c:v>-3.0999999999998802</c:v>
                </c:pt>
                <c:pt idx="23">
                  <c:v>-2.9000000000003499</c:v>
                </c:pt>
                <c:pt idx="24">
                  <c:v>-3.0000000000001101</c:v>
                </c:pt>
                <c:pt idx="25">
                  <c:v>-3.0999999999998802</c:v>
                </c:pt>
                <c:pt idx="27">
                  <c:v>-3.0999999999998802</c:v>
                </c:pt>
              </c:numCache>
            </c:numRef>
          </c:val>
        </c:ser>
        <c:ser>
          <c:idx val="2"/>
          <c:order val="2"/>
          <c:tx>
            <c:strRef>
              <c:f>'zk79+110'!$AC$4:$AE$4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'zk79+110'!$AD$6:$AD$40</c:f>
              <c:numCache>
                <c:formatCode>0.00_ </c:formatCode>
                <c:ptCount val="35"/>
                <c:pt idx="0">
                  <c:v>0</c:v>
                </c:pt>
                <c:pt idx="1">
                  <c:v>0.39999999999906799</c:v>
                </c:pt>
                <c:pt idx="2">
                  <c:v>0.19999999999953399</c:v>
                </c:pt>
                <c:pt idx="3">
                  <c:v>-9.99999999997669E-2</c:v>
                </c:pt>
                <c:pt idx="4">
                  <c:v>-0.30000000000107702</c:v>
                </c:pt>
                <c:pt idx="5">
                  <c:v>-0.60000000000037801</c:v>
                </c:pt>
                <c:pt idx="6">
                  <c:v>-0.50000000000061096</c:v>
                </c:pt>
                <c:pt idx="7">
                  <c:v>-0.89999999999967895</c:v>
                </c:pt>
                <c:pt idx="8">
                  <c:v>-1.10000000000099</c:v>
                </c:pt>
                <c:pt idx="9">
                  <c:v>-1.3000000000005201</c:v>
                </c:pt>
                <c:pt idx="10">
                  <c:v>-1.59999999999982</c:v>
                </c:pt>
                <c:pt idx="11">
                  <c:v>-1.70000000000137</c:v>
                </c:pt>
                <c:pt idx="12">
                  <c:v>-1.9000000000097801</c:v>
                </c:pt>
                <c:pt idx="13">
                  <c:v>-1.70000000000137</c:v>
                </c:pt>
                <c:pt idx="14">
                  <c:v>-2.30000000001063</c:v>
                </c:pt>
                <c:pt idx="15">
                  <c:v>-2.5000000000101599</c:v>
                </c:pt>
                <c:pt idx="16">
                  <c:v>-2.3999999999997401</c:v>
                </c:pt>
                <c:pt idx="17">
                  <c:v>-2.900000000011</c:v>
                </c:pt>
                <c:pt idx="18">
                  <c:v>-3.1000000000105401</c:v>
                </c:pt>
                <c:pt idx="19">
                  <c:v>-2.6000000000010499</c:v>
                </c:pt>
                <c:pt idx="20">
                  <c:v>-3.5000000000007199</c:v>
                </c:pt>
                <c:pt idx="21">
                  <c:v>-3.30000000000119</c:v>
                </c:pt>
                <c:pt idx="22">
                  <c:v>-3.6000000000004899</c:v>
                </c:pt>
                <c:pt idx="23">
                  <c:v>-3.70000000000026</c:v>
                </c:pt>
                <c:pt idx="24">
                  <c:v>-3.40000000000096</c:v>
                </c:pt>
                <c:pt idx="25">
                  <c:v>-3.0999999999998802</c:v>
                </c:pt>
              </c:numCache>
            </c:numRef>
          </c:val>
        </c:ser>
        <c:dLbls/>
        <c:marker val="1"/>
        <c:axId val="380877056"/>
        <c:axId val="380703104"/>
      </c:lineChart>
      <c:lineChart>
        <c:grouping val="standard"/>
        <c:ser>
          <c:idx val="3"/>
          <c:order val="3"/>
          <c:tx>
            <c:strRef>
              <c:f>'zk79+110'!$AG$3:$AG$5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'zk79+110'!$AG$6:$AG$40</c:f>
              <c:numCache>
                <c:formatCode>0.0_ </c:formatCode>
                <c:ptCount val="35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  <c:pt idx="21">
                  <c:v>73</c:v>
                </c:pt>
                <c:pt idx="22">
                  <c:v>76</c:v>
                </c:pt>
                <c:pt idx="23">
                  <c:v>79</c:v>
                </c:pt>
                <c:pt idx="24">
                  <c:v>98</c:v>
                </c:pt>
                <c:pt idx="25">
                  <c:v>117</c:v>
                </c:pt>
              </c:numCache>
            </c:numRef>
          </c:val>
        </c:ser>
        <c:dLbls/>
        <c:marker val="1"/>
        <c:axId val="380704640"/>
        <c:axId val="380706176"/>
      </c:lineChart>
      <c:dateAx>
        <c:axId val="3808770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703104"/>
        <c:crossesAt val="-50"/>
        <c:auto val="1"/>
        <c:lblOffset val="100"/>
        <c:baseTimeUnit val="days"/>
        <c:majorUnit val="5"/>
        <c:majorTimeUnit val="days"/>
      </c:dateAx>
      <c:valAx>
        <c:axId val="380703104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877056"/>
        <c:crosses val="autoZero"/>
        <c:crossBetween val="midCat"/>
        <c:majorUnit val="2"/>
        <c:minorUnit val="0.1"/>
      </c:valAx>
      <c:dateAx>
        <c:axId val="3807046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0706176"/>
        <c:crosses val="autoZero"/>
        <c:auto val="1"/>
        <c:lblOffset val="100"/>
        <c:baseTimeUnit val="days"/>
      </c:dateAx>
      <c:valAx>
        <c:axId val="380706176"/>
        <c:scaling>
          <c:orientation val="minMax"/>
          <c:max val="15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70464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110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'zk79+110'!$C$4:$G$4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'zk79+110'!$G$6:$G$40</c:f>
              <c:numCache>
                <c:formatCode>0.00_ </c:formatCode>
                <c:ptCount val="35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-0.10000000008858501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-0.199999999949796</c:v>
                </c:pt>
                <c:pt idx="9">
                  <c:v>0</c:v>
                </c:pt>
                <c:pt idx="10">
                  <c:v>-0.40000000001327901</c:v>
                </c:pt>
                <c:pt idx="11">
                  <c:v>0.199999999949796</c:v>
                </c:pt>
                <c:pt idx="12">
                  <c:v>-0.59999999996307496</c:v>
                </c:pt>
                <c:pt idx="13">
                  <c:v>-0.20000000006348301</c:v>
                </c:pt>
                <c:pt idx="14">
                  <c:v>-9.9999999974897905E-2</c:v>
                </c:pt>
                <c:pt idx="15">
                  <c:v>-0.149999999962347</c:v>
                </c:pt>
                <c:pt idx="16">
                  <c:v>-0.100000000031741</c:v>
                </c:pt>
                <c:pt idx="17">
                  <c:v>0.24999999999408801</c:v>
                </c:pt>
                <c:pt idx="18">
                  <c:v>-0.24999999999408801</c:v>
                </c:pt>
                <c:pt idx="19">
                  <c:v>-0.29999999998153698</c:v>
                </c:pt>
                <c:pt idx="20">
                  <c:v>0.24999999999408801</c:v>
                </c:pt>
                <c:pt idx="21">
                  <c:v>-0.45000000000072798</c:v>
                </c:pt>
                <c:pt idx="22">
                  <c:v>4.9999999987449001E-2</c:v>
                </c:pt>
                <c:pt idx="23">
                  <c:v>-0.15000000001919001</c:v>
                </c:pt>
                <c:pt idx="24">
                  <c:v>5.7142857144754103E-2</c:v>
                </c:pt>
                <c:pt idx="25">
                  <c:v>5.7142857144754103E-2</c:v>
                </c:pt>
                <c:pt idx="27">
                  <c:v>0.20000000006348301</c:v>
                </c:pt>
              </c:numCache>
            </c:numRef>
          </c:val>
        </c:ser>
        <c:ser>
          <c:idx val="1"/>
          <c:order val="1"/>
          <c:tx>
            <c:strRef>
              <c:f>'zk79+110'!$H$4:$L$4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'zk79+110'!$L$6:$L$40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-0.49999999998817701</c:v>
                </c:pt>
                <c:pt idx="4">
                  <c:v>-0.29999999992469401</c:v>
                </c:pt>
                <c:pt idx="5">
                  <c:v>9.9999999974897905E-2</c:v>
                </c:pt>
                <c:pt idx="6">
                  <c:v>-0.20000000006348301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0.39999999989959201</c:v>
                </c:pt>
                <c:pt idx="14">
                  <c:v>-0.79999999991286996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-0.15000000001919001</c:v>
                </c:pt>
                <c:pt idx="18">
                  <c:v>-4.9999999987449001E-2</c:v>
                </c:pt>
                <c:pt idx="19">
                  <c:v>-0.100000000031741</c:v>
                </c:pt>
                <c:pt idx="20">
                  <c:v>0.20000000000663901</c:v>
                </c:pt>
                <c:pt idx="21">
                  <c:v>-0.40000000001327901</c:v>
                </c:pt>
                <c:pt idx="22">
                  <c:v>-4.9999999987449001E-2</c:v>
                </c:pt>
                <c:pt idx="23">
                  <c:v>0.24999999999408801</c:v>
                </c:pt>
                <c:pt idx="24">
                  <c:v>2.85714285804975E-2</c:v>
                </c:pt>
                <c:pt idx="25">
                  <c:v>2.8571428564256599E-2</c:v>
                </c:pt>
              </c:numCache>
            </c:numRef>
          </c:val>
        </c:ser>
        <c:ser>
          <c:idx val="2"/>
          <c:order val="2"/>
          <c:tx>
            <c:strRef>
              <c:f>'zk79+110'!$M$4:$Q$4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'zk79+110'!$Q$6:$Q$40</c:f>
              <c:numCache>
                <c:formatCode>0.00_ </c:formatCode>
                <c:ptCount val="35"/>
                <c:pt idx="0">
                  <c:v>0</c:v>
                </c:pt>
                <c:pt idx="1">
                  <c:v>-0.50000000010186296</c:v>
                </c:pt>
                <c:pt idx="2">
                  <c:v>-9.9999999974897905E-2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0.10000000008858501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0.199999999949796</c:v>
                </c:pt>
                <c:pt idx="11">
                  <c:v>-0.59999999996307496</c:v>
                </c:pt>
                <c:pt idx="12">
                  <c:v>-0.20000000006348301</c:v>
                </c:pt>
                <c:pt idx="13">
                  <c:v>0.50000000010186296</c:v>
                </c:pt>
                <c:pt idx="14">
                  <c:v>-0.90000000000145497</c:v>
                </c:pt>
                <c:pt idx="15">
                  <c:v>-0.100000000031741</c:v>
                </c:pt>
                <c:pt idx="16">
                  <c:v>0.29999999998153698</c:v>
                </c:pt>
                <c:pt idx="17">
                  <c:v>-0.49999999998817701</c:v>
                </c:pt>
                <c:pt idx="18">
                  <c:v>-9.9999999974897905E-2</c:v>
                </c:pt>
                <c:pt idx="19">
                  <c:v>0.34999999996898601</c:v>
                </c:pt>
                <c:pt idx="20">
                  <c:v>-0.54999999997562599</c:v>
                </c:pt>
                <c:pt idx="21">
                  <c:v>0.15000000001919001</c:v>
                </c:pt>
                <c:pt idx="22">
                  <c:v>-0.100000000031741</c:v>
                </c:pt>
                <c:pt idx="23">
                  <c:v>0.15000000001919001</c:v>
                </c:pt>
                <c:pt idx="24">
                  <c:v>2.8571428564256599E-2</c:v>
                </c:pt>
                <c:pt idx="25">
                  <c:v>2.85714285804975E-2</c:v>
                </c:pt>
              </c:numCache>
            </c:numRef>
          </c:val>
        </c:ser>
        <c:dLbls/>
        <c:marker val="1"/>
        <c:axId val="380859904"/>
        <c:axId val="380964864"/>
      </c:lineChart>
      <c:dateAx>
        <c:axId val="3808599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964864"/>
        <c:crossesAt val="-50"/>
        <c:auto val="1"/>
        <c:lblOffset val="100"/>
        <c:baseTimeUnit val="days"/>
        <c:majorUnit val="5"/>
        <c:majorTimeUnit val="days"/>
      </c:dateAx>
      <c:valAx>
        <c:axId val="38096486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085990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9+110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'zk79+110'!$U$4:$W$4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'zk79+110'!$W$6:$W$40</c:f>
              <c:numCache>
                <c:formatCode>0.00_ </c:formatCode>
                <c:ptCount val="35"/>
                <c:pt idx="0">
                  <c:v>0</c:v>
                </c:pt>
                <c:pt idx="1">
                  <c:v>0.19999999999953399</c:v>
                </c:pt>
                <c:pt idx="2">
                  <c:v>0.30000000000107702</c:v>
                </c:pt>
                <c:pt idx="3">
                  <c:v>-9.99999999997669E-2</c:v>
                </c:pt>
                <c:pt idx="4">
                  <c:v>9.99999999997669E-2</c:v>
                </c:pt>
                <c:pt idx="5">
                  <c:v>9.99999999997669E-2</c:v>
                </c:pt>
                <c:pt idx="6">
                  <c:v>0.39999999999906799</c:v>
                </c:pt>
                <c:pt idx="7">
                  <c:v>-9.99999999997669E-2</c:v>
                </c:pt>
                <c:pt idx="8">
                  <c:v>-0.19999999999953399</c:v>
                </c:pt>
                <c:pt idx="9">
                  <c:v>9.99999999997669E-2</c:v>
                </c:pt>
                <c:pt idx="10">
                  <c:v>0.19999999999953399</c:v>
                </c:pt>
                <c:pt idx="11">
                  <c:v>0.20000000000130999</c:v>
                </c:pt>
                <c:pt idx="12">
                  <c:v>-9.99999999997669E-2</c:v>
                </c:pt>
                <c:pt idx="13">
                  <c:v>0.49999999999883499</c:v>
                </c:pt>
                <c:pt idx="14">
                  <c:v>0.20000000000130999</c:v>
                </c:pt>
                <c:pt idx="15">
                  <c:v>-0.25000000000030598</c:v>
                </c:pt>
                <c:pt idx="16">
                  <c:v>0.44999999999983897</c:v>
                </c:pt>
                <c:pt idx="17">
                  <c:v>9.99999999997669E-2</c:v>
                </c:pt>
                <c:pt idx="18">
                  <c:v>-0.19999999999953399</c:v>
                </c:pt>
                <c:pt idx="19">
                  <c:v>0.39999999999462699</c:v>
                </c:pt>
                <c:pt idx="20">
                  <c:v>9.99999999997669E-2</c:v>
                </c:pt>
                <c:pt idx="21">
                  <c:v>-0.29999999999485999</c:v>
                </c:pt>
                <c:pt idx="22">
                  <c:v>-0.19999999999953399</c:v>
                </c:pt>
                <c:pt idx="23">
                  <c:v>0.14999999999965</c:v>
                </c:pt>
                <c:pt idx="24">
                  <c:v>1.4285714285680999E-2</c:v>
                </c:pt>
                <c:pt idx="25">
                  <c:v>1.4285714285680999E-2</c:v>
                </c:pt>
                <c:pt idx="27">
                  <c:v>0.30000000000107702</c:v>
                </c:pt>
              </c:numCache>
            </c:numRef>
          </c:val>
        </c:ser>
        <c:ser>
          <c:idx val="1"/>
          <c:order val="1"/>
          <c:tx>
            <c:strRef>
              <c:f>'zk79+110'!$Y$4:$AA$4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'zk79+110'!$AA$6:$AA$40</c:f>
              <c:numCache>
                <c:formatCode>0.00_ </c:formatCode>
                <c:ptCount val="35"/>
                <c:pt idx="0">
                  <c:v>0</c:v>
                </c:pt>
                <c:pt idx="1">
                  <c:v>-0.50000000000061096</c:v>
                </c:pt>
                <c:pt idx="2">
                  <c:v>0.40000000000084401</c:v>
                </c:pt>
                <c:pt idx="3">
                  <c:v>-0.19999999999953399</c:v>
                </c:pt>
                <c:pt idx="4">
                  <c:v>-0.30000000000107702</c:v>
                </c:pt>
                <c:pt idx="5">
                  <c:v>-0.19999999999953399</c:v>
                </c:pt>
                <c:pt idx="6">
                  <c:v>-9.99999999997669E-2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-0.50000000000061096</c:v>
                </c:pt>
                <c:pt idx="12">
                  <c:v>-0.19999999999953399</c:v>
                </c:pt>
                <c:pt idx="13">
                  <c:v>0.30000000000107702</c:v>
                </c:pt>
                <c:pt idx="14">
                  <c:v>-0.70000000000014495</c:v>
                </c:pt>
                <c:pt idx="15">
                  <c:v>-0.100000000000655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-0.24999999999941699</c:v>
                </c:pt>
                <c:pt idx="19">
                  <c:v>-0.100000000000655</c:v>
                </c:pt>
                <c:pt idx="20">
                  <c:v>0.20000000000042201</c:v>
                </c:pt>
                <c:pt idx="21">
                  <c:v>-4.9999999999883499E-2</c:v>
                </c:pt>
                <c:pt idx="22">
                  <c:v>4.9999999999883499E-2</c:v>
                </c:pt>
                <c:pt idx="23">
                  <c:v>9.99999999997669E-2</c:v>
                </c:pt>
                <c:pt idx="24">
                  <c:v>-1.4285714285680999E-2</c:v>
                </c:pt>
                <c:pt idx="25">
                  <c:v>-1.4285714285680999E-2</c:v>
                </c:pt>
                <c:pt idx="27">
                  <c:v>4.28571428572967E-2</c:v>
                </c:pt>
              </c:numCache>
            </c:numRef>
          </c:val>
        </c:ser>
        <c:ser>
          <c:idx val="2"/>
          <c:order val="2"/>
          <c:tx>
            <c:strRef>
              <c:f>'zk79+110'!$AC$4:$AE$4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'zk79+110'!$S$6:$S$40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'zk79+110'!$AE$6:$AE$43</c:f>
              <c:numCache>
                <c:formatCode>0.00_ </c:formatCode>
                <c:ptCount val="38"/>
                <c:pt idx="0">
                  <c:v>0</c:v>
                </c:pt>
                <c:pt idx="1">
                  <c:v>0.39999999999906799</c:v>
                </c:pt>
                <c:pt idx="2">
                  <c:v>-0.19999999999953399</c:v>
                </c:pt>
                <c:pt idx="3">
                  <c:v>-0.29999999999930099</c:v>
                </c:pt>
                <c:pt idx="4">
                  <c:v>-0.20000000000130999</c:v>
                </c:pt>
                <c:pt idx="5">
                  <c:v>-0.29999999999930099</c:v>
                </c:pt>
                <c:pt idx="6">
                  <c:v>9.99999999997669E-2</c:v>
                </c:pt>
                <c:pt idx="7">
                  <c:v>-0.39999999999906799</c:v>
                </c:pt>
                <c:pt idx="8">
                  <c:v>-0.20000000000130999</c:v>
                </c:pt>
                <c:pt idx="9">
                  <c:v>-0.19999999999953399</c:v>
                </c:pt>
                <c:pt idx="10">
                  <c:v>-0.29999999999930099</c:v>
                </c:pt>
                <c:pt idx="11">
                  <c:v>-0.10000000000154299</c:v>
                </c:pt>
                <c:pt idx="12">
                  <c:v>-0.200000000008416</c:v>
                </c:pt>
                <c:pt idx="13">
                  <c:v>0.200000000008416</c:v>
                </c:pt>
                <c:pt idx="14">
                  <c:v>-0.60000000000926001</c:v>
                </c:pt>
                <c:pt idx="15">
                  <c:v>-9.99999999997669E-2</c:v>
                </c:pt>
                <c:pt idx="16">
                  <c:v>5.00000000052125E-2</c:v>
                </c:pt>
                <c:pt idx="17">
                  <c:v>-0.25000000000563499</c:v>
                </c:pt>
                <c:pt idx="18">
                  <c:v>-9.99999999997669E-2</c:v>
                </c:pt>
                <c:pt idx="19">
                  <c:v>0.25000000000474598</c:v>
                </c:pt>
                <c:pt idx="20">
                  <c:v>-0.44999999999983897</c:v>
                </c:pt>
                <c:pt idx="21">
                  <c:v>9.99999999997669E-2</c:v>
                </c:pt>
                <c:pt idx="22">
                  <c:v>-0.14999999999965</c:v>
                </c:pt>
                <c:pt idx="23">
                  <c:v>-4.9999999999883499E-2</c:v>
                </c:pt>
                <c:pt idx="24">
                  <c:v>4.2857142857043E-2</c:v>
                </c:pt>
                <c:pt idx="25">
                  <c:v>4.28571428572967E-2</c:v>
                </c:pt>
              </c:numCache>
            </c:numRef>
          </c:val>
        </c:ser>
        <c:dLbls/>
        <c:marker val="1"/>
        <c:axId val="381016320"/>
        <c:axId val="381027072"/>
      </c:lineChart>
      <c:dateAx>
        <c:axId val="3810163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027072"/>
        <c:crossesAt val="-50"/>
        <c:auto val="1"/>
        <c:lblOffset val="100"/>
        <c:baseTimeUnit val="days"/>
        <c:majorUnit val="5"/>
        <c:majorTimeUnit val="days"/>
      </c:dateAx>
      <c:valAx>
        <c:axId val="38102707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01632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110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'zk79+110'!$C$4:$G$4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'zk79+110'!$F$6:$F$40</c:f>
              <c:numCache>
                <c:formatCode>0.00_ </c:formatCode>
                <c:ptCount val="35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-0.99999999997635303</c:v>
                </c:pt>
                <c:pt idx="9">
                  <c:v>-0.99999999997635303</c:v>
                </c:pt>
                <c:pt idx="10">
                  <c:v>-1.39999999998963</c:v>
                </c:pt>
                <c:pt idx="11">
                  <c:v>-1.2000000000398401</c:v>
                </c:pt>
                <c:pt idx="12">
                  <c:v>-1.8000000000029099</c:v>
                </c:pt>
                <c:pt idx="13">
                  <c:v>-2.00000000006639</c:v>
                </c:pt>
                <c:pt idx="14">
                  <c:v>-2.1000000000412902</c:v>
                </c:pt>
                <c:pt idx="15">
                  <c:v>-2.39999999996598</c:v>
                </c:pt>
                <c:pt idx="16">
                  <c:v>-2.6000000000294698</c:v>
                </c:pt>
                <c:pt idx="17">
                  <c:v>-2.1000000000412902</c:v>
                </c:pt>
                <c:pt idx="18">
                  <c:v>-2.6000000000294698</c:v>
                </c:pt>
                <c:pt idx="19">
                  <c:v>-3.1999999999925399</c:v>
                </c:pt>
                <c:pt idx="20">
                  <c:v>-2.70000000000437</c:v>
                </c:pt>
                <c:pt idx="21">
                  <c:v>-3.6000000000058199</c:v>
                </c:pt>
                <c:pt idx="22">
                  <c:v>-3.5000000000309202</c:v>
                </c:pt>
                <c:pt idx="23">
                  <c:v>-3.8000000000692999</c:v>
                </c:pt>
                <c:pt idx="24">
                  <c:v>-3.40000000005602</c:v>
                </c:pt>
                <c:pt idx="25">
                  <c:v>-3.0000000000427498</c:v>
                </c:pt>
                <c:pt idx="27">
                  <c:v>0.199999999949796</c:v>
                </c:pt>
              </c:numCache>
            </c:numRef>
          </c:val>
        </c:ser>
        <c:ser>
          <c:idx val="1"/>
          <c:order val="1"/>
          <c:tx>
            <c:strRef>
              <c:f>'zk79+110'!$H$4:$L$4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'zk79+110'!$K$6:$K$40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-0.90000000000145497</c:v>
                </c:pt>
                <c:pt idx="4">
                  <c:v>-1.1999999999261499</c:v>
                </c:pt>
                <c:pt idx="5">
                  <c:v>-1.09999999995125</c:v>
                </c:pt>
                <c:pt idx="6">
                  <c:v>-1.30000000001473</c:v>
                </c:pt>
                <c:pt idx="7">
                  <c:v>-1.5999999999394301</c:v>
                </c:pt>
                <c:pt idx="8">
                  <c:v>-1.8000000000029099</c:v>
                </c:pt>
                <c:pt idx="9">
                  <c:v>-1.9999999999527101</c:v>
                </c:pt>
                <c:pt idx="10">
                  <c:v>-1.8999999999778101</c:v>
                </c:pt>
                <c:pt idx="11">
                  <c:v>-2.39999999996598</c:v>
                </c:pt>
                <c:pt idx="12">
                  <c:v>-2.5999999999157799</c:v>
                </c:pt>
                <c:pt idx="13">
                  <c:v>-2.2000000000161899</c:v>
                </c:pt>
                <c:pt idx="14">
                  <c:v>-2.9999999999290599</c:v>
                </c:pt>
                <c:pt idx="15">
                  <c:v>-3.1999999999925399</c:v>
                </c:pt>
                <c:pt idx="16">
                  <c:v>-3.3999999999423398</c:v>
                </c:pt>
                <c:pt idx="17">
                  <c:v>-3.69999999998072</c:v>
                </c:pt>
                <c:pt idx="18">
                  <c:v>-3.7999999999556202</c:v>
                </c:pt>
                <c:pt idx="19">
                  <c:v>-4.0000000000191003</c:v>
                </c:pt>
                <c:pt idx="20">
                  <c:v>-3.6000000000058199</c:v>
                </c:pt>
                <c:pt idx="21">
                  <c:v>-4.4000000000323798</c:v>
                </c:pt>
                <c:pt idx="22">
                  <c:v>-4.5000000000072804</c:v>
                </c:pt>
                <c:pt idx="23">
                  <c:v>-4.0000000000191003</c:v>
                </c:pt>
                <c:pt idx="24">
                  <c:v>-3.7999999999556202</c:v>
                </c:pt>
                <c:pt idx="25">
                  <c:v>-3.6000000000058199</c:v>
                </c:pt>
                <c:pt idx="27">
                  <c:v>2.85714285804975E-2</c:v>
                </c:pt>
              </c:numCache>
            </c:numRef>
          </c:val>
        </c:ser>
        <c:ser>
          <c:idx val="2"/>
          <c:order val="2"/>
          <c:tx>
            <c:strRef>
              <c:f>'zk79+110'!$M$4:$Q$4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'zk79+110'!$P$6:$P$40</c:f>
              <c:numCache>
                <c:formatCode>0.00_ </c:formatCode>
                <c:ptCount val="35"/>
                <c:pt idx="0">
                  <c:v>0</c:v>
                </c:pt>
                <c:pt idx="1">
                  <c:v>-0.50000000010186296</c:v>
                </c:pt>
                <c:pt idx="2">
                  <c:v>-0.60000000007676102</c:v>
                </c:pt>
                <c:pt idx="3">
                  <c:v>-0.80000000002655702</c:v>
                </c:pt>
                <c:pt idx="4">
                  <c:v>-1.00000000009004</c:v>
                </c:pt>
                <c:pt idx="5">
                  <c:v>-0.90000000000145497</c:v>
                </c:pt>
                <c:pt idx="6">
                  <c:v>-1.2000000000398401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-1.70000000002801</c:v>
                </c:pt>
                <c:pt idx="10">
                  <c:v>-1.5000000000782201</c:v>
                </c:pt>
                <c:pt idx="11">
                  <c:v>-2.1000000000412902</c:v>
                </c:pt>
                <c:pt idx="12">
                  <c:v>-2.3000000001047698</c:v>
                </c:pt>
                <c:pt idx="13">
                  <c:v>-1.8000000000029099</c:v>
                </c:pt>
                <c:pt idx="14">
                  <c:v>-2.70000000000437</c:v>
                </c:pt>
                <c:pt idx="15">
                  <c:v>-2.9000000000678501</c:v>
                </c:pt>
                <c:pt idx="16">
                  <c:v>-2.3000000001047698</c:v>
                </c:pt>
                <c:pt idx="17">
                  <c:v>-3.30000000008113</c:v>
                </c:pt>
                <c:pt idx="18">
                  <c:v>-3.5000000000309202</c:v>
                </c:pt>
                <c:pt idx="19">
                  <c:v>-2.8000000000929499</c:v>
                </c:pt>
                <c:pt idx="20">
                  <c:v>-3.9000000000442001</c:v>
                </c:pt>
                <c:pt idx="21">
                  <c:v>-3.6000000000058199</c:v>
                </c:pt>
                <c:pt idx="22">
                  <c:v>-3.8000000000692999</c:v>
                </c:pt>
                <c:pt idx="23">
                  <c:v>-3.5000000000309202</c:v>
                </c:pt>
                <c:pt idx="24">
                  <c:v>-3.30000000008113</c:v>
                </c:pt>
                <c:pt idx="25">
                  <c:v>-3.1000000000176402</c:v>
                </c:pt>
              </c:numCache>
            </c:numRef>
          </c:val>
        </c:ser>
        <c:dLbls/>
        <c:marker val="1"/>
        <c:axId val="381183872"/>
        <c:axId val="381190528"/>
      </c:lineChart>
      <c:lineChart>
        <c:grouping val="standard"/>
        <c:ser>
          <c:idx val="3"/>
          <c:order val="3"/>
          <c:tx>
            <c:strRef>
              <c:f>'zk79+110'!$AG$3:$AG$5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'zk79+110'!$A$6:$A$40</c:f>
              <c:numCache>
                <c:formatCode>m"月"d"日";@</c:formatCode>
                <c:ptCount val="35"/>
                <c:pt idx="0">
                  <c:v>44481</c:v>
                </c:pt>
                <c:pt idx="1">
                  <c:v>44482</c:v>
                </c:pt>
                <c:pt idx="2">
                  <c:v>44483</c:v>
                </c:pt>
                <c:pt idx="3">
                  <c:v>44484</c:v>
                </c:pt>
                <c:pt idx="4">
                  <c:v>44485</c:v>
                </c:pt>
                <c:pt idx="5">
                  <c:v>44486</c:v>
                </c:pt>
                <c:pt idx="6">
                  <c:v>44487</c:v>
                </c:pt>
                <c:pt idx="7">
                  <c:v>44488</c:v>
                </c:pt>
                <c:pt idx="8">
                  <c:v>44489</c:v>
                </c:pt>
                <c:pt idx="9">
                  <c:v>44490</c:v>
                </c:pt>
                <c:pt idx="10">
                  <c:v>44491</c:v>
                </c:pt>
                <c:pt idx="11">
                  <c:v>44492</c:v>
                </c:pt>
                <c:pt idx="12">
                  <c:v>44493</c:v>
                </c:pt>
                <c:pt idx="13">
                  <c:v>44494</c:v>
                </c:pt>
                <c:pt idx="14">
                  <c:v>44495</c:v>
                </c:pt>
                <c:pt idx="15">
                  <c:v>44497</c:v>
                </c:pt>
                <c:pt idx="16">
                  <c:v>44499</c:v>
                </c:pt>
                <c:pt idx="17">
                  <c:v>44501</c:v>
                </c:pt>
                <c:pt idx="18">
                  <c:v>44503</c:v>
                </c:pt>
                <c:pt idx="19">
                  <c:v>44505</c:v>
                </c:pt>
                <c:pt idx="20">
                  <c:v>44507</c:v>
                </c:pt>
                <c:pt idx="21">
                  <c:v>44509</c:v>
                </c:pt>
                <c:pt idx="22">
                  <c:v>44511</c:v>
                </c:pt>
                <c:pt idx="23">
                  <c:v>44513</c:v>
                </c:pt>
                <c:pt idx="24">
                  <c:v>44520</c:v>
                </c:pt>
                <c:pt idx="25">
                  <c:v>44527</c:v>
                </c:pt>
              </c:numCache>
            </c:numRef>
          </c:cat>
          <c:val>
            <c:numRef>
              <c:f>'zk79+110'!$AG$6:$AG$40</c:f>
              <c:numCache>
                <c:formatCode>0.0_ </c:formatCode>
                <c:ptCount val="35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  <c:pt idx="21">
                  <c:v>73</c:v>
                </c:pt>
                <c:pt idx="22">
                  <c:v>76</c:v>
                </c:pt>
                <c:pt idx="23">
                  <c:v>79</c:v>
                </c:pt>
                <c:pt idx="24">
                  <c:v>98</c:v>
                </c:pt>
                <c:pt idx="25">
                  <c:v>117</c:v>
                </c:pt>
              </c:numCache>
            </c:numRef>
          </c:val>
        </c:ser>
        <c:dLbls/>
        <c:marker val="1"/>
        <c:axId val="381192448"/>
        <c:axId val="381194240"/>
      </c:lineChart>
      <c:dateAx>
        <c:axId val="3811838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90528"/>
        <c:crossesAt val="-50"/>
        <c:auto val="1"/>
        <c:lblOffset val="100"/>
        <c:baseTimeUnit val="days"/>
        <c:majorUnit val="5"/>
        <c:majorTimeUnit val="days"/>
      </c:dateAx>
      <c:valAx>
        <c:axId val="381190528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83872"/>
        <c:crosses val="autoZero"/>
        <c:crossBetween val="midCat"/>
        <c:majorUnit val="2"/>
        <c:minorUnit val="0.5"/>
      </c:valAx>
      <c:dateAx>
        <c:axId val="3811924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1194240"/>
        <c:crosses val="autoZero"/>
        <c:auto val="1"/>
        <c:lblOffset val="100"/>
        <c:baseTimeUnit val="days"/>
      </c:dateAx>
      <c:valAx>
        <c:axId val="381194240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9244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631005243841401"/>
          <c:y val="0.22301304863582402"/>
          <c:w val="0.78364339677666095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'zk79+140'!$U$4:$W$4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'zk79+140'!$V$6:$V$49</c:f>
              <c:numCache>
                <c:formatCode>0.00_ </c:formatCode>
                <c:ptCount val="44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-0.30000000000107702</c:v>
                </c:pt>
                <c:pt idx="4">
                  <c:v>-0.40000000000084401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-0.799999999999912</c:v>
                </c:pt>
                <c:pt idx="8">
                  <c:v>-1.30000000001118</c:v>
                </c:pt>
                <c:pt idx="9">
                  <c:v>-1.5000000000107101</c:v>
                </c:pt>
                <c:pt idx="10">
                  <c:v>-0.89999999999967895</c:v>
                </c:pt>
                <c:pt idx="11">
                  <c:v>-1.9000000000097801</c:v>
                </c:pt>
                <c:pt idx="12">
                  <c:v>-2.1000000000110899</c:v>
                </c:pt>
                <c:pt idx="13">
                  <c:v>-1.4000000000002899</c:v>
                </c:pt>
                <c:pt idx="14">
                  <c:v>-1.6999999999995901</c:v>
                </c:pt>
                <c:pt idx="15">
                  <c:v>-1.80000000000113</c:v>
                </c:pt>
                <c:pt idx="16">
                  <c:v>-2.0000000000006701</c:v>
                </c:pt>
                <c:pt idx="17">
                  <c:v>-2.3999999999997401</c:v>
                </c:pt>
                <c:pt idx="18">
                  <c:v>-2.2999999999999701</c:v>
                </c:pt>
                <c:pt idx="19">
                  <c:v>-2.0000000000006701</c:v>
                </c:pt>
                <c:pt idx="20">
                  <c:v>-2.2000000000002</c:v>
                </c:pt>
                <c:pt idx="21">
                  <c:v>-2.7000000000008102</c:v>
                </c:pt>
                <c:pt idx="22">
                  <c:v>-2.6000000000010499</c:v>
                </c:pt>
                <c:pt idx="23">
                  <c:v>-2.3999999999997401</c:v>
                </c:pt>
                <c:pt idx="24">
                  <c:v>-2.2000000000002</c:v>
                </c:pt>
                <c:pt idx="25">
                  <c:v>-2.3999999999997401</c:v>
                </c:pt>
                <c:pt idx="26">
                  <c:v>-2.6000000000010499</c:v>
                </c:pt>
                <c:pt idx="28">
                  <c:v>-0.60000000000037801</c:v>
                </c:pt>
              </c:numCache>
            </c:numRef>
          </c:val>
        </c:ser>
        <c:ser>
          <c:idx val="1"/>
          <c:order val="1"/>
          <c:tx>
            <c:strRef>
              <c:f>'zk79+140'!$Y$4:$AA$4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'zk79+140'!$Z$6:$Z$49</c:f>
              <c:numCache>
                <c:formatCode>0.00_ </c:formatCode>
                <c:ptCount val="44"/>
                <c:pt idx="0">
                  <c:v>0</c:v>
                </c:pt>
                <c:pt idx="1">
                  <c:v>-0.29999999999930099</c:v>
                </c:pt>
                <c:pt idx="2">
                  <c:v>-0.50000000000061096</c:v>
                </c:pt>
                <c:pt idx="3">
                  <c:v>-9.99999999997669E-2</c:v>
                </c:pt>
                <c:pt idx="4">
                  <c:v>-0.19999999999953399</c:v>
                </c:pt>
                <c:pt idx="5">
                  <c:v>-0.40000000000084401</c:v>
                </c:pt>
                <c:pt idx="6">
                  <c:v>-0.29999999999930099</c:v>
                </c:pt>
                <c:pt idx="7">
                  <c:v>-0.799999999999912</c:v>
                </c:pt>
                <c:pt idx="8">
                  <c:v>-0.999999999999446</c:v>
                </c:pt>
                <c:pt idx="9">
                  <c:v>-0.50000000000061096</c:v>
                </c:pt>
                <c:pt idx="10">
                  <c:v>-1.4000000000002899</c:v>
                </c:pt>
                <c:pt idx="11">
                  <c:v>-1.59999999999982</c:v>
                </c:pt>
                <c:pt idx="12">
                  <c:v>-0.60000000000037801</c:v>
                </c:pt>
                <c:pt idx="13">
                  <c:v>-2.0000000000006701</c:v>
                </c:pt>
                <c:pt idx="14">
                  <c:v>-2.2000000000002</c:v>
                </c:pt>
                <c:pt idx="15">
                  <c:v>-1.6999999999995901</c:v>
                </c:pt>
                <c:pt idx="16">
                  <c:v>-2.6000000000010499</c:v>
                </c:pt>
                <c:pt idx="17">
                  <c:v>-2.8000000000005798</c:v>
                </c:pt>
                <c:pt idx="18">
                  <c:v>-2.3999999999997401</c:v>
                </c:pt>
                <c:pt idx="19">
                  <c:v>-2.6000000000010499</c:v>
                </c:pt>
                <c:pt idx="20">
                  <c:v>-2.10000000000043</c:v>
                </c:pt>
                <c:pt idx="21">
                  <c:v>-2.2999999999999701</c:v>
                </c:pt>
                <c:pt idx="22">
                  <c:v>-2.0000000000006701</c:v>
                </c:pt>
                <c:pt idx="23">
                  <c:v>-2.2000000000002</c:v>
                </c:pt>
                <c:pt idx="24">
                  <c:v>-2.3999999999997401</c:v>
                </c:pt>
                <c:pt idx="25">
                  <c:v>-2.4999999999995</c:v>
                </c:pt>
                <c:pt idx="26">
                  <c:v>-2.8000000000005798</c:v>
                </c:pt>
                <c:pt idx="28">
                  <c:v>-3.2999999999994101</c:v>
                </c:pt>
              </c:numCache>
            </c:numRef>
          </c:val>
        </c:ser>
        <c:ser>
          <c:idx val="2"/>
          <c:order val="2"/>
          <c:tx>
            <c:strRef>
              <c:f>'zk79+140'!$AC$4:$AE$4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'zk79+140'!$AD$6:$AD$49</c:f>
              <c:numCache>
                <c:formatCode>0.00_ </c:formatCode>
                <c:ptCount val="44"/>
                <c:pt idx="0">
                  <c:v>0</c:v>
                </c:pt>
                <c:pt idx="1">
                  <c:v>-0.29999999999930099</c:v>
                </c:pt>
                <c:pt idx="2">
                  <c:v>-0.39999999999906799</c:v>
                </c:pt>
                <c:pt idx="3">
                  <c:v>-1.0999999999992101</c:v>
                </c:pt>
                <c:pt idx="4">
                  <c:v>-1.2999999999987499</c:v>
                </c:pt>
                <c:pt idx="5">
                  <c:v>-1.1999999999989801</c:v>
                </c:pt>
                <c:pt idx="6">
                  <c:v>-1.2999999999987499</c:v>
                </c:pt>
                <c:pt idx="7">
                  <c:v>-1.39999999999851</c:v>
                </c:pt>
                <c:pt idx="8">
                  <c:v>-1.2999999999987499</c:v>
                </c:pt>
                <c:pt idx="9">
                  <c:v>-1.59999999999982</c:v>
                </c:pt>
                <c:pt idx="10">
                  <c:v>-1.6999999999995901</c:v>
                </c:pt>
                <c:pt idx="11">
                  <c:v>-1.1999999999989801</c:v>
                </c:pt>
                <c:pt idx="12">
                  <c:v>-1.8999999999991199</c:v>
                </c:pt>
                <c:pt idx="13">
                  <c:v>-1.99999999999889</c:v>
                </c:pt>
                <c:pt idx="14">
                  <c:v>-1.7999999999993599</c:v>
                </c:pt>
                <c:pt idx="15">
                  <c:v>-2.2000000000002</c:v>
                </c:pt>
                <c:pt idx="16">
                  <c:v>-2.2999999999999701</c:v>
                </c:pt>
                <c:pt idx="17">
                  <c:v>-2.2999999999999701</c:v>
                </c:pt>
                <c:pt idx="18">
                  <c:v>-2.7999999999987999</c:v>
                </c:pt>
                <c:pt idx="19">
                  <c:v>-2.59999999999927</c:v>
                </c:pt>
                <c:pt idx="20">
                  <c:v>-2.6999999999990401</c:v>
                </c:pt>
                <c:pt idx="21">
                  <c:v>-3.0000000000001101</c:v>
                </c:pt>
                <c:pt idx="22">
                  <c:v>-3.2999999999994101</c:v>
                </c:pt>
                <c:pt idx="23">
                  <c:v>-2.7999999999987999</c:v>
                </c:pt>
                <c:pt idx="24">
                  <c:v>-3.0999999999998802</c:v>
                </c:pt>
                <c:pt idx="25">
                  <c:v>-3.0000000000001101</c:v>
                </c:pt>
                <c:pt idx="26">
                  <c:v>-3.2999999999994101</c:v>
                </c:pt>
              </c:numCache>
            </c:numRef>
          </c:val>
        </c:ser>
        <c:dLbls/>
        <c:marker val="1"/>
        <c:axId val="381111680"/>
        <c:axId val="381123200"/>
      </c:lineChart>
      <c:lineChart>
        <c:grouping val="standard"/>
        <c:ser>
          <c:idx val="3"/>
          <c:order val="3"/>
          <c:tx>
            <c:strRef>
              <c:f>'zk79+140'!$AG$3:$AG$5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'zk79+140'!$AG$6:$AG$49</c:f>
              <c:numCache>
                <c:formatCode>0.0_ 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56</c:v>
                </c:pt>
                <c:pt idx="19">
                  <c:v>57</c:v>
                </c:pt>
                <c:pt idx="20">
                  <c:v>58</c:v>
                </c:pt>
                <c:pt idx="21">
                  <c:v>58</c:v>
                </c:pt>
                <c:pt idx="22">
                  <c:v>61</c:v>
                </c:pt>
                <c:pt idx="23">
                  <c:v>64</c:v>
                </c:pt>
                <c:pt idx="24">
                  <c:v>67</c:v>
                </c:pt>
                <c:pt idx="25">
                  <c:v>70</c:v>
                </c:pt>
                <c:pt idx="26">
                  <c:v>73</c:v>
                </c:pt>
              </c:numCache>
            </c:numRef>
          </c:val>
        </c:ser>
        <c:dLbls/>
        <c:marker val="1"/>
        <c:axId val="381129472"/>
        <c:axId val="381131008"/>
      </c:lineChart>
      <c:dateAx>
        <c:axId val="3811116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23200"/>
        <c:crossesAt val="-50"/>
        <c:auto val="1"/>
        <c:lblOffset val="100"/>
        <c:baseTimeUnit val="days"/>
        <c:majorUnit val="6"/>
        <c:majorTimeUnit val="days"/>
      </c:dateAx>
      <c:valAx>
        <c:axId val="38112320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11680"/>
        <c:crosses val="autoZero"/>
        <c:crossBetween val="midCat"/>
        <c:majorUnit val="1"/>
        <c:minorUnit val="0.1"/>
      </c:valAx>
      <c:dateAx>
        <c:axId val="3811294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1131008"/>
        <c:crosses val="autoZero"/>
        <c:auto val="1"/>
        <c:lblOffset val="100"/>
        <c:baseTimeUnit val="days"/>
      </c:dateAx>
      <c:valAx>
        <c:axId val="381131008"/>
        <c:scaling>
          <c:orientation val="minMax"/>
          <c:max val="10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12947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'zk79+140'!$G$6:$G$49</c:f>
              <c:numCache>
                <c:formatCode>0.00_ </c:formatCode>
                <c:ptCount val="44"/>
                <c:pt idx="0">
                  <c:v>0</c:v>
                </c:pt>
                <c:pt idx="1">
                  <c:v>-0.49999999998817701</c:v>
                </c:pt>
                <c:pt idx="2">
                  <c:v>-0.20000000006348301</c:v>
                </c:pt>
                <c:pt idx="3">
                  <c:v>0.20000000006348301</c:v>
                </c:pt>
                <c:pt idx="4">
                  <c:v>-0.60000000007676102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0.50000000010186296</c:v>
                </c:pt>
                <c:pt idx="10">
                  <c:v>-0.90000000000145497</c:v>
                </c:pt>
                <c:pt idx="11">
                  <c:v>-0.20000000006348301</c:v>
                </c:pt>
                <c:pt idx="12">
                  <c:v>0</c:v>
                </c:pt>
                <c:pt idx="13">
                  <c:v>-0.40000000001327901</c:v>
                </c:pt>
                <c:pt idx="14">
                  <c:v>-0.199999999949796</c:v>
                </c:pt>
                <c:pt idx="15">
                  <c:v>0.34999999996898601</c:v>
                </c:pt>
                <c:pt idx="16">
                  <c:v>-0.54999999997562599</c:v>
                </c:pt>
                <c:pt idx="17">
                  <c:v>-0.100000000031741</c:v>
                </c:pt>
                <c:pt idx="18">
                  <c:v>0.45000000000072798</c:v>
                </c:pt>
                <c:pt idx="19">
                  <c:v>-0.34999999996898601</c:v>
                </c:pt>
                <c:pt idx="20">
                  <c:v>4.9999999987449001E-2</c:v>
                </c:pt>
                <c:pt idx="21">
                  <c:v>-0.15000000001919001</c:v>
                </c:pt>
                <c:pt idx="22">
                  <c:v>0.15000000001919001</c:v>
                </c:pt>
                <c:pt idx="23">
                  <c:v>4.9999999987449001E-2</c:v>
                </c:pt>
                <c:pt idx="24">
                  <c:v>1.6666666681430801E-2</c:v>
                </c:pt>
                <c:pt idx="25">
                  <c:v>-6.0000000007676101E-2</c:v>
                </c:pt>
                <c:pt idx="26">
                  <c:v>-4.0000000012696497E-2</c:v>
                </c:pt>
                <c:pt idx="28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'zk79+140'!$H$4:$L$4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'zk79+140'!$L$6:$L$49</c:f>
              <c:numCache>
                <c:formatCode>0.00_ </c:formatCode>
                <c:ptCount val="44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-9.9999999974897905E-2</c:v>
                </c:pt>
                <c:pt idx="5">
                  <c:v>-0.30000000003838101</c:v>
                </c:pt>
                <c:pt idx="6">
                  <c:v>-0.199999999949796</c:v>
                </c:pt>
                <c:pt idx="7">
                  <c:v>0.199999999949796</c:v>
                </c:pt>
                <c:pt idx="8">
                  <c:v>-0.59999999996307496</c:v>
                </c:pt>
                <c:pt idx="9">
                  <c:v>-0.20000000006348301</c:v>
                </c:pt>
                <c:pt idx="10">
                  <c:v>0.49999999998817701</c:v>
                </c:pt>
                <c:pt idx="11">
                  <c:v>-0.90000000000145497</c:v>
                </c:pt>
                <c:pt idx="12">
                  <c:v>0.10000000008858501</c:v>
                </c:pt>
                <c:pt idx="13">
                  <c:v>-0.49999999998817701</c:v>
                </c:pt>
                <c:pt idx="14">
                  <c:v>-0.20000000006348301</c:v>
                </c:pt>
                <c:pt idx="15">
                  <c:v>0.100000000031741</c:v>
                </c:pt>
                <c:pt idx="16">
                  <c:v>-0.30000000003838101</c:v>
                </c:pt>
                <c:pt idx="17">
                  <c:v>-9.9999999974897905E-2</c:v>
                </c:pt>
                <c:pt idx="18">
                  <c:v>0.20000000000663901</c:v>
                </c:pt>
                <c:pt idx="19">
                  <c:v>-0.40000000001327901</c:v>
                </c:pt>
                <c:pt idx="20">
                  <c:v>0.34999999996898601</c:v>
                </c:pt>
                <c:pt idx="21">
                  <c:v>5.0000000044292399E-2</c:v>
                </c:pt>
                <c:pt idx="22">
                  <c:v>-0.15000000001919001</c:v>
                </c:pt>
                <c:pt idx="23">
                  <c:v>0.24999999999408801</c:v>
                </c:pt>
                <c:pt idx="24">
                  <c:v>-3.3333333324965998E-2</c:v>
                </c:pt>
                <c:pt idx="25">
                  <c:v>-2.0000000017716998E-2</c:v>
                </c:pt>
                <c:pt idx="26">
                  <c:v>-3.9999999989959199E-2</c:v>
                </c:pt>
              </c:numCache>
            </c:numRef>
          </c:val>
        </c:ser>
        <c:ser>
          <c:idx val="2"/>
          <c:order val="2"/>
          <c:tx>
            <c:strRef>
              <c:f>'zk79+140'!$M$4:$Q$4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'zk79+140'!$Q$6:$Q$49</c:f>
              <c:numCache>
                <c:formatCode>0.00_ </c:formatCode>
                <c:ptCount val="44"/>
                <c:pt idx="0">
                  <c:v>0</c:v>
                </c:pt>
                <c:pt idx="1">
                  <c:v>-0.20000000006348301</c:v>
                </c:pt>
                <c:pt idx="2">
                  <c:v>-0.59999999996307496</c:v>
                </c:pt>
                <c:pt idx="3">
                  <c:v>0.29999999992469401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0.40000000001327901</c:v>
                </c:pt>
                <c:pt idx="12">
                  <c:v>-0.80000000002655702</c:v>
                </c:pt>
                <c:pt idx="13">
                  <c:v>-0.199999999949796</c:v>
                </c:pt>
                <c:pt idx="14">
                  <c:v>0.199999999949796</c:v>
                </c:pt>
                <c:pt idx="15">
                  <c:v>-0.29999999998153698</c:v>
                </c:pt>
                <c:pt idx="16">
                  <c:v>-9.9999999974897905E-2</c:v>
                </c:pt>
                <c:pt idx="17">
                  <c:v>-0.24999999999408801</c:v>
                </c:pt>
                <c:pt idx="18">
                  <c:v>4.9999999987449001E-2</c:v>
                </c:pt>
                <c:pt idx="19">
                  <c:v>-0.100000000031741</c:v>
                </c:pt>
                <c:pt idx="20">
                  <c:v>0.100000000031741</c:v>
                </c:pt>
                <c:pt idx="21">
                  <c:v>4.9999999987449001E-2</c:v>
                </c:pt>
                <c:pt idx="22">
                  <c:v>-9.9999999974897905E-2</c:v>
                </c:pt>
                <c:pt idx="23">
                  <c:v>4.9999999987449001E-2</c:v>
                </c:pt>
                <c:pt idx="24">
                  <c:v>1.6666666662482999E-2</c:v>
                </c:pt>
                <c:pt idx="25">
                  <c:v>-1.99999999949796E-2</c:v>
                </c:pt>
                <c:pt idx="26">
                  <c:v>-4.0000000012696497E-2</c:v>
                </c:pt>
              </c:numCache>
            </c:numRef>
          </c:val>
        </c:ser>
        <c:dLbls/>
        <c:marker val="1"/>
        <c:axId val="381663104"/>
        <c:axId val="381670528"/>
      </c:lineChart>
      <c:dateAx>
        <c:axId val="3816631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670528"/>
        <c:crossesAt val="-50"/>
        <c:auto val="1"/>
        <c:lblOffset val="100"/>
        <c:baseTimeUnit val="days"/>
        <c:majorUnit val="6"/>
        <c:majorTimeUnit val="days"/>
      </c:dateAx>
      <c:valAx>
        <c:axId val="38167052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66310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'zk79+140'!$W$6:$W$49</c:f>
              <c:numCache>
                <c:formatCode>0.00_ </c:formatCode>
                <c:ptCount val="44"/>
                <c:pt idx="0">
                  <c:v>0</c:v>
                </c:pt>
                <c:pt idx="1">
                  <c:v>-9.99999999997669E-2</c:v>
                </c:pt>
                <c:pt idx="2">
                  <c:v>0.19999999999953399</c:v>
                </c:pt>
                <c:pt idx="3">
                  <c:v>0.20000000000130999</c:v>
                </c:pt>
                <c:pt idx="4">
                  <c:v>9.99999999997669E-2</c:v>
                </c:pt>
                <c:pt idx="5">
                  <c:v>0.29999999999930099</c:v>
                </c:pt>
                <c:pt idx="6">
                  <c:v>0.19999999999953399</c:v>
                </c:pt>
                <c:pt idx="7">
                  <c:v>-9.99999999997669E-2</c:v>
                </c:pt>
                <c:pt idx="8">
                  <c:v>0.50000000001126899</c:v>
                </c:pt>
                <c:pt idx="9">
                  <c:v>0.19999999999953399</c:v>
                </c:pt>
                <c:pt idx="10">
                  <c:v>-0.60000000001103604</c:v>
                </c:pt>
                <c:pt idx="11">
                  <c:v>1.0000000000100999</c:v>
                </c:pt>
                <c:pt idx="12">
                  <c:v>0.20000000000130999</c:v>
                </c:pt>
                <c:pt idx="13">
                  <c:v>-0.70000000001080298</c:v>
                </c:pt>
                <c:pt idx="14">
                  <c:v>0.29999999999930099</c:v>
                </c:pt>
                <c:pt idx="15">
                  <c:v>5.0000000000771601E-2</c:v>
                </c:pt>
                <c:pt idx="16">
                  <c:v>9.99999999997669E-2</c:v>
                </c:pt>
                <c:pt idx="17">
                  <c:v>0.19999999999953399</c:v>
                </c:pt>
                <c:pt idx="18">
                  <c:v>-4.9999999999883499E-2</c:v>
                </c:pt>
                <c:pt idx="19">
                  <c:v>-0.14999999999965</c:v>
                </c:pt>
                <c:pt idx="20">
                  <c:v>9.99999999997669E-2</c:v>
                </c:pt>
                <c:pt idx="21">
                  <c:v>0.25000000000030598</c:v>
                </c:pt>
                <c:pt idx="22">
                  <c:v>-4.9999999999883499E-2</c:v>
                </c:pt>
                <c:pt idx="23">
                  <c:v>-0.100000000000655</c:v>
                </c:pt>
                <c:pt idx="24">
                  <c:v>-3.3333333333255603E-2</c:v>
                </c:pt>
                <c:pt idx="25">
                  <c:v>3.9999999999906798E-2</c:v>
                </c:pt>
                <c:pt idx="26">
                  <c:v>4.0000000000262E-2</c:v>
                </c:pt>
                <c:pt idx="28">
                  <c:v>-0.50000000000061096</c:v>
                </c:pt>
              </c:numCache>
            </c:numRef>
          </c:val>
        </c:ser>
        <c:ser>
          <c:idx val="1"/>
          <c:order val="1"/>
          <c:tx>
            <c:strRef>
              <c:f>'zk79+140'!$Y$4:$AA$4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'zk79+140'!$AA$6:$AA$49</c:f>
              <c:numCache>
                <c:formatCode>0.00_ </c:formatCode>
                <c:ptCount val="44"/>
                <c:pt idx="0">
                  <c:v>0</c:v>
                </c:pt>
                <c:pt idx="1">
                  <c:v>-0.29999999999930099</c:v>
                </c:pt>
                <c:pt idx="2">
                  <c:v>-0.20000000000130999</c:v>
                </c:pt>
                <c:pt idx="3">
                  <c:v>0.40000000000084401</c:v>
                </c:pt>
                <c:pt idx="4">
                  <c:v>-9.99999999997669E-2</c:v>
                </c:pt>
                <c:pt idx="5">
                  <c:v>-0.20000000000130999</c:v>
                </c:pt>
                <c:pt idx="6">
                  <c:v>0.10000000000154299</c:v>
                </c:pt>
                <c:pt idx="7">
                  <c:v>-0.50000000000061096</c:v>
                </c:pt>
                <c:pt idx="8">
                  <c:v>-0.19999999999953399</c:v>
                </c:pt>
                <c:pt idx="9">
                  <c:v>0.49999999999883499</c:v>
                </c:pt>
                <c:pt idx="10">
                  <c:v>-0.89999999999967895</c:v>
                </c:pt>
                <c:pt idx="11">
                  <c:v>-0.19999999999953399</c:v>
                </c:pt>
                <c:pt idx="12">
                  <c:v>0.999999999999446</c:v>
                </c:pt>
                <c:pt idx="13">
                  <c:v>-1.4000000000002899</c:v>
                </c:pt>
                <c:pt idx="14">
                  <c:v>-0.19999999999953399</c:v>
                </c:pt>
                <c:pt idx="15">
                  <c:v>0.25000000000030598</c:v>
                </c:pt>
                <c:pt idx="16">
                  <c:v>-0.45000000000072798</c:v>
                </c:pt>
                <c:pt idx="17">
                  <c:v>-9.99999999997669E-2</c:v>
                </c:pt>
                <c:pt idx="18">
                  <c:v>0.20000000000042201</c:v>
                </c:pt>
                <c:pt idx="19">
                  <c:v>-0.100000000000655</c:v>
                </c:pt>
                <c:pt idx="20">
                  <c:v>0.25000000000030598</c:v>
                </c:pt>
                <c:pt idx="21">
                  <c:v>-9.99999999997669E-2</c:v>
                </c:pt>
                <c:pt idx="22">
                  <c:v>0.14999999999965</c:v>
                </c:pt>
                <c:pt idx="23">
                  <c:v>-9.99999999997669E-2</c:v>
                </c:pt>
                <c:pt idx="24">
                  <c:v>-3.3333333333255603E-2</c:v>
                </c:pt>
                <c:pt idx="25">
                  <c:v>-1.9999999999953399E-2</c:v>
                </c:pt>
                <c:pt idx="26">
                  <c:v>-6.0000000000215402E-2</c:v>
                </c:pt>
                <c:pt idx="28">
                  <c:v>-4.2857142857043E-2</c:v>
                </c:pt>
              </c:numCache>
            </c:numRef>
          </c:val>
        </c:ser>
        <c:ser>
          <c:idx val="2"/>
          <c:order val="2"/>
          <c:tx>
            <c:strRef>
              <c:f>'zk79+140'!$AC$4:$AE$4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'zk79+140'!$S$6:$S$49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'zk79+140'!$AE$6:$AE$49</c:f>
              <c:numCache>
                <c:formatCode>0.00_ </c:formatCode>
                <c:ptCount val="44"/>
                <c:pt idx="0">
                  <c:v>0</c:v>
                </c:pt>
                <c:pt idx="1">
                  <c:v>-0.29999999999930099</c:v>
                </c:pt>
                <c:pt idx="2">
                  <c:v>-9.99999999997669E-2</c:v>
                </c:pt>
                <c:pt idx="3">
                  <c:v>-0.70000000000014495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-9.99999999997669E-2</c:v>
                </c:pt>
                <c:pt idx="7">
                  <c:v>-9.99999999997669E-2</c:v>
                </c:pt>
                <c:pt idx="8">
                  <c:v>9.99999999997669E-2</c:v>
                </c:pt>
                <c:pt idx="9">
                  <c:v>-0.30000000000107702</c:v>
                </c:pt>
                <c:pt idx="10">
                  <c:v>-9.99999999997669E-2</c:v>
                </c:pt>
                <c:pt idx="11">
                  <c:v>0.50000000000061096</c:v>
                </c:pt>
                <c:pt idx="12">
                  <c:v>-0.70000000000014495</c:v>
                </c:pt>
                <c:pt idx="13">
                  <c:v>-9.99999999997669E-2</c:v>
                </c:pt>
                <c:pt idx="14">
                  <c:v>0.19999999999953399</c:v>
                </c:pt>
                <c:pt idx="15">
                  <c:v>-0.20000000000042201</c:v>
                </c:pt>
                <c:pt idx="16">
                  <c:v>-4.9999999999883499E-2</c:v>
                </c:pt>
                <c:pt idx="17">
                  <c:v>0</c:v>
                </c:pt>
                <c:pt idx="18">
                  <c:v>-0.24999999999941699</c:v>
                </c:pt>
                <c:pt idx="19">
                  <c:v>9.99999999997669E-2</c:v>
                </c:pt>
                <c:pt idx="20">
                  <c:v>-4.9999999999883499E-2</c:v>
                </c:pt>
                <c:pt idx="21">
                  <c:v>-0.15000000000053901</c:v>
                </c:pt>
                <c:pt idx="22">
                  <c:v>-0.14999999999965</c:v>
                </c:pt>
                <c:pt idx="23">
                  <c:v>0.25000000000030598</c:v>
                </c:pt>
                <c:pt idx="24">
                  <c:v>-5.0000000000179498E-2</c:v>
                </c:pt>
                <c:pt idx="25">
                  <c:v>1.9999999999953399E-2</c:v>
                </c:pt>
                <c:pt idx="26">
                  <c:v>-5.99999999998602E-2</c:v>
                </c:pt>
              </c:numCache>
            </c:numRef>
          </c:val>
        </c:ser>
        <c:dLbls/>
        <c:marker val="1"/>
        <c:axId val="381781120"/>
        <c:axId val="381792640"/>
      </c:lineChart>
      <c:dateAx>
        <c:axId val="3817811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792640"/>
        <c:crossesAt val="-50"/>
        <c:auto val="1"/>
        <c:lblOffset val="100"/>
        <c:baseTimeUnit val="days"/>
        <c:majorUnit val="6"/>
        <c:majorTimeUnit val="days"/>
      </c:dateAx>
      <c:valAx>
        <c:axId val="38179264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78112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'zk79+140'!$F$6:$F$49</c:f>
              <c:numCache>
                <c:formatCode>0.00_ </c:formatCode>
                <c:ptCount val="44"/>
                <c:pt idx="0">
                  <c:v>0</c:v>
                </c:pt>
                <c:pt idx="1">
                  <c:v>-0.49999999998817701</c:v>
                </c:pt>
                <c:pt idx="2">
                  <c:v>-0.70000000005165897</c:v>
                </c:pt>
                <c:pt idx="3">
                  <c:v>-0.49999999998817701</c:v>
                </c:pt>
                <c:pt idx="4">
                  <c:v>-1.1000000000649399</c:v>
                </c:pt>
                <c:pt idx="5">
                  <c:v>-1.30000000001473</c:v>
                </c:pt>
                <c:pt idx="6">
                  <c:v>-1.2000000000398401</c:v>
                </c:pt>
                <c:pt idx="7">
                  <c:v>-1.70000000002801</c:v>
                </c:pt>
                <c:pt idx="8">
                  <c:v>-1.9000000000915001</c:v>
                </c:pt>
                <c:pt idx="9">
                  <c:v>-1.39999999998963</c:v>
                </c:pt>
                <c:pt idx="10">
                  <c:v>-2.2999999999910901</c:v>
                </c:pt>
                <c:pt idx="11">
                  <c:v>-2.5000000000545701</c:v>
                </c:pt>
                <c:pt idx="12">
                  <c:v>-2.5000000000545701</c:v>
                </c:pt>
                <c:pt idx="13">
                  <c:v>-2.9000000000678501</c:v>
                </c:pt>
                <c:pt idx="14">
                  <c:v>-3.1000000000176402</c:v>
                </c:pt>
                <c:pt idx="15">
                  <c:v>-2.40000000007967</c:v>
                </c:pt>
                <c:pt idx="16">
                  <c:v>-3.5000000000309202</c:v>
                </c:pt>
                <c:pt idx="17">
                  <c:v>-3.70000000009441</c:v>
                </c:pt>
                <c:pt idx="18">
                  <c:v>-2.8000000000929499</c:v>
                </c:pt>
                <c:pt idx="19">
                  <c:v>-3.5000000000309202</c:v>
                </c:pt>
                <c:pt idx="20">
                  <c:v>-3.40000000005602</c:v>
                </c:pt>
                <c:pt idx="21">
                  <c:v>-3.70000000009441</c:v>
                </c:pt>
                <c:pt idx="22">
                  <c:v>-3.40000000005602</c:v>
                </c:pt>
                <c:pt idx="23">
                  <c:v>-3.30000000008113</c:v>
                </c:pt>
                <c:pt idx="24">
                  <c:v>-3.1999999999925399</c:v>
                </c:pt>
                <c:pt idx="25">
                  <c:v>-3.5000000000309202</c:v>
                </c:pt>
                <c:pt idx="26">
                  <c:v>-3.70000000009441</c:v>
                </c:pt>
                <c:pt idx="28">
                  <c:v>-0.49999999998817701</c:v>
                </c:pt>
              </c:numCache>
            </c:numRef>
          </c:val>
        </c:ser>
        <c:ser>
          <c:idx val="1"/>
          <c:order val="1"/>
          <c:tx>
            <c:strRef>
              <c:f>'zk79+140'!$H$4:$L$4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'zk79+140'!$K$6:$K$49</c:f>
              <c:numCache>
                <c:formatCode>0.00_ </c:formatCode>
                <c:ptCount val="44"/>
                <c:pt idx="0">
                  <c:v>0</c:v>
                </c:pt>
                <c:pt idx="1">
                  <c:v>-0.30000000003838101</c:v>
                </c:pt>
                <c:pt idx="2">
                  <c:v>-0.50000000010186296</c:v>
                </c:pt>
                <c:pt idx="3">
                  <c:v>-0.70000000005165897</c:v>
                </c:pt>
                <c:pt idx="4">
                  <c:v>-0.80000000002655702</c:v>
                </c:pt>
                <c:pt idx="5">
                  <c:v>-1.1000000000649399</c:v>
                </c:pt>
                <c:pt idx="6">
                  <c:v>-1.30000000001473</c:v>
                </c:pt>
                <c:pt idx="7">
                  <c:v>-1.1000000000649399</c:v>
                </c:pt>
                <c:pt idx="8">
                  <c:v>-1.70000000002801</c:v>
                </c:pt>
                <c:pt idx="9">
                  <c:v>-1.9000000000915001</c:v>
                </c:pt>
                <c:pt idx="10">
                  <c:v>-1.4000000001033199</c:v>
                </c:pt>
                <c:pt idx="11">
                  <c:v>-2.3000000001047698</c:v>
                </c:pt>
                <c:pt idx="12">
                  <c:v>-2.2000000000161899</c:v>
                </c:pt>
                <c:pt idx="13">
                  <c:v>-2.70000000000437</c:v>
                </c:pt>
                <c:pt idx="14">
                  <c:v>-2.9000000000678501</c:v>
                </c:pt>
                <c:pt idx="15">
                  <c:v>-2.70000000000437</c:v>
                </c:pt>
                <c:pt idx="16">
                  <c:v>-3.30000000008113</c:v>
                </c:pt>
                <c:pt idx="17">
                  <c:v>-3.5000000000309202</c:v>
                </c:pt>
                <c:pt idx="18">
                  <c:v>-3.1000000000176402</c:v>
                </c:pt>
                <c:pt idx="19">
                  <c:v>-3.9000000000442001</c:v>
                </c:pt>
                <c:pt idx="20">
                  <c:v>-3.2000000001062299</c:v>
                </c:pt>
                <c:pt idx="21">
                  <c:v>-3.1000000000176402</c:v>
                </c:pt>
                <c:pt idx="22">
                  <c:v>-3.40000000005602</c:v>
                </c:pt>
                <c:pt idx="23">
                  <c:v>-2.9000000000678501</c:v>
                </c:pt>
                <c:pt idx="24">
                  <c:v>-3.1000000000176402</c:v>
                </c:pt>
                <c:pt idx="25">
                  <c:v>-3.2000000001062299</c:v>
                </c:pt>
                <c:pt idx="26">
                  <c:v>-3.40000000005602</c:v>
                </c:pt>
                <c:pt idx="28">
                  <c:v>-2.85714285804975E-2</c:v>
                </c:pt>
              </c:numCache>
            </c:numRef>
          </c:val>
        </c:ser>
        <c:ser>
          <c:idx val="2"/>
          <c:order val="2"/>
          <c:tx>
            <c:strRef>
              <c:f>'zk79+140'!$M$4:$Q$4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'zk79+140'!$P$6:$P$49</c:f>
              <c:numCache>
                <c:formatCode>0.00_ </c:formatCode>
                <c:ptCount val="44"/>
                <c:pt idx="0">
                  <c:v>0</c:v>
                </c:pt>
                <c:pt idx="1">
                  <c:v>-0.20000000006348301</c:v>
                </c:pt>
                <c:pt idx="2">
                  <c:v>-0.80000000002655702</c:v>
                </c:pt>
                <c:pt idx="3">
                  <c:v>-0.50000000010186296</c:v>
                </c:pt>
                <c:pt idx="4">
                  <c:v>-0.70000000005165897</c:v>
                </c:pt>
                <c:pt idx="5">
                  <c:v>-0.80000000002655702</c:v>
                </c:pt>
                <c:pt idx="6">
                  <c:v>-1.1000000000649399</c:v>
                </c:pt>
                <c:pt idx="7">
                  <c:v>-1.30000000001473</c:v>
                </c:pt>
                <c:pt idx="8">
                  <c:v>-1.2000000000398401</c:v>
                </c:pt>
                <c:pt idx="9">
                  <c:v>-1.70000000002801</c:v>
                </c:pt>
                <c:pt idx="10">
                  <c:v>-1.9000000000915001</c:v>
                </c:pt>
                <c:pt idx="11">
                  <c:v>-1.5000000000782201</c:v>
                </c:pt>
                <c:pt idx="12">
                  <c:v>-2.3000000001047698</c:v>
                </c:pt>
                <c:pt idx="13">
                  <c:v>-2.5000000000545701</c:v>
                </c:pt>
                <c:pt idx="14">
                  <c:v>-2.3000000001047698</c:v>
                </c:pt>
                <c:pt idx="15">
                  <c:v>-2.9000000000678501</c:v>
                </c:pt>
                <c:pt idx="16">
                  <c:v>-3.1000000000176402</c:v>
                </c:pt>
                <c:pt idx="17">
                  <c:v>-3.6000000000058199</c:v>
                </c:pt>
                <c:pt idx="18">
                  <c:v>-3.5000000000309202</c:v>
                </c:pt>
                <c:pt idx="19">
                  <c:v>-3.70000000009441</c:v>
                </c:pt>
                <c:pt idx="20">
                  <c:v>-3.5000000000309202</c:v>
                </c:pt>
                <c:pt idx="21">
                  <c:v>-3.40000000005602</c:v>
                </c:pt>
                <c:pt idx="22">
                  <c:v>-3.6000000000058199</c:v>
                </c:pt>
                <c:pt idx="23">
                  <c:v>-3.5000000000309202</c:v>
                </c:pt>
                <c:pt idx="24">
                  <c:v>-3.40000000005602</c:v>
                </c:pt>
                <c:pt idx="25">
                  <c:v>-3.5000000000309202</c:v>
                </c:pt>
                <c:pt idx="26">
                  <c:v>-3.70000000009441</c:v>
                </c:pt>
              </c:numCache>
            </c:numRef>
          </c:val>
        </c:ser>
        <c:dLbls/>
        <c:marker val="1"/>
        <c:axId val="381874176"/>
        <c:axId val="381877248"/>
      </c:lineChart>
      <c:lineChart>
        <c:grouping val="standard"/>
        <c:ser>
          <c:idx val="3"/>
          <c:order val="3"/>
          <c:tx>
            <c:strRef>
              <c:f>'zk79+140'!$AG$3:$AG$5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'zk79+140'!$A$6:$A$49</c:f>
              <c:numCache>
                <c:formatCode>m"月"d"日";@</c:formatCode>
                <c:ptCount val="44"/>
                <c:pt idx="0">
                  <c:v>44487</c:v>
                </c:pt>
                <c:pt idx="1">
                  <c:v>44488</c:v>
                </c:pt>
                <c:pt idx="2">
                  <c:v>44489</c:v>
                </c:pt>
                <c:pt idx="3">
                  <c:v>44490</c:v>
                </c:pt>
                <c:pt idx="4">
                  <c:v>44491</c:v>
                </c:pt>
                <c:pt idx="5">
                  <c:v>44492</c:v>
                </c:pt>
                <c:pt idx="6">
                  <c:v>44493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44499</c:v>
                </c:pt>
                <c:pt idx="13">
                  <c:v>44500</c:v>
                </c:pt>
                <c:pt idx="14">
                  <c:v>44501</c:v>
                </c:pt>
                <c:pt idx="15">
                  <c:v>44503</c:v>
                </c:pt>
                <c:pt idx="16">
                  <c:v>44505</c:v>
                </c:pt>
                <c:pt idx="17">
                  <c:v>44507</c:v>
                </c:pt>
                <c:pt idx="18">
                  <c:v>44509</c:v>
                </c:pt>
                <c:pt idx="19">
                  <c:v>44511</c:v>
                </c:pt>
                <c:pt idx="20">
                  <c:v>44513</c:v>
                </c:pt>
                <c:pt idx="21">
                  <c:v>44515</c:v>
                </c:pt>
                <c:pt idx="22">
                  <c:v>44517</c:v>
                </c:pt>
                <c:pt idx="23">
                  <c:v>44519</c:v>
                </c:pt>
                <c:pt idx="24">
                  <c:v>44525</c:v>
                </c:pt>
                <c:pt idx="25">
                  <c:v>44530</c:v>
                </c:pt>
                <c:pt idx="26">
                  <c:v>44535</c:v>
                </c:pt>
              </c:numCache>
            </c:numRef>
          </c:cat>
          <c:val>
            <c:numRef>
              <c:f>'zk79+140'!$AG$6:$AG$49</c:f>
              <c:numCache>
                <c:formatCode>0.0_ 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56</c:v>
                </c:pt>
                <c:pt idx="19">
                  <c:v>57</c:v>
                </c:pt>
                <c:pt idx="20">
                  <c:v>58</c:v>
                </c:pt>
                <c:pt idx="21">
                  <c:v>58</c:v>
                </c:pt>
                <c:pt idx="22">
                  <c:v>61</c:v>
                </c:pt>
                <c:pt idx="23">
                  <c:v>64</c:v>
                </c:pt>
                <c:pt idx="24">
                  <c:v>67</c:v>
                </c:pt>
                <c:pt idx="25">
                  <c:v>70</c:v>
                </c:pt>
                <c:pt idx="26">
                  <c:v>73</c:v>
                </c:pt>
              </c:numCache>
            </c:numRef>
          </c:val>
        </c:ser>
        <c:dLbls/>
        <c:marker val="1"/>
        <c:axId val="381899904"/>
        <c:axId val="381901440"/>
      </c:lineChart>
      <c:dateAx>
        <c:axId val="381874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877248"/>
        <c:crossesAt val="-50"/>
        <c:auto val="1"/>
        <c:lblOffset val="100"/>
        <c:baseTimeUnit val="days"/>
        <c:majorUnit val="6"/>
        <c:majorTimeUnit val="days"/>
      </c:dateAx>
      <c:valAx>
        <c:axId val="38187724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874176"/>
        <c:crosses val="autoZero"/>
        <c:crossBetween val="midCat"/>
        <c:majorUnit val="1"/>
        <c:minorUnit val="0.5"/>
      </c:valAx>
      <c:dateAx>
        <c:axId val="3818999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1901440"/>
        <c:crosses val="autoZero"/>
        <c:auto val="1"/>
        <c:lblOffset val="100"/>
        <c:baseTimeUnit val="days"/>
      </c:dateAx>
      <c:valAx>
        <c:axId val="38190144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89990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9+148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'zk79+148'!$U$4:$W$4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'zk79+148'!$V$6:$V$46</c:f>
              <c:numCache>
                <c:formatCode>0.00_ </c:formatCode>
                <c:ptCount val="41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-0.49999999999883499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-0.89999999999967895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-1.4000000000002899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-2.2999999999999701</c:v>
                </c:pt>
                <c:pt idx="13">
                  <c:v>-2.3999999999997401</c:v>
                </c:pt>
                <c:pt idx="14">
                  <c:v>-2.7999999999899199</c:v>
                </c:pt>
                <c:pt idx="15">
                  <c:v>-2.99999999998946</c:v>
                </c:pt>
                <c:pt idx="16">
                  <c:v>-3.0999999999998802</c:v>
                </c:pt>
                <c:pt idx="17">
                  <c:v>-3.3999999999903001</c:v>
                </c:pt>
                <c:pt idx="18">
                  <c:v>-3.59999999998983</c:v>
                </c:pt>
                <c:pt idx="19">
                  <c:v>-3.8999999999997899</c:v>
                </c:pt>
                <c:pt idx="20">
                  <c:v>-3.4999999999989502</c:v>
                </c:pt>
                <c:pt idx="21">
                  <c:v>-3.0999999999998802</c:v>
                </c:pt>
                <c:pt idx="22">
                  <c:v>-3.3999999999991801</c:v>
                </c:pt>
                <c:pt idx="23">
                  <c:v>-3.2999999999994101</c:v>
                </c:pt>
                <c:pt idx="24">
                  <c:v>-2.9000000000003499</c:v>
                </c:pt>
                <c:pt idx="26">
                  <c:v>0.19999999999953399</c:v>
                </c:pt>
              </c:numCache>
            </c:numRef>
          </c:val>
        </c:ser>
        <c:ser>
          <c:idx val="1"/>
          <c:order val="1"/>
          <c:tx>
            <c:strRef>
              <c:f>'zk79+148'!$Y$4:$AA$4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'zk79+148'!$Z$6:$Z$46</c:f>
              <c:numCache>
                <c:formatCode>0.00_ </c:formatCode>
                <c:ptCount val="41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-0.799999999999912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-1.9000000000009001</c:v>
                </c:pt>
                <c:pt idx="11">
                  <c:v>-1.9000000000009001</c:v>
                </c:pt>
                <c:pt idx="12">
                  <c:v>-2.10000000000043</c:v>
                </c:pt>
                <c:pt idx="13">
                  <c:v>-2.0000000000006701</c:v>
                </c:pt>
                <c:pt idx="14">
                  <c:v>-2.4999999999995</c:v>
                </c:pt>
                <c:pt idx="15">
                  <c:v>-2.7000000000008102</c:v>
                </c:pt>
                <c:pt idx="16">
                  <c:v>-2.59999999999927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-3.1999999999996498</c:v>
                </c:pt>
                <c:pt idx="20">
                  <c:v>-3.0999999999998802</c:v>
                </c:pt>
                <c:pt idx="21">
                  <c:v>-3.1999999999996498</c:v>
                </c:pt>
                <c:pt idx="22">
                  <c:v>-3.40000000000096</c:v>
                </c:pt>
                <c:pt idx="23">
                  <c:v>-3.2999999999994101</c:v>
                </c:pt>
                <c:pt idx="24">
                  <c:v>-2.9000000000003499</c:v>
                </c:pt>
                <c:pt idx="26">
                  <c:v>-3.1999999999996498</c:v>
                </c:pt>
              </c:numCache>
            </c:numRef>
          </c:val>
        </c:ser>
        <c:ser>
          <c:idx val="2"/>
          <c:order val="2"/>
          <c:tx>
            <c:strRef>
              <c:f>'zk79+148'!$AC$4:$AE$4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'zk79+148'!$AD$6:$AD$46</c:f>
              <c:numCache>
                <c:formatCode>0.00_ </c:formatCode>
                <c:ptCount val="41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-0.29999999999930099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-0.49999999999883499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-1.50000000000006</c:v>
                </c:pt>
                <c:pt idx="13">
                  <c:v>-2.59999999999039</c:v>
                </c:pt>
                <c:pt idx="14">
                  <c:v>-2.7999999999899199</c:v>
                </c:pt>
                <c:pt idx="15">
                  <c:v>-2.59999999999927</c:v>
                </c:pt>
                <c:pt idx="16">
                  <c:v>-3.1999999999889899</c:v>
                </c:pt>
                <c:pt idx="17">
                  <c:v>-3.3999999999903001</c:v>
                </c:pt>
                <c:pt idx="18">
                  <c:v>-3.1999999999996498</c:v>
                </c:pt>
                <c:pt idx="19">
                  <c:v>-2.7999999999987999</c:v>
                </c:pt>
                <c:pt idx="20">
                  <c:v>-2.6999999999990401</c:v>
                </c:pt>
                <c:pt idx="21">
                  <c:v>-2.59999999999927</c:v>
                </c:pt>
                <c:pt idx="22">
                  <c:v>-3.1999999999996498</c:v>
                </c:pt>
                <c:pt idx="23">
                  <c:v>-3.4999999999989502</c:v>
                </c:pt>
                <c:pt idx="24">
                  <c:v>-3.1999999999996498</c:v>
                </c:pt>
              </c:numCache>
            </c:numRef>
          </c:val>
        </c:ser>
        <c:dLbls/>
        <c:marker val="1"/>
        <c:axId val="381991168"/>
        <c:axId val="382002688"/>
      </c:lineChart>
      <c:lineChart>
        <c:grouping val="standard"/>
        <c:ser>
          <c:idx val="3"/>
          <c:order val="3"/>
          <c:tx>
            <c:strRef>
              <c:f>'zk79+148'!$AG$3:$AG$5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'zk79+148'!$AG$6:$AG$46</c:f>
              <c:numCache>
                <c:formatCode>0.0_ </c:formatCode>
                <c:ptCount val="4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17</c:v>
                </c:pt>
                <c:pt idx="10">
                  <c:v>20</c:v>
                </c:pt>
                <c:pt idx="11">
                  <c:v>23</c:v>
                </c:pt>
                <c:pt idx="12">
                  <c:v>26</c:v>
                </c:pt>
                <c:pt idx="13">
                  <c:v>29</c:v>
                </c:pt>
                <c:pt idx="14">
                  <c:v>32</c:v>
                </c:pt>
                <c:pt idx="15">
                  <c:v>35</c:v>
                </c:pt>
                <c:pt idx="16">
                  <c:v>38</c:v>
                </c:pt>
                <c:pt idx="17">
                  <c:v>41</c:v>
                </c:pt>
                <c:pt idx="18">
                  <c:v>44</c:v>
                </c:pt>
                <c:pt idx="19">
                  <c:v>50</c:v>
                </c:pt>
                <c:pt idx="20">
                  <c:v>60</c:v>
                </c:pt>
                <c:pt idx="21">
                  <c:v>70</c:v>
                </c:pt>
                <c:pt idx="22">
                  <c:v>80</c:v>
                </c:pt>
                <c:pt idx="23">
                  <c:v>90</c:v>
                </c:pt>
                <c:pt idx="24">
                  <c:v>100</c:v>
                </c:pt>
              </c:numCache>
            </c:numRef>
          </c:val>
        </c:ser>
        <c:dLbls/>
        <c:marker val="1"/>
        <c:axId val="382004608"/>
        <c:axId val="382006400"/>
      </c:lineChart>
      <c:dateAx>
        <c:axId val="3819911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002688"/>
        <c:crossesAt val="-50"/>
        <c:auto val="1"/>
        <c:lblOffset val="100"/>
        <c:baseTimeUnit val="days"/>
        <c:majorUnit val="5"/>
        <c:majorTimeUnit val="days"/>
      </c:dateAx>
      <c:valAx>
        <c:axId val="38200268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1991168"/>
        <c:crosses val="autoZero"/>
        <c:crossBetween val="midCat"/>
        <c:majorUnit val="1"/>
        <c:minorUnit val="0.1"/>
      </c:valAx>
      <c:dateAx>
        <c:axId val="38200460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2006400"/>
        <c:crosses val="autoZero"/>
        <c:auto val="1"/>
        <c:lblOffset val="100"/>
        <c:baseTimeUnit val="days"/>
      </c:dateAx>
      <c:valAx>
        <c:axId val="38200640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00460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148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'zk79+148'!$A$6:$A$46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'zk79+148'!$G$6:$G$46</c:f>
              <c:numCache>
                <c:formatCode>0.00_ </c:formatCode>
                <c:ptCount val="41"/>
                <c:pt idx="0">
                  <c:v>0</c:v>
                </c:pt>
                <c:pt idx="1">
                  <c:v>0.10000000008858501</c:v>
                </c:pt>
                <c:pt idx="2">
                  <c:v>-0.20000000006348301</c:v>
                </c:pt>
                <c:pt idx="3">
                  <c:v>-0.29999999992469401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-0.20000000006348301</c:v>
                </c:pt>
                <c:pt idx="7">
                  <c:v>0.40000000001327901</c:v>
                </c:pt>
                <c:pt idx="8">
                  <c:v>-0.80000000002655702</c:v>
                </c:pt>
                <c:pt idx="9">
                  <c:v>-0.199999999949796</c:v>
                </c:pt>
                <c:pt idx="10">
                  <c:v>0.40000000001327901</c:v>
                </c:pt>
                <c:pt idx="11">
                  <c:v>-0.80000000002655702</c:v>
                </c:pt>
                <c:pt idx="12">
                  <c:v>-0.199999999949796</c:v>
                </c:pt>
                <c:pt idx="13">
                  <c:v>0.79999999991286996</c:v>
                </c:pt>
                <c:pt idx="14">
                  <c:v>-1.1999999999261499</c:v>
                </c:pt>
                <c:pt idx="15">
                  <c:v>-5.0000000044292399E-2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5.0000000044292399E-2</c:v>
                </c:pt>
                <c:pt idx="19">
                  <c:v>-5.0000000044292399E-2</c:v>
                </c:pt>
                <c:pt idx="20">
                  <c:v>0.15000000001919001</c:v>
                </c:pt>
                <c:pt idx="21">
                  <c:v>6.0000000007676101E-2</c:v>
                </c:pt>
                <c:pt idx="22">
                  <c:v>-9.99999999976353E-2</c:v>
                </c:pt>
                <c:pt idx="23">
                  <c:v>-2.0000000017716998E-2</c:v>
                </c:pt>
                <c:pt idx="24">
                  <c:v>-3.9999999989959199E-2</c:v>
                </c:pt>
                <c:pt idx="26">
                  <c:v>0.79999999991286996</c:v>
                </c:pt>
              </c:numCache>
            </c:numRef>
          </c:val>
        </c:ser>
        <c:ser>
          <c:idx val="1"/>
          <c:order val="1"/>
          <c:tx>
            <c:strRef>
              <c:f>'zk79+148'!$H$4:$L$4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'zk79+148'!$A$6:$A$46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'zk79+148'!$L$6:$L$46</c:f>
              <c:numCache>
                <c:formatCode>0.00_ </c:formatCode>
                <c:ptCount val="41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0.20000000006348301</c:v>
                </c:pt>
                <c:pt idx="4">
                  <c:v>-0.40000000001327901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0.49999999998817701</c:v>
                </c:pt>
                <c:pt idx="12">
                  <c:v>-0.89999999988776802</c:v>
                </c:pt>
                <c:pt idx="13">
                  <c:v>-0.20000000006348301</c:v>
                </c:pt>
                <c:pt idx="14">
                  <c:v>0.49999999998817701</c:v>
                </c:pt>
                <c:pt idx="15">
                  <c:v>-0.45000000000072798</c:v>
                </c:pt>
                <c:pt idx="16">
                  <c:v>-9.9999999974897905E-2</c:v>
                </c:pt>
                <c:pt idx="17">
                  <c:v>0.149999999962347</c:v>
                </c:pt>
                <c:pt idx="18">
                  <c:v>-4.9999999987449001E-2</c:v>
                </c:pt>
                <c:pt idx="19">
                  <c:v>0.24999999999408801</c:v>
                </c:pt>
                <c:pt idx="20">
                  <c:v>-9.9999999974897905E-2</c:v>
                </c:pt>
                <c:pt idx="21">
                  <c:v>-4.0000000012696497E-2</c:v>
                </c:pt>
                <c:pt idx="22">
                  <c:v>-3.9999999989959199E-2</c:v>
                </c:pt>
                <c:pt idx="23">
                  <c:v>3.9999999989959199E-2</c:v>
                </c:pt>
                <c:pt idx="24">
                  <c:v>6.0000000007676101E-2</c:v>
                </c:pt>
              </c:numCache>
            </c:numRef>
          </c:val>
        </c:ser>
        <c:ser>
          <c:idx val="2"/>
          <c:order val="2"/>
          <c:tx>
            <c:strRef>
              <c:f>'zk79+148'!$M$4:$Q$4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'zk79+148'!$A$6:$A$46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'zk79+148'!$Q$6:$Q$46</c:f>
              <c:numCache>
                <c:formatCode>0.00_ </c:formatCode>
                <c:ptCount val="41"/>
                <c:pt idx="0">
                  <c:v>0</c:v>
                </c:pt>
                <c:pt idx="1">
                  <c:v>-0.29999999992469401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0.199999999949796</c:v>
                </c:pt>
                <c:pt idx="9">
                  <c:v>-0.59999999996307496</c:v>
                </c:pt>
                <c:pt idx="10">
                  <c:v>-0.20000000006348301</c:v>
                </c:pt>
                <c:pt idx="11">
                  <c:v>0.50000000010186296</c:v>
                </c:pt>
                <c:pt idx="12">
                  <c:v>-0.90000000000145497</c:v>
                </c:pt>
                <c:pt idx="13">
                  <c:v>-0.20000000006348301</c:v>
                </c:pt>
                <c:pt idx="14">
                  <c:v>0.90000000000145497</c:v>
                </c:pt>
                <c:pt idx="15">
                  <c:v>-0.65000000000736702</c:v>
                </c:pt>
                <c:pt idx="16">
                  <c:v>-9.9999999974897905E-2</c:v>
                </c:pt>
                <c:pt idx="17">
                  <c:v>0.34999999996898601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0.100000000031741</c:v>
                </c:pt>
                <c:pt idx="21">
                  <c:v>3.9999999989959199E-2</c:v>
                </c:pt>
                <c:pt idx="22">
                  <c:v>-6.0000000007676101E-2</c:v>
                </c:pt>
                <c:pt idx="23">
                  <c:v>0.140000000010332</c:v>
                </c:pt>
                <c:pt idx="24">
                  <c:v>3.9999999989959199E-2</c:v>
                </c:pt>
              </c:numCache>
            </c:numRef>
          </c:val>
        </c:ser>
        <c:dLbls/>
        <c:marker val="1"/>
        <c:axId val="382067456"/>
        <c:axId val="382070784"/>
      </c:lineChart>
      <c:dateAx>
        <c:axId val="3820674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070784"/>
        <c:crossesAt val="-50"/>
        <c:auto val="1"/>
        <c:lblOffset val="100"/>
        <c:baseTimeUnit val="days"/>
        <c:majorUnit val="5"/>
        <c:majorTimeUnit val="days"/>
      </c:dateAx>
      <c:valAx>
        <c:axId val="38207078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06745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9+148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'zk79+148'!$W$6:$W$46</c:f>
              <c:numCache>
                <c:formatCode>0.00_ </c:formatCode>
                <c:ptCount val="41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0.30000000000107702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0.50000000000061096</c:v>
                </c:pt>
                <c:pt idx="8">
                  <c:v>0.19999999999953399</c:v>
                </c:pt>
                <c:pt idx="9">
                  <c:v>-0.19999999999953399</c:v>
                </c:pt>
                <c:pt idx="10">
                  <c:v>0.59999999999860198</c:v>
                </c:pt>
                <c:pt idx="11">
                  <c:v>0.20000000000130999</c:v>
                </c:pt>
                <c:pt idx="12">
                  <c:v>9.99999999997669E-2</c:v>
                </c:pt>
                <c:pt idx="13">
                  <c:v>9.99999999997669E-2</c:v>
                </c:pt>
                <c:pt idx="14">
                  <c:v>0.39999999999018598</c:v>
                </c:pt>
                <c:pt idx="15">
                  <c:v>9.99999999997669E-2</c:v>
                </c:pt>
                <c:pt idx="16">
                  <c:v>5.00000000052125E-2</c:v>
                </c:pt>
                <c:pt idx="17">
                  <c:v>0.14999999999520999</c:v>
                </c:pt>
                <c:pt idx="18">
                  <c:v>9.99999999997669E-2</c:v>
                </c:pt>
                <c:pt idx="19">
                  <c:v>0.15000000000497901</c:v>
                </c:pt>
                <c:pt idx="20">
                  <c:v>-0.20000000000042201</c:v>
                </c:pt>
                <c:pt idx="21">
                  <c:v>-7.9999999999813595E-2</c:v>
                </c:pt>
                <c:pt idx="22">
                  <c:v>5.99999999998602E-2</c:v>
                </c:pt>
                <c:pt idx="23">
                  <c:v>-1.9999999999953399E-2</c:v>
                </c:pt>
                <c:pt idx="24">
                  <c:v>-7.9999999999813595E-2</c:v>
                </c:pt>
                <c:pt idx="26">
                  <c:v>-0.50000000000061096</c:v>
                </c:pt>
              </c:numCache>
            </c:numRef>
          </c:val>
        </c:ser>
        <c:ser>
          <c:idx val="1"/>
          <c:order val="1"/>
          <c:tx>
            <c:strRef>
              <c:f>'zk79+148'!$Y$4:$AA$4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'zk79+148'!$AA$6:$AA$46</c:f>
              <c:numCache>
                <c:formatCode>0.00_ </c:formatCode>
                <c:ptCount val="41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-0.50000000000061096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-0.40000000000084401</c:v>
                </c:pt>
                <c:pt idx="11">
                  <c:v>0</c:v>
                </c:pt>
                <c:pt idx="12">
                  <c:v>-0.19999999999953399</c:v>
                </c:pt>
                <c:pt idx="13">
                  <c:v>9.99999999997669E-2</c:v>
                </c:pt>
                <c:pt idx="14">
                  <c:v>-0.49999999999883499</c:v>
                </c:pt>
                <c:pt idx="15">
                  <c:v>-0.100000000000655</c:v>
                </c:pt>
                <c:pt idx="16">
                  <c:v>5.0000000000771601E-2</c:v>
                </c:pt>
                <c:pt idx="17">
                  <c:v>-0.25000000000030598</c:v>
                </c:pt>
                <c:pt idx="18">
                  <c:v>-9.99999999997669E-2</c:v>
                </c:pt>
                <c:pt idx="19">
                  <c:v>4.9999999999883499E-2</c:v>
                </c:pt>
                <c:pt idx="20">
                  <c:v>4.9999999999883499E-2</c:v>
                </c:pt>
                <c:pt idx="21">
                  <c:v>-1.9999999999953399E-2</c:v>
                </c:pt>
                <c:pt idx="22">
                  <c:v>-4.0000000000262E-2</c:v>
                </c:pt>
                <c:pt idx="23">
                  <c:v>2.0000000000308701E-2</c:v>
                </c:pt>
                <c:pt idx="24">
                  <c:v>7.9999999999813595E-2</c:v>
                </c:pt>
                <c:pt idx="26">
                  <c:v>4.2857142857043E-2</c:v>
                </c:pt>
              </c:numCache>
            </c:numRef>
          </c:val>
        </c:ser>
        <c:ser>
          <c:idx val="2"/>
          <c:order val="2"/>
          <c:tx>
            <c:strRef>
              <c:f>'zk79+148'!$AC$4:$AE$4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'zk79+148'!$S$6:$S$46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'zk79+148'!$AE$6:$AE$46</c:f>
              <c:numCache>
                <c:formatCode>0.00_ </c:formatCode>
                <c:ptCount val="41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9.99999999997669E-2</c:v>
                </c:pt>
                <c:pt idx="4">
                  <c:v>-0.50000000000061096</c:v>
                </c:pt>
                <c:pt idx="5">
                  <c:v>-0.19999999999953399</c:v>
                </c:pt>
                <c:pt idx="6">
                  <c:v>0.50000000000061096</c:v>
                </c:pt>
                <c:pt idx="7">
                  <c:v>-0.90000000000145497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-0.69999999999836904</c:v>
                </c:pt>
                <c:pt idx="11">
                  <c:v>-0.20000000000130999</c:v>
                </c:pt>
                <c:pt idx="12">
                  <c:v>0.70000000000014495</c:v>
                </c:pt>
                <c:pt idx="13">
                  <c:v>-1.09999999999033</c:v>
                </c:pt>
                <c:pt idx="14">
                  <c:v>-0.19999999999953399</c:v>
                </c:pt>
                <c:pt idx="15">
                  <c:v>9.9999999995325994E-2</c:v>
                </c:pt>
                <c:pt idx="16">
                  <c:v>-0.29999999999485999</c:v>
                </c:pt>
                <c:pt idx="17">
                  <c:v>-0.100000000000655</c:v>
                </c:pt>
                <c:pt idx="18">
                  <c:v>9.9999999995325994E-2</c:v>
                </c:pt>
                <c:pt idx="19">
                  <c:v>0.20000000000042201</c:v>
                </c:pt>
                <c:pt idx="20">
                  <c:v>4.9999999999883499E-2</c:v>
                </c:pt>
                <c:pt idx="21">
                  <c:v>1.9999999999953399E-2</c:v>
                </c:pt>
                <c:pt idx="22">
                  <c:v>-0.120000000000076</c:v>
                </c:pt>
                <c:pt idx="23">
                  <c:v>-5.99999999998602E-2</c:v>
                </c:pt>
                <c:pt idx="24">
                  <c:v>5.99999999998602E-2</c:v>
                </c:pt>
              </c:numCache>
            </c:numRef>
          </c:val>
        </c:ser>
        <c:dLbls/>
        <c:marker val="1"/>
        <c:axId val="382197760"/>
        <c:axId val="382200832"/>
      </c:lineChart>
      <c:dateAx>
        <c:axId val="3821977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200832"/>
        <c:crossesAt val="-50"/>
        <c:auto val="1"/>
        <c:lblOffset val="100"/>
        <c:baseTimeUnit val="days"/>
        <c:majorUnit val="5"/>
        <c:majorTimeUnit val="days"/>
      </c:dateAx>
      <c:valAx>
        <c:axId val="38220083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19776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148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'zk79+148'!$C$4:$G$4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'zk79+148'!$A$6:$A$30</c:f>
              <c:numCache>
                <c:formatCode>m"月"d"日";@</c:formatCode>
                <c:ptCount val="25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'zk79+148'!$F$6:$F$30</c:f>
              <c:numCache>
                <c:formatCode>0.00_ </c:formatCode>
                <c:ptCount val="25"/>
                <c:pt idx="0">
                  <c:v>0</c:v>
                </c:pt>
                <c:pt idx="1">
                  <c:v>0.10000000008858501</c:v>
                </c:pt>
                <c:pt idx="2">
                  <c:v>-9.9999999974897905E-2</c:v>
                </c:pt>
                <c:pt idx="3">
                  <c:v>-0.39999999989959201</c:v>
                </c:pt>
                <c:pt idx="4">
                  <c:v>-0.29999999992469401</c:v>
                </c:pt>
                <c:pt idx="5">
                  <c:v>-0.79999999991286996</c:v>
                </c:pt>
                <c:pt idx="6">
                  <c:v>-0.99999999997635303</c:v>
                </c:pt>
                <c:pt idx="7">
                  <c:v>-0.59999999996307496</c:v>
                </c:pt>
                <c:pt idx="8">
                  <c:v>-1.39999999998963</c:v>
                </c:pt>
                <c:pt idx="9">
                  <c:v>-1.5999999999394301</c:v>
                </c:pt>
                <c:pt idx="10">
                  <c:v>-1.1999999999261499</c:v>
                </c:pt>
                <c:pt idx="11">
                  <c:v>-1.9999999999527101</c:v>
                </c:pt>
                <c:pt idx="12">
                  <c:v>-2.1999999999024999</c:v>
                </c:pt>
                <c:pt idx="13">
                  <c:v>-1.39999999998963</c:v>
                </c:pt>
                <c:pt idx="14">
                  <c:v>-2.5999999999157799</c:v>
                </c:pt>
                <c:pt idx="15">
                  <c:v>-2.70000000000437</c:v>
                </c:pt>
                <c:pt idx="16">
                  <c:v>-2.9999999999290599</c:v>
                </c:pt>
                <c:pt idx="17">
                  <c:v>-3.1999999999925399</c:v>
                </c:pt>
                <c:pt idx="18">
                  <c:v>-3.09999999990396</c:v>
                </c:pt>
                <c:pt idx="19">
                  <c:v>-3.1999999999925399</c:v>
                </c:pt>
                <c:pt idx="20">
                  <c:v>-2.8999999999541601</c:v>
                </c:pt>
                <c:pt idx="21">
                  <c:v>-2.5999999999157799</c:v>
                </c:pt>
                <c:pt idx="22">
                  <c:v>-3.09999999990396</c:v>
                </c:pt>
                <c:pt idx="23">
                  <c:v>-3.1999999999925399</c:v>
                </c:pt>
                <c:pt idx="24">
                  <c:v>-3.3999999999423398</c:v>
                </c:pt>
              </c:numCache>
            </c:numRef>
          </c:val>
        </c:ser>
        <c:ser>
          <c:idx val="1"/>
          <c:order val="1"/>
          <c:tx>
            <c:strRef>
              <c:f>'zk79+148'!$H$4:$L$4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'zk79+148'!$A$6:$A$30</c:f>
              <c:numCache>
                <c:formatCode>m"月"d"日";@</c:formatCode>
                <c:ptCount val="25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'zk79+148'!$K$6:$K$30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-0.50000000010186296</c:v>
                </c:pt>
                <c:pt idx="3">
                  <c:v>-0.30000000003838101</c:v>
                </c:pt>
                <c:pt idx="4">
                  <c:v>-0.70000000005165897</c:v>
                </c:pt>
                <c:pt idx="5">
                  <c:v>-0.80000000002655702</c:v>
                </c:pt>
                <c:pt idx="6">
                  <c:v>-1.1000000000649399</c:v>
                </c:pt>
                <c:pt idx="7">
                  <c:v>-1.30000000001473</c:v>
                </c:pt>
                <c:pt idx="8">
                  <c:v>-1.2000000000398401</c:v>
                </c:pt>
                <c:pt idx="9">
                  <c:v>-1.70000000002801</c:v>
                </c:pt>
                <c:pt idx="10">
                  <c:v>-1.9000000000915001</c:v>
                </c:pt>
                <c:pt idx="11">
                  <c:v>-1.4000000001033199</c:v>
                </c:pt>
                <c:pt idx="12">
                  <c:v>-2.2999999999910901</c:v>
                </c:pt>
                <c:pt idx="13">
                  <c:v>-2.5000000000545701</c:v>
                </c:pt>
                <c:pt idx="14">
                  <c:v>-2.00000000006639</c:v>
                </c:pt>
                <c:pt idx="15">
                  <c:v>-2.9000000000678501</c:v>
                </c:pt>
                <c:pt idx="16">
                  <c:v>-3.1000000000176402</c:v>
                </c:pt>
                <c:pt idx="17">
                  <c:v>-2.8000000000929499</c:v>
                </c:pt>
                <c:pt idx="18">
                  <c:v>-2.9000000000678501</c:v>
                </c:pt>
                <c:pt idx="19">
                  <c:v>-2.40000000007967</c:v>
                </c:pt>
                <c:pt idx="20">
                  <c:v>-2.6000000000294698</c:v>
                </c:pt>
                <c:pt idx="21">
                  <c:v>-2.8000000000929499</c:v>
                </c:pt>
                <c:pt idx="22">
                  <c:v>-3.0000000000427498</c:v>
                </c:pt>
                <c:pt idx="23">
                  <c:v>-2.8000000000929499</c:v>
                </c:pt>
                <c:pt idx="24">
                  <c:v>-2.5000000000545701</c:v>
                </c:pt>
              </c:numCache>
            </c:numRef>
          </c:val>
        </c:ser>
        <c:ser>
          <c:idx val="2"/>
          <c:order val="2"/>
          <c:tx>
            <c:strRef>
              <c:f>'zk79+148'!$M$4:$Q$4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'zk79+148'!$A$6:$A$30</c:f>
              <c:numCache>
                <c:formatCode>m"月"d"日";@</c:formatCode>
                <c:ptCount val="25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'zk79+148'!$P$6:$P$30</c:f>
              <c:numCache>
                <c:formatCode>0.00_ </c:formatCode>
                <c:ptCount val="25"/>
                <c:pt idx="0">
                  <c:v>0</c:v>
                </c:pt>
                <c:pt idx="1">
                  <c:v>-0.29999999992469401</c:v>
                </c:pt>
                <c:pt idx="2">
                  <c:v>-0.59999999996307496</c:v>
                </c:pt>
                <c:pt idx="3">
                  <c:v>-0.79999999991286996</c:v>
                </c:pt>
                <c:pt idx="4">
                  <c:v>-0.99999999997635303</c:v>
                </c:pt>
                <c:pt idx="5">
                  <c:v>-0.90000000000145497</c:v>
                </c:pt>
                <c:pt idx="6">
                  <c:v>-1.39999999998963</c:v>
                </c:pt>
                <c:pt idx="7">
                  <c:v>-1.5999999999394301</c:v>
                </c:pt>
                <c:pt idx="8">
                  <c:v>-1.39999999998963</c:v>
                </c:pt>
                <c:pt idx="9">
                  <c:v>-1.9999999999527101</c:v>
                </c:pt>
                <c:pt idx="10">
                  <c:v>-2.2000000000161899</c:v>
                </c:pt>
                <c:pt idx="11">
                  <c:v>-1.69999999991433</c:v>
                </c:pt>
                <c:pt idx="12">
                  <c:v>-2.5999999999157799</c:v>
                </c:pt>
                <c:pt idx="13">
                  <c:v>-2.79999999997926</c:v>
                </c:pt>
                <c:pt idx="14">
                  <c:v>-1.8999999999778101</c:v>
                </c:pt>
                <c:pt idx="15">
                  <c:v>-3.1999999999925399</c:v>
                </c:pt>
                <c:pt idx="16">
                  <c:v>-3.3999999999423398</c:v>
                </c:pt>
                <c:pt idx="17">
                  <c:v>-2.70000000000437</c:v>
                </c:pt>
                <c:pt idx="18">
                  <c:v>-2.8999999999541601</c:v>
                </c:pt>
                <c:pt idx="19">
                  <c:v>-2.79999999997926</c:v>
                </c:pt>
                <c:pt idx="20">
                  <c:v>-2.5999999999157799</c:v>
                </c:pt>
                <c:pt idx="21">
                  <c:v>-2.39999999996598</c:v>
                </c:pt>
                <c:pt idx="22">
                  <c:v>-2.70000000000437</c:v>
                </c:pt>
                <c:pt idx="23">
                  <c:v>-1.9999999999527101</c:v>
                </c:pt>
                <c:pt idx="24">
                  <c:v>-1.8000000000029099</c:v>
                </c:pt>
              </c:numCache>
            </c:numRef>
          </c:val>
        </c:ser>
        <c:dLbls/>
        <c:marker val="1"/>
        <c:axId val="382357888"/>
        <c:axId val="382360960"/>
      </c:lineChart>
      <c:lineChart>
        <c:grouping val="standard"/>
        <c:ser>
          <c:idx val="3"/>
          <c:order val="3"/>
          <c:tx>
            <c:strRef>
              <c:f>'zk79+148'!$AG$3:$AG$5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'zk79+148'!$A$6:$A$46</c:f>
              <c:numCache>
                <c:formatCode>m"月"d"日";@</c:formatCode>
                <c:ptCount val="41"/>
                <c:pt idx="0">
                  <c:v>44494</c:v>
                </c:pt>
                <c:pt idx="1">
                  <c:v>44495</c:v>
                </c:pt>
                <c:pt idx="2">
                  <c:v>44496</c:v>
                </c:pt>
                <c:pt idx="3">
                  <c:v>44497</c:v>
                </c:pt>
                <c:pt idx="4">
                  <c:v>44498</c:v>
                </c:pt>
                <c:pt idx="5">
                  <c:v>44499</c:v>
                </c:pt>
                <c:pt idx="6">
                  <c:v>44500</c:v>
                </c:pt>
                <c:pt idx="7">
                  <c:v>44501</c:v>
                </c:pt>
                <c:pt idx="8">
                  <c:v>44502</c:v>
                </c:pt>
                <c:pt idx="9">
                  <c:v>44503</c:v>
                </c:pt>
                <c:pt idx="10">
                  <c:v>44504</c:v>
                </c:pt>
                <c:pt idx="11">
                  <c:v>44505</c:v>
                </c:pt>
                <c:pt idx="12">
                  <c:v>44506</c:v>
                </c:pt>
                <c:pt idx="13">
                  <c:v>44507</c:v>
                </c:pt>
                <c:pt idx="14">
                  <c:v>44508</c:v>
                </c:pt>
                <c:pt idx="15">
                  <c:v>44510</c:v>
                </c:pt>
                <c:pt idx="16">
                  <c:v>44512</c:v>
                </c:pt>
                <c:pt idx="17">
                  <c:v>44514</c:v>
                </c:pt>
                <c:pt idx="18">
                  <c:v>44516</c:v>
                </c:pt>
                <c:pt idx="19">
                  <c:v>44518</c:v>
                </c:pt>
                <c:pt idx="20">
                  <c:v>44520</c:v>
                </c:pt>
                <c:pt idx="21">
                  <c:v>44525</c:v>
                </c:pt>
                <c:pt idx="22">
                  <c:v>44530</c:v>
                </c:pt>
                <c:pt idx="23">
                  <c:v>44535</c:v>
                </c:pt>
                <c:pt idx="24">
                  <c:v>44540</c:v>
                </c:pt>
              </c:numCache>
            </c:numRef>
          </c:cat>
          <c:val>
            <c:numRef>
              <c:f>'zk79+148'!$AG$6:$AG$46</c:f>
              <c:numCache>
                <c:formatCode>0.0_ </c:formatCode>
                <c:ptCount val="4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17</c:v>
                </c:pt>
                <c:pt idx="10">
                  <c:v>20</c:v>
                </c:pt>
                <c:pt idx="11">
                  <c:v>23</c:v>
                </c:pt>
                <c:pt idx="12">
                  <c:v>26</c:v>
                </c:pt>
                <c:pt idx="13">
                  <c:v>29</c:v>
                </c:pt>
                <c:pt idx="14">
                  <c:v>32</c:v>
                </c:pt>
                <c:pt idx="15">
                  <c:v>35</c:v>
                </c:pt>
                <c:pt idx="16">
                  <c:v>38</c:v>
                </c:pt>
                <c:pt idx="17">
                  <c:v>41</c:v>
                </c:pt>
                <c:pt idx="18">
                  <c:v>44</c:v>
                </c:pt>
                <c:pt idx="19">
                  <c:v>50</c:v>
                </c:pt>
                <c:pt idx="20">
                  <c:v>60</c:v>
                </c:pt>
                <c:pt idx="21">
                  <c:v>70</c:v>
                </c:pt>
                <c:pt idx="22">
                  <c:v>80</c:v>
                </c:pt>
                <c:pt idx="23">
                  <c:v>90</c:v>
                </c:pt>
                <c:pt idx="24">
                  <c:v>100</c:v>
                </c:pt>
              </c:numCache>
            </c:numRef>
          </c:val>
        </c:ser>
        <c:dLbls/>
        <c:marker val="1"/>
        <c:axId val="382363136"/>
        <c:axId val="382364672"/>
      </c:lineChart>
      <c:dateAx>
        <c:axId val="3823578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360960"/>
        <c:crossesAt val="-50"/>
        <c:auto val="1"/>
        <c:lblOffset val="100"/>
        <c:baseTimeUnit val="days"/>
        <c:majorUnit val="5"/>
        <c:majorTimeUnit val="days"/>
      </c:dateAx>
      <c:valAx>
        <c:axId val="38236096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357888"/>
        <c:crosses val="autoZero"/>
        <c:crossBetween val="midCat"/>
        <c:majorUnit val="1"/>
        <c:minorUnit val="0.5"/>
      </c:valAx>
      <c:dateAx>
        <c:axId val="3823631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2364672"/>
        <c:crosses val="autoZero"/>
        <c:auto val="1"/>
        <c:lblOffset val="100"/>
        <c:baseTimeUnit val="days"/>
      </c:dateAx>
      <c:valAx>
        <c:axId val="382364672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36313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469579667321504"/>
          <c:y val="0.22301304863582402"/>
          <c:w val="0.77525765254186119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'zk79+160'!$V$6:$V$42</c:f>
              <c:numCache>
                <c:formatCode>0.00_ </c:formatCode>
                <c:ptCount val="37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-0.39999999999906799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-0.59999999999860198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-1.0999999999992101</c:v>
                </c:pt>
                <c:pt idx="11">
                  <c:v>-2.0999999999986598</c:v>
                </c:pt>
                <c:pt idx="12">
                  <c:v>-2.2999999999999701</c:v>
                </c:pt>
                <c:pt idx="13">
                  <c:v>-1.39999999999851</c:v>
                </c:pt>
                <c:pt idx="14">
                  <c:v>-2.0999999999986598</c:v>
                </c:pt>
                <c:pt idx="15">
                  <c:v>-2.4999999999995</c:v>
                </c:pt>
                <c:pt idx="16">
                  <c:v>-2.3999999999997401</c:v>
                </c:pt>
                <c:pt idx="17">
                  <c:v>-2.2999999999999701</c:v>
                </c:pt>
                <c:pt idx="18">
                  <c:v>-2.3999999999997401</c:v>
                </c:pt>
                <c:pt idx="19">
                  <c:v>-2.0999999999986598</c:v>
                </c:pt>
                <c:pt idx="20">
                  <c:v>-1.99999999999889</c:v>
                </c:pt>
                <c:pt idx="21">
                  <c:v>-2.0999999999986598</c:v>
                </c:pt>
                <c:pt idx="22">
                  <c:v>-1.8999999999991199</c:v>
                </c:pt>
                <c:pt idx="23">
                  <c:v>-1.7999999999993599</c:v>
                </c:pt>
                <c:pt idx="24">
                  <c:v>-1.6999999999995901</c:v>
                </c:pt>
                <c:pt idx="25">
                  <c:v>-2.0999999999986598</c:v>
                </c:pt>
                <c:pt idx="26">
                  <c:v>-2.4999999999995</c:v>
                </c:pt>
                <c:pt idx="27">
                  <c:v>-2.8999999999985699</c:v>
                </c:pt>
                <c:pt idx="28">
                  <c:v>-3.0999999999998802</c:v>
                </c:pt>
                <c:pt idx="30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'zk79+160'!$Y$4:$AA$4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'zk79+160'!$Z$6:$Z$42</c:f>
              <c:numCache>
                <c:formatCode>0.00_ </c:formatCode>
                <c:ptCount val="37"/>
                <c:pt idx="0">
                  <c:v>0</c:v>
                </c:pt>
                <c:pt idx="1">
                  <c:v>-0.29999999999930099</c:v>
                </c:pt>
                <c:pt idx="2">
                  <c:v>-0.79999999999813598</c:v>
                </c:pt>
                <c:pt idx="3">
                  <c:v>-1.0000000000012199</c:v>
                </c:pt>
                <c:pt idx="4">
                  <c:v>-1.20000000000076</c:v>
                </c:pt>
                <c:pt idx="5">
                  <c:v>-1.20000000000076</c:v>
                </c:pt>
                <c:pt idx="6">
                  <c:v>-1.59999999999982</c:v>
                </c:pt>
                <c:pt idx="7">
                  <c:v>-1.7999999999993599</c:v>
                </c:pt>
                <c:pt idx="8">
                  <c:v>-1.59999999999982</c:v>
                </c:pt>
                <c:pt idx="9">
                  <c:v>-2.1999999999984299</c:v>
                </c:pt>
                <c:pt idx="10">
                  <c:v>-2.4000000000015098</c:v>
                </c:pt>
                <c:pt idx="11">
                  <c:v>-2.1999999999984299</c:v>
                </c:pt>
                <c:pt idx="12">
                  <c:v>-2.8000000000005798</c:v>
                </c:pt>
                <c:pt idx="13">
                  <c:v>-3.0000000000001101</c:v>
                </c:pt>
                <c:pt idx="14">
                  <c:v>-3.2999999999994101</c:v>
                </c:pt>
                <c:pt idx="15">
                  <c:v>-3.1999999999996498</c:v>
                </c:pt>
                <c:pt idx="16">
                  <c:v>-3.0000000000001101</c:v>
                </c:pt>
                <c:pt idx="17">
                  <c:v>-3.2999999999994101</c:v>
                </c:pt>
                <c:pt idx="18">
                  <c:v>-2.6000000000010499</c:v>
                </c:pt>
                <c:pt idx="19">
                  <c:v>-2.4000000000015098</c:v>
                </c:pt>
                <c:pt idx="20">
                  <c:v>-2.1999999999984299</c:v>
                </c:pt>
                <c:pt idx="21">
                  <c:v>-2.2999999999981902</c:v>
                </c:pt>
                <c:pt idx="22">
                  <c:v>-2.5000000000012799</c:v>
                </c:pt>
                <c:pt idx="23">
                  <c:v>-2.6000000000010499</c:v>
                </c:pt>
                <c:pt idx="24">
                  <c:v>-2.9000000000003499</c:v>
                </c:pt>
                <c:pt idx="25">
                  <c:v>-2.8000000000005798</c:v>
                </c:pt>
                <c:pt idx="26">
                  <c:v>-2.7000000000008102</c:v>
                </c:pt>
                <c:pt idx="27">
                  <c:v>-2.6000000000010499</c:v>
                </c:pt>
                <c:pt idx="28">
                  <c:v>-2.8000000000005798</c:v>
                </c:pt>
                <c:pt idx="30">
                  <c:v>-4.4000000000004</c:v>
                </c:pt>
              </c:numCache>
            </c:numRef>
          </c:val>
        </c:ser>
        <c:ser>
          <c:idx val="2"/>
          <c:order val="2"/>
          <c:tx>
            <c:strRef>
              <c:f>'zk79+160'!$AC$4:$AE$4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'zk79+160'!$AD$6:$AD$42</c:f>
              <c:numCache>
                <c:formatCode>0.00_ </c:formatCode>
                <c:ptCount val="37"/>
                <c:pt idx="0">
                  <c:v>0</c:v>
                </c:pt>
                <c:pt idx="1">
                  <c:v>-0.39999999999906799</c:v>
                </c:pt>
                <c:pt idx="2">
                  <c:v>-9.99999999997669E-2</c:v>
                </c:pt>
                <c:pt idx="3">
                  <c:v>-0.70000000000014495</c:v>
                </c:pt>
                <c:pt idx="4">
                  <c:v>-0.89999999999967895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-1.4000000000002899</c:v>
                </c:pt>
                <c:pt idx="8">
                  <c:v>-1.1999999999989801</c:v>
                </c:pt>
                <c:pt idx="9">
                  <c:v>-1.1999999999989801</c:v>
                </c:pt>
                <c:pt idx="10">
                  <c:v>-1.59999999999982</c:v>
                </c:pt>
                <c:pt idx="11">
                  <c:v>-1.7999999999993599</c:v>
                </c:pt>
                <c:pt idx="12">
                  <c:v>-1.8999999999991199</c:v>
                </c:pt>
                <c:pt idx="13">
                  <c:v>-2.2000000000002</c:v>
                </c:pt>
                <c:pt idx="14">
                  <c:v>-2.6999999999990401</c:v>
                </c:pt>
                <c:pt idx="15">
                  <c:v>-2.8000000000005798</c:v>
                </c:pt>
                <c:pt idx="16">
                  <c:v>-2.8000000000005798</c:v>
                </c:pt>
                <c:pt idx="17">
                  <c:v>-2.6999999999990401</c:v>
                </c:pt>
                <c:pt idx="18">
                  <c:v>-2.8000000000005798</c:v>
                </c:pt>
                <c:pt idx="19">
                  <c:v>-2.8000000000005798</c:v>
                </c:pt>
                <c:pt idx="20">
                  <c:v>-3.3999999999991801</c:v>
                </c:pt>
                <c:pt idx="21">
                  <c:v>-3.6000000000004899</c:v>
                </c:pt>
                <c:pt idx="22">
                  <c:v>-3.2999999999994101</c:v>
                </c:pt>
                <c:pt idx="23">
                  <c:v>-3.3999999999991801</c:v>
                </c:pt>
                <c:pt idx="24">
                  <c:v>-3.70000000000026</c:v>
                </c:pt>
                <c:pt idx="25">
                  <c:v>-3.8999999999997899</c:v>
                </c:pt>
                <c:pt idx="26">
                  <c:v>-4.09999999999933</c:v>
                </c:pt>
                <c:pt idx="27">
                  <c:v>-4.2999999999988603</c:v>
                </c:pt>
                <c:pt idx="28">
                  <c:v>-4.4000000000004</c:v>
                </c:pt>
              </c:numCache>
            </c:numRef>
          </c:val>
        </c:ser>
        <c:dLbls/>
        <c:marker val="1"/>
        <c:axId val="382439424"/>
        <c:axId val="382441728"/>
      </c:lineChart>
      <c:lineChart>
        <c:grouping val="standard"/>
        <c:ser>
          <c:idx val="3"/>
          <c:order val="3"/>
          <c:tx>
            <c:strRef>
              <c:f>'zk79+160'!$AG$3:$AG$5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'zk79+160'!$AG$6:$AG$42</c:f>
              <c:numCache>
                <c:formatCode>0.0_ </c:formatCode>
                <c:ptCount val="37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27</c:v>
                </c:pt>
                <c:pt idx="11">
                  <c:v>30</c:v>
                </c:pt>
                <c:pt idx="12">
                  <c:v>33</c:v>
                </c:pt>
                <c:pt idx="13">
                  <c:v>36</c:v>
                </c:pt>
                <c:pt idx="14">
                  <c:v>39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</c:numCache>
            </c:numRef>
          </c:val>
        </c:ser>
        <c:dLbls/>
        <c:marker val="1"/>
        <c:axId val="382443904"/>
        <c:axId val="382445440"/>
      </c:lineChart>
      <c:dateAx>
        <c:axId val="3824394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441728"/>
        <c:crossesAt val="-50"/>
        <c:auto val="1"/>
        <c:lblOffset val="100"/>
        <c:baseTimeUnit val="days"/>
        <c:majorUnit val="9"/>
        <c:majorTimeUnit val="days"/>
      </c:dateAx>
      <c:valAx>
        <c:axId val="382441728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439424"/>
        <c:crosses val="autoZero"/>
        <c:crossBetween val="midCat"/>
        <c:majorUnit val="1.2"/>
        <c:minorUnit val="0.1"/>
      </c:valAx>
      <c:dateAx>
        <c:axId val="3824439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2445440"/>
        <c:crosses val="autoZero"/>
        <c:auto val="1"/>
        <c:lblOffset val="100"/>
        <c:baseTimeUnit val="days"/>
      </c:dateAx>
      <c:valAx>
        <c:axId val="382445440"/>
        <c:scaling>
          <c:orientation val="minMax"/>
          <c:max val="10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44390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'zk79+160'!$G$6:$G$42</c:f>
              <c:numCache>
                <c:formatCode>0.00_ </c:formatCode>
                <c:ptCount val="37"/>
                <c:pt idx="0">
                  <c:v>0</c:v>
                </c:pt>
                <c:pt idx="1">
                  <c:v>-0.30000000003838101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0.59999999996307496</c:v>
                </c:pt>
                <c:pt idx="15">
                  <c:v>-0.49999999998817701</c:v>
                </c:pt>
                <c:pt idx="16">
                  <c:v>0.149999999962347</c:v>
                </c:pt>
                <c:pt idx="17">
                  <c:v>-9.9999999974897905E-2</c:v>
                </c:pt>
                <c:pt idx="18">
                  <c:v>-0.15000000001919001</c:v>
                </c:pt>
                <c:pt idx="19">
                  <c:v>-4.9999999987449001E-2</c:v>
                </c:pt>
                <c:pt idx="20">
                  <c:v>-9.9999999974897905E-2</c:v>
                </c:pt>
                <c:pt idx="21">
                  <c:v>4.9999999987449001E-2</c:v>
                </c:pt>
                <c:pt idx="22">
                  <c:v>-0.100000000031741</c:v>
                </c:pt>
                <c:pt idx="23">
                  <c:v>-0.149999999962347</c:v>
                </c:pt>
                <c:pt idx="24">
                  <c:v>2.8571428564256599E-2</c:v>
                </c:pt>
                <c:pt idx="25">
                  <c:v>2.85714285804975E-2</c:v>
                </c:pt>
                <c:pt idx="26">
                  <c:v>2.8571428564256599E-2</c:v>
                </c:pt>
                <c:pt idx="27">
                  <c:v>1.24999999968622E-2</c:v>
                </c:pt>
                <c:pt idx="28">
                  <c:v>3.2258064544704798E-3</c:v>
                </c:pt>
                <c:pt idx="30">
                  <c:v>-9.9999999974897905E-2</c:v>
                </c:pt>
              </c:numCache>
            </c:numRef>
          </c:val>
        </c:ser>
        <c:ser>
          <c:idx val="1"/>
          <c:order val="1"/>
          <c:tx>
            <c:strRef>
              <c:f>'zk79+160'!$H$4:$L$4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'zk79+160'!$L$6:$L$42</c:f>
              <c:numCache>
                <c:formatCode>0.00_ </c:formatCode>
                <c:ptCount val="37"/>
                <c:pt idx="0">
                  <c:v>0</c:v>
                </c:pt>
                <c:pt idx="1">
                  <c:v>-0.29999999992469401</c:v>
                </c:pt>
                <c:pt idx="2">
                  <c:v>0.199999999949796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0.40000000001327901</c:v>
                </c:pt>
                <c:pt idx="12">
                  <c:v>-0.80000000002655702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-0.15000000001919001</c:v>
                </c:pt>
                <c:pt idx="16">
                  <c:v>5.0000000044292399E-2</c:v>
                </c:pt>
                <c:pt idx="17">
                  <c:v>4.9999999987449001E-2</c:v>
                </c:pt>
                <c:pt idx="18">
                  <c:v>0.15000000001919001</c:v>
                </c:pt>
                <c:pt idx="19">
                  <c:v>-5.0000000044292399E-2</c:v>
                </c:pt>
                <c:pt idx="20">
                  <c:v>-9.9999999974897905E-2</c:v>
                </c:pt>
                <c:pt idx="21">
                  <c:v>0.20000000000663901</c:v>
                </c:pt>
                <c:pt idx="22">
                  <c:v>9.9999999974897905E-2</c:v>
                </c:pt>
                <c:pt idx="23">
                  <c:v>-4.9999999987449001E-2</c:v>
                </c:pt>
                <c:pt idx="24">
                  <c:v>-2.8571428564256599E-2</c:v>
                </c:pt>
                <c:pt idx="25">
                  <c:v>2.8571428564256599E-2</c:v>
                </c:pt>
                <c:pt idx="26">
                  <c:v>2.8571428564256599E-2</c:v>
                </c:pt>
                <c:pt idx="27">
                  <c:v>1.25000000039677E-2</c:v>
                </c:pt>
                <c:pt idx="28">
                  <c:v>-6.4516129052736397E-3</c:v>
                </c:pt>
              </c:numCache>
            </c:numRef>
          </c:val>
        </c:ser>
        <c:ser>
          <c:idx val="2"/>
          <c:order val="2"/>
          <c:tx>
            <c:strRef>
              <c:f>'zk79+160'!$M$4:$Q$4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'zk79+160'!$Q$6:$Q$42</c:f>
              <c:numCache>
                <c:formatCode>0.00_ </c:formatCode>
                <c:ptCount val="37"/>
                <c:pt idx="0">
                  <c:v>0</c:v>
                </c:pt>
                <c:pt idx="1">
                  <c:v>-0.20000000006348301</c:v>
                </c:pt>
                <c:pt idx="2">
                  <c:v>9.9999999974897905E-2</c:v>
                </c:pt>
                <c:pt idx="3">
                  <c:v>-9.9999999974897905E-2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1.2000000000398401</c:v>
                </c:pt>
                <c:pt idx="10">
                  <c:v>-1.60000000005311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-0.20000000006348301</c:v>
                </c:pt>
                <c:pt idx="15">
                  <c:v>0.15000000001919001</c:v>
                </c:pt>
                <c:pt idx="16">
                  <c:v>-4.9999999987449001E-2</c:v>
                </c:pt>
                <c:pt idx="17">
                  <c:v>-5.0000000044292399E-2</c:v>
                </c:pt>
                <c:pt idx="18">
                  <c:v>0.20000000000663901</c:v>
                </c:pt>
                <c:pt idx="19">
                  <c:v>-0.29999999998153698</c:v>
                </c:pt>
                <c:pt idx="20">
                  <c:v>-4.9999999987449001E-2</c:v>
                </c:pt>
                <c:pt idx="21">
                  <c:v>-4.9999999987449001E-2</c:v>
                </c:pt>
                <c:pt idx="22">
                  <c:v>-5.0000000044292399E-2</c:v>
                </c:pt>
                <c:pt idx="23">
                  <c:v>0.15000000001919001</c:v>
                </c:pt>
                <c:pt idx="24">
                  <c:v>-5.7142857144754103E-2</c:v>
                </c:pt>
                <c:pt idx="25">
                  <c:v>7.1428571426882401E-2</c:v>
                </c:pt>
                <c:pt idx="26">
                  <c:v>7.1428571426882401E-2</c:v>
                </c:pt>
                <c:pt idx="27">
                  <c:v>3.1249999999261001E-2</c:v>
                </c:pt>
                <c:pt idx="28">
                  <c:v>-3.2258064508031599E-3</c:v>
                </c:pt>
              </c:numCache>
            </c:numRef>
          </c:val>
        </c:ser>
        <c:dLbls/>
        <c:marker val="1"/>
        <c:axId val="382558208"/>
        <c:axId val="382560512"/>
      </c:lineChart>
      <c:dateAx>
        <c:axId val="3825582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560512"/>
        <c:crossesAt val="-50"/>
        <c:auto val="1"/>
        <c:lblOffset val="100"/>
        <c:baseTimeUnit val="days"/>
        <c:majorUnit val="9"/>
        <c:majorTimeUnit val="days"/>
      </c:dateAx>
      <c:valAx>
        <c:axId val="38256051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55820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'zk79+160'!$W$6:$W$42</c:f>
              <c:numCache>
                <c:formatCode>0.00_ </c:formatCode>
                <c:ptCount val="37"/>
                <c:pt idx="0">
                  <c:v>0</c:v>
                </c:pt>
                <c:pt idx="1">
                  <c:v>9.99999999997669E-2</c:v>
                </c:pt>
                <c:pt idx="2">
                  <c:v>0.19999999999953399</c:v>
                </c:pt>
                <c:pt idx="3">
                  <c:v>0.19999999999953399</c:v>
                </c:pt>
                <c:pt idx="4">
                  <c:v>-9.99999999997669E-2</c:v>
                </c:pt>
                <c:pt idx="5">
                  <c:v>0.50000000000061096</c:v>
                </c:pt>
                <c:pt idx="6">
                  <c:v>0.19999999999953399</c:v>
                </c:pt>
                <c:pt idx="7">
                  <c:v>-0.50000000000061096</c:v>
                </c:pt>
                <c:pt idx="8">
                  <c:v>0.90000000000145497</c:v>
                </c:pt>
                <c:pt idx="9">
                  <c:v>0.19999999999953399</c:v>
                </c:pt>
                <c:pt idx="10">
                  <c:v>-0.60000000000037801</c:v>
                </c:pt>
                <c:pt idx="11">
                  <c:v>0.999999999999446</c:v>
                </c:pt>
                <c:pt idx="12">
                  <c:v>0.20000000000130999</c:v>
                </c:pt>
                <c:pt idx="13">
                  <c:v>-0.90000000000145497</c:v>
                </c:pt>
                <c:pt idx="14">
                  <c:v>0.70000000000014495</c:v>
                </c:pt>
                <c:pt idx="15">
                  <c:v>0.20000000000042201</c:v>
                </c:pt>
                <c:pt idx="16">
                  <c:v>-4.9999999999883499E-2</c:v>
                </c:pt>
                <c:pt idx="17">
                  <c:v>-4.9999999999883499E-2</c:v>
                </c:pt>
                <c:pt idx="18">
                  <c:v>4.9999999999883499E-2</c:v>
                </c:pt>
                <c:pt idx="19">
                  <c:v>-0.15000000000053901</c:v>
                </c:pt>
                <c:pt idx="20">
                  <c:v>-4.9999999999883499E-2</c:v>
                </c:pt>
                <c:pt idx="21">
                  <c:v>4.9999999999883499E-2</c:v>
                </c:pt>
                <c:pt idx="22">
                  <c:v>-9.99999999997669E-2</c:v>
                </c:pt>
                <c:pt idx="23">
                  <c:v>-4.9999999999883499E-2</c:v>
                </c:pt>
                <c:pt idx="24">
                  <c:v>-1.4285714285680999E-2</c:v>
                </c:pt>
                <c:pt idx="25">
                  <c:v>5.7142857142723998E-2</c:v>
                </c:pt>
                <c:pt idx="26">
                  <c:v>5.7142857142977697E-2</c:v>
                </c:pt>
                <c:pt idx="27">
                  <c:v>2.4999999999941701E-2</c:v>
                </c:pt>
                <c:pt idx="28">
                  <c:v>6.4516129032680704E-3</c:v>
                </c:pt>
                <c:pt idx="30">
                  <c:v>-0.10000000000154299</c:v>
                </c:pt>
              </c:numCache>
            </c:numRef>
          </c:val>
        </c:ser>
        <c:ser>
          <c:idx val="1"/>
          <c:order val="1"/>
          <c:tx>
            <c:strRef>
              <c:f>'zk79+160'!$Y$4:$AA$4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'zk79+160'!$AA$6:$AA$42</c:f>
              <c:numCache>
                <c:formatCode>0.00_ </c:formatCode>
                <c:ptCount val="37"/>
                <c:pt idx="0">
                  <c:v>0</c:v>
                </c:pt>
                <c:pt idx="1">
                  <c:v>-0.29999999999930099</c:v>
                </c:pt>
                <c:pt idx="2">
                  <c:v>-0.49999999999883499</c:v>
                </c:pt>
                <c:pt idx="3">
                  <c:v>-0.20000000000308699</c:v>
                </c:pt>
                <c:pt idx="4">
                  <c:v>-0.19999999999953399</c:v>
                </c:pt>
                <c:pt idx="5">
                  <c:v>0</c:v>
                </c:pt>
                <c:pt idx="6">
                  <c:v>-0.39999999999906799</c:v>
                </c:pt>
                <c:pt idx="7">
                  <c:v>-0.19999999999953399</c:v>
                </c:pt>
                <c:pt idx="8">
                  <c:v>0.19999999999953399</c:v>
                </c:pt>
                <c:pt idx="9">
                  <c:v>-0.59999999999860198</c:v>
                </c:pt>
                <c:pt idx="10">
                  <c:v>-0.20000000000308699</c:v>
                </c:pt>
                <c:pt idx="11">
                  <c:v>0.20000000000308699</c:v>
                </c:pt>
                <c:pt idx="12">
                  <c:v>-0.60000000000215403</c:v>
                </c:pt>
                <c:pt idx="13">
                  <c:v>-0.19999999999953399</c:v>
                </c:pt>
                <c:pt idx="14">
                  <c:v>-0.29999999999930099</c:v>
                </c:pt>
                <c:pt idx="15">
                  <c:v>4.9999999999883499E-2</c:v>
                </c:pt>
                <c:pt idx="16">
                  <c:v>9.99999999997669E-2</c:v>
                </c:pt>
                <c:pt idx="17">
                  <c:v>-0.14999999999965</c:v>
                </c:pt>
                <c:pt idx="18">
                  <c:v>0.34999999999918402</c:v>
                </c:pt>
                <c:pt idx="19">
                  <c:v>9.99999999997669E-2</c:v>
                </c:pt>
                <c:pt idx="20">
                  <c:v>0.10000000000154299</c:v>
                </c:pt>
                <c:pt idx="21">
                  <c:v>-4.9999999999883499E-2</c:v>
                </c:pt>
                <c:pt idx="22">
                  <c:v>-0.10000000000154299</c:v>
                </c:pt>
                <c:pt idx="23">
                  <c:v>-4.9999999999883499E-2</c:v>
                </c:pt>
                <c:pt idx="24">
                  <c:v>-4.2857142857043E-2</c:v>
                </c:pt>
                <c:pt idx="25">
                  <c:v>1.4285714285680999E-2</c:v>
                </c:pt>
                <c:pt idx="26">
                  <c:v>1.4285714285680999E-2</c:v>
                </c:pt>
                <c:pt idx="27">
                  <c:v>6.2499999999854304E-3</c:v>
                </c:pt>
                <c:pt idx="28">
                  <c:v>-6.4516129032107699E-3</c:v>
                </c:pt>
                <c:pt idx="30">
                  <c:v>-6.66666666665113E-3</c:v>
                </c:pt>
              </c:numCache>
            </c:numRef>
          </c:val>
        </c:ser>
        <c:ser>
          <c:idx val="2"/>
          <c:order val="2"/>
          <c:tx>
            <c:strRef>
              <c:f>'zk79+160'!$AC$4:$AE$4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'zk79+160'!$S$6:$S$42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'zk79+160'!$AE$6:$AE$42</c:f>
              <c:numCache>
                <c:formatCode>0.00_ </c:formatCode>
                <c:ptCount val="37"/>
                <c:pt idx="0">
                  <c:v>0</c:v>
                </c:pt>
                <c:pt idx="1">
                  <c:v>-0.39999999999906799</c:v>
                </c:pt>
                <c:pt idx="2">
                  <c:v>0.29999999999930099</c:v>
                </c:pt>
                <c:pt idx="3">
                  <c:v>-0.60000000000037801</c:v>
                </c:pt>
                <c:pt idx="4">
                  <c:v>-0.19999999999953399</c:v>
                </c:pt>
                <c:pt idx="5">
                  <c:v>0.29999999999930099</c:v>
                </c:pt>
                <c:pt idx="6">
                  <c:v>-0.19999999999953399</c:v>
                </c:pt>
                <c:pt idx="7">
                  <c:v>-0.60000000000037801</c:v>
                </c:pt>
                <c:pt idx="8">
                  <c:v>0.20000000000130999</c:v>
                </c:pt>
                <c:pt idx="9">
                  <c:v>0</c:v>
                </c:pt>
                <c:pt idx="10">
                  <c:v>-0.40000000000084401</c:v>
                </c:pt>
                <c:pt idx="11">
                  <c:v>-0.19999999999953399</c:v>
                </c:pt>
                <c:pt idx="12">
                  <c:v>-9.99999999997669E-2</c:v>
                </c:pt>
                <c:pt idx="13">
                  <c:v>-0.30000000000107702</c:v>
                </c:pt>
                <c:pt idx="14">
                  <c:v>-0.49999999999883499</c:v>
                </c:pt>
                <c:pt idx="15">
                  <c:v>-5.0000000000771601E-2</c:v>
                </c:pt>
                <c:pt idx="16">
                  <c:v>0</c:v>
                </c:pt>
                <c:pt idx="17">
                  <c:v>5.0000000000771601E-2</c:v>
                </c:pt>
                <c:pt idx="18">
                  <c:v>-5.0000000000771601E-2</c:v>
                </c:pt>
                <c:pt idx="19">
                  <c:v>0</c:v>
                </c:pt>
                <c:pt idx="20">
                  <c:v>-0.29999999999930099</c:v>
                </c:pt>
                <c:pt idx="21">
                  <c:v>-0.100000000000655</c:v>
                </c:pt>
                <c:pt idx="22">
                  <c:v>0.15000000000053901</c:v>
                </c:pt>
                <c:pt idx="23">
                  <c:v>-4.9999999999883499E-2</c:v>
                </c:pt>
                <c:pt idx="24">
                  <c:v>-4.28571428572967E-2</c:v>
                </c:pt>
                <c:pt idx="25">
                  <c:v>-2.8571428571361999E-2</c:v>
                </c:pt>
                <c:pt idx="26">
                  <c:v>-2.8571428571361999E-2</c:v>
                </c:pt>
                <c:pt idx="27">
                  <c:v>-1.2499999999970901E-2</c:v>
                </c:pt>
                <c:pt idx="28">
                  <c:v>-3.2258064516626898E-3</c:v>
                </c:pt>
              </c:numCache>
            </c:numRef>
          </c:val>
        </c:ser>
        <c:dLbls/>
        <c:marker val="1"/>
        <c:axId val="382313216"/>
        <c:axId val="382315520"/>
      </c:lineChart>
      <c:dateAx>
        <c:axId val="3823132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315520"/>
        <c:crossesAt val="-50"/>
        <c:auto val="1"/>
        <c:lblOffset val="100"/>
        <c:baseTimeUnit val="days"/>
        <c:majorUnit val="9"/>
        <c:majorTimeUnit val="days"/>
      </c:dateAx>
      <c:valAx>
        <c:axId val="3823155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3132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0594284869320903"/>
          <c:y val="0.11464968152866201"/>
          <c:w val="0.65947186179192396"/>
          <c:h val="8.07084107057197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4299792280712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'zk79+160'!$F$6:$F$42</c:f>
              <c:numCache>
                <c:formatCode>0.00_ </c:formatCode>
                <c:ptCount val="37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-0.49999999998817701</c:v>
                </c:pt>
                <c:pt idx="6">
                  <c:v>-0.99999999997635303</c:v>
                </c:pt>
                <c:pt idx="7">
                  <c:v>-1.2000000000398401</c:v>
                </c:pt>
                <c:pt idx="8">
                  <c:v>-1.30000000001473</c:v>
                </c:pt>
                <c:pt idx="9">
                  <c:v>-1.60000000005311</c:v>
                </c:pt>
                <c:pt idx="10">
                  <c:v>-1.8000000000029099</c:v>
                </c:pt>
                <c:pt idx="11">
                  <c:v>-1.4999999999645299</c:v>
                </c:pt>
                <c:pt idx="12">
                  <c:v>-2.2000000000161899</c:v>
                </c:pt>
                <c:pt idx="13">
                  <c:v>-2.39999999996598</c:v>
                </c:pt>
                <c:pt idx="14">
                  <c:v>-1.8000000000029099</c:v>
                </c:pt>
                <c:pt idx="15">
                  <c:v>-2.79999999997926</c:v>
                </c:pt>
                <c:pt idx="16">
                  <c:v>-2.5000000000545701</c:v>
                </c:pt>
                <c:pt idx="17">
                  <c:v>-2.70000000000437</c:v>
                </c:pt>
                <c:pt idx="18">
                  <c:v>-3.0000000000427498</c:v>
                </c:pt>
                <c:pt idx="19">
                  <c:v>-3.1000000000176402</c:v>
                </c:pt>
                <c:pt idx="20">
                  <c:v>-3.2999999999674401</c:v>
                </c:pt>
                <c:pt idx="21">
                  <c:v>-3.1999999999925399</c:v>
                </c:pt>
                <c:pt idx="22">
                  <c:v>-3.40000000005602</c:v>
                </c:pt>
                <c:pt idx="23">
                  <c:v>-3.69999999998072</c:v>
                </c:pt>
                <c:pt idx="24">
                  <c:v>-3.5000000000309202</c:v>
                </c:pt>
                <c:pt idx="25">
                  <c:v>-3.2999999999674401</c:v>
                </c:pt>
                <c:pt idx="26">
                  <c:v>-3.1000000000176402</c:v>
                </c:pt>
                <c:pt idx="27">
                  <c:v>-2.9000000000678501</c:v>
                </c:pt>
                <c:pt idx="28">
                  <c:v>-2.79999999997926</c:v>
                </c:pt>
                <c:pt idx="30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'zk79+160'!$H$4:$L$4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'zk79+160'!$K$6:$K$42</c:f>
              <c:numCache>
                <c:formatCode>0.00_ </c:formatCode>
                <c:ptCount val="37"/>
                <c:pt idx="0">
                  <c:v>0</c:v>
                </c:pt>
                <c:pt idx="1">
                  <c:v>-0.29999999992469401</c:v>
                </c:pt>
                <c:pt idx="2">
                  <c:v>-9.9999999974897905E-2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-0.49999999998817701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-1.09999999995125</c:v>
                </c:pt>
                <c:pt idx="9">
                  <c:v>-1.5999999999394301</c:v>
                </c:pt>
                <c:pt idx="10">
                  <c:v>-1.8000000000029099</c:v>
                </c:pt>
                <c:pt idx="11">
                  <c:v>-1.39999999998963</c:v>
                </c:pt>
                <c:pt idx="12">
                  <c:v>-2.2000000000161899</c:v>
                </c:pt>
                <c:pt idx="13">
                  <c:v>-2.39999999996598</c:v>
                </c:pt>
                <c:pt idx="14">
                  <c:v>-2.2999999999910901</c:v>
                </c:pt>
                <c:pt idx="15">
                  <c:v>-2.6000000000294698</c:v>
                </c:pt>
                <c:pt idx="16">
                  <c:v>-2.4999999999408802</c:v>
                </c:pt>
                <c:pt idx="17">
                  <c:v>-2.39999999996598</c:v>
                </c:pt>
                <c:pt idx="18">
                  <c:v>-2.0999999999275998</c:v>
                </c:pt>
                <c:pt idx="19">
                  <c:v>-2.2000000000161899</c:v>
                </c:pt>
                <c:pt idx="20">
                  <c:v>-2.39999999996598</c:v>
                </c:pt>
                <c:pt idx="21">
                  <c:v>-1.9999999999527101</c:v>
                </c:pt>
                <c:pt idx="22">
                  <c:v>-1.8000000000029099</c:v>
                </c:pt>
                <c:pt idx="23">
                  <c:v>-1.8999999999778101</c:v>
                </c:pt>
                <c:pt idx="24">
                  <c:v>-2.0999999999275998</c:v>
                </c:pt>
                <c:pt idx="25">
                  <c:v>-1.8999999999778101</c:v>
                </c:pt>
                <c:pt idx="26">
                  <c:v>-1.70000000002801</c:v>
                </c:pt>
                <c:pt idx="27">
                  <c:v>-1.4999999999645299</c:v>
                </c:pt>
                <c:pt idx="28">
                  <c:v>-1.70000000002801</c:v>
                </c:pt>
                <c:pt idx="30">
                  <c:v>-6.66666666878276E-3</c:v>
                </c:pt>
              </c:numCache>
            </c:numRef>
          </c:val>
        </c:ser>
        <c:ser>
          <c:idx val="2"/>
          <c:order val="2"/>
          <c:tx>
            <c:strRef>
              <c:f>'zk79+160'!$M$4:$Q$4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'zk79+160'!$P$6:$P$42</c:f>
              <c:numCache>
                <c:formatCode>0.00_ </c:formatCode>
                <c:ptCount val="37"/>
                <c:pt idx="0">
                  <c:v>0</c:v>
                </c:pt>
                <c:pt idx="1">
                  <c:v>-0.20000000006348301</c:v>
                </c:pt>
                <c:pt idx="2">
                  <c:v>-0.10000000008858501</c:v>
                </c:pt>
                <c:pt idx="3">
                  <c:v>-0.20000000006348301</c:v>
                </c:pt>
                <c:pt idx="4">
                  <c:v>-0.40000000001327901</c:v>
                </c:pt>
                <c:pt idx="5">
                  <c:v>-0.60000000007676102</c:v>
                </c:pt>
                <c:pt idx="6">
                  <c:v>-0.50000000010186296</c:v>
                </c:pt>
                <c:pt idx="7">
                  <c:v>-1.00000000009004</c:v>
                </c:pt>
                <c:pt idx="8">
                  <c:v>-1.2000000000398401</c:v>
                </c:pt>
                <c:pt idx="9">
                  <c:v>0</c:v>
                </c:pt>
                <c:pt idx="10">
                  <c:v>-1.60000000005311</c:v>
                </c:pt>
                <c:pt idx="11">
                  <c:v>-1.8000000000029099</c:v>
                </c:pt>
                <c:pt idx="12">
                  <c:v>-1.70000000002801</c:v>
                </c:pt>
                <c:pt idx="13">
                  <c:v>-2.2000000000161899</c:v>
                </c:pt>
                <c:pt idx="14">
                  <c:v>-2.40000000007967</c:v>
                </c:pt>
                <c:pt idx="15">
                  <c:v>-2.1000000000412902</c:v>
                </c:pt>
                <c:pt idx="16">
                  <c:v>-2.2000000000161899</c:v>
                </c:pt>
                <c:pt idx="17">
                  <c:v>-2.3000000001047698</c:v>
                </c:pt>
                <c:pt idx="18">
                  <c:v>-1.9000000000915001</c:v>
                </c:pt>
                <c:pt idx="19">
                  <c:v>-2.5000000000545701</c:v>
                </c:pt>
                <c:pt idx="20">
                  <c:v>-2.6000000000294698</c:v>
                </c:pt>
                <c:pt idx="21">
                  <c:v>-2.70000000000437</c:v>
                </c:pt>
                <c:pt idx="22">
                  <c:v>-2.8000000000929499</c:v>
                </c:pt>
                <c:pt idx="23">
                  <c:v>-2.5000000000545701</c:v>
                </c:pt>
                <c:pt idx="24">
                  <c:v>-2.9000000000678501</c:v>
                </c:pt>
                <c:pt idx="25">
                  <c:v>-2.40000000007967</c:v>
                </c:pt>
                <c:pt idx="26">
                  <c:v>-1.9000000000915001</c:v>
                </c:pt>
                <c:pt idx="27">
                  <c:v>-1.4000000001033199</c:v>
                </c:pt>
                <c:pt idx="28">
                  <c:v>-1.5000000000782201</c:v>
                </c:pt>
              </c:numCache>
            </c:numRef>
          </c:val>
        </c:ser>
        <c:dLbls/>
        <c:marker val="1"/>
        <c:axId val="382660992"/>
        <c:axId val="382663296"/>
      </c:lineChart>
      <c:lineChart>
        <c:grouping val="standard"/>
        <c:ser>
          <c:idx val="3"/>
          <c:order val="3"/>
          <c:tx>
            <c:strRef>
              <c:f>'zk79+160'!$AG$3:$AG$5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'zk79+160'!$A$6:$A$42</c:f>
              <c:numCache>
                <c:formatCode>m"月"d"日";@</c:formatCode>
                <c:ptCount val="37"/>
                <c:pt idx="0">
                  <c:v>44502</c:v>
                </c:pt>
                <c:pt idx="1">
                  <c:v>44503</c:v>
                </c:pt>
                <c:pt idx="2">
                  <c:v>44504</c:v>
                </c:pt>
                <c:pt idx="3">
                  <c:v>44505</c:v>
                </c:pt>
                <c:pt idx="4">
                  <c:v>44506</c:v>
                </c:pt>
                <c:pt idx="5">
                  <c:v>44507</c:v>
                </c:pt>
                <c:pt idx="6">
                  <c:v>44508</c:v>
                </c:pt>
                <c:pt idx="7">
                  <c:v>44509</c:v>
                </c:pt>
                <c:pt idx="8">
                  <c:v>44510</c:v>
                </c:pt>
                <c:pt idx="9">
                  <c:v>44511</c:v>
                </c:pt>
                <c:pt idx="10">
                  <c:v>44512</c:v>
                </c:pt>
                <c:pt idx="11">
                  <c:v>44513</c:v>
                </c:pt>
                <c:pt idx="12">
                  <c:v>44514</c:v>
                </c:pt>
                <c:pt idx="13">
                  <c:v>44515</c:v>
                </c:pt>
                <c:pt idx="14">
                  <c:v>44516</c:v>
                </c:pt>
                <c:pt idx="15">
                  <c:v>44518</c:v>
                </c:pt>
                <c:pt idx="16">
                  <c:v>44520</c:v>
                </c:pt>
                <c:pt idx="17">
                  <c:v>44522</c:v>
                </c:pt>
                <c:pt idx="18">
                  <c:v>44524</c:v>
                </c:pt>
                <c:pt idx="19">
                  <c:v>44526</c:v>
                </c:pt>
                <c:pt idx="20">
                  <c:v>44528</c:v>
                </c:pt>
                <c:pt idx="21">
                  <c:v>44530</c:v>
                </c:pt>
                <c:pt idx="22">
                  <c:v>44532</c:v>
                </c:pt>
                <c:pt idx="23">
                  <c:v>44534</c:v>
                </c:pt>
                <c:pt idx="24">
                  <c:v>44541</c:v>
                </c:pt>
                <c:pt idx="25">
                  <c:v>44548</c:v>
                </c:pt>
                <c:pt idx="26">
                  <c:v>44555</c:v>
                </c:pt>
                <c:pt idx="27">
                  <c:v>44571</c:v>
                </c:pt>
                <c:pt idx="28">
                  <c:v>44602</c:v>
                </c:pt>
              </c:numCache>
            </c:numRef>
          </c:cat>
          <c:val>
            <c:numRef>
              <c:f>'zk79+160'!$AG$6:$AG$42</c:f>
              <c:numCache>
                <c:formatCode>0.0_ </c:formatCode>
                <c:ptCount val="37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27</c:v>
                </c:pt>
                <c:pt idx="11">
                  <c:v>30</c:v>
                </c:pt>
                <c:pt idx="12">
                  <c:v>33</c:v>
                </c:pt>
                <c:pt idx="13">
                  <c:v>36</c:v>
                </c:pt>
                <c:pt idx="14">
                  <c:v>39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</c:numCache>
            </c:numRef>
          </c:val>
        </c:ser>
        <c:dLbls/>
        <c:marker val="1"/>
        <c:axId val="382673664"/>
        <c:axId val="382675200"/>
      </c:lineChart>
      <c:dateAx>
        <c:axId val="3826609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663296"/>
        <c:crossesAt val="-50"/>
        <c:auto val="1"/>
        <c:lblOffset val="100"/>
        <c:baseTimeUnit val="days"/>
        <c:majorUnit val="9"/>
        <c:majorTimeUnit val="days"/>
      </c:dateAx>
      <c:valAx>
        <c:axId val="38266329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660992"/>
        <c:crosses val="autoZero"/>
        <c:crossBetween val="midCat"/>
        <c:majorUnit val="1"/>
        <c:minorUnit val="0.5"/>
      </c:valAx>
      <c:dateAx>
        <c:axId val="3826736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2675200"/>
        <c:crosses val="autoZero"/>
        <c:auto val="1"/>
        <c:lblOffset val="100"/>
        <c:baseTimeUnit val="days"/>
      </c:dateAx>
      <c:valAx>
        <c:axId val="38267520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67366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9+174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7532610310503602"/>
          <c:y val="0.22301304863582402"/>
          <c:w val="0.76407666022879317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'zk79+174'!$U$4:$W$4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'zk79+174'!$V$6:$V$49</c:f>
              <c:numCache>
                <c:formatCode>0.00_ </c:formatCode>
                <c:ptCount val="44"/>
                <c:pt idx="0">
                  <c:v>0</c:v>
                </c:pt>
                <c:pt idx="1">
                  <c:v>-0.20000000000042201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-1.1000000000001</c:v>
                </c:pt>
                <c:pt idx="6">
                  <c:v>-1.1999999999998701</c:v>
                </c:pt>
                <c:pt idx="7">
                  <c:v>-1.4000000000002899</c:v>
                </c:pt>
                <c:pt idx="8">
                  <c:v>-1.1999999999998701</c:v>
                </c:pt>
                <c:pt idx="9">
                  <c:v>-1.8000000000002501</c:v>
                </c:pt>
                <c:pt idx="10">
                  <c:v>-1.99999999999978</c:v>
                </c:pt>
                <c:pt idx="11">
                  <c:v>-1.9000000000000099</c:v>
                </c:pt>
                <c:pt idx="12">
                  <c:v>-1.99999999999978</c:v>
                </c:pt>
                <c:pt idx="13">
                  <c:v>-2.10000000000043</c:v>
                </c:pt>
                <c:pt idx="14">
                  <c:v>-1.9000000000000099</c:v>
                </c:pt>
                <c:pt idx="15">
                  <c:v>-2.2999999999999701</c:v>
                </c:pt>
                <c:pt idx="16">
                  <c:v>-2.3999999999997401</c:v>
                </c:pt>
                <c:pt idx="17">
                  <c:v>-2.60000000000016</c:v>
                </c:pt>
                <c:pt idx="18">
                  <c:v>-2.60000000000016</c:v>
                </c:pt>
                <c:pt idx="19">
                  <c:v>-2.6999999999999198</c:v>
                </c:pt>
                <c:pt idx="20">
                  <c:v>-3.1999999999996498</c:v>
                </c:pt>
                <c:pt idx="21">
                  <c:v>-2.9000000000003499</c:v>
                </c:pt>
                <c:pt idx="22">
                  <c:v>-3.0000000000001101</c:v>
                </c:pt>
                <c:pt idx="23">
                  <c:v>-2.7999999999996898</c:v>
                </c:pt>
                <c:pt idx="24">
                  <c:v>-2.6999999999999198</c:v>
                </c:pt>
                <c:pt idx="25">
                  <c:v>-2.3999999999997401</c:v>
                </c:pt>
                <c:pt idx="26">
                  <c:v>-2.10000000000043</c:v>
                </c:pt>
                <c:pt idx="27">
                  <c:v>-2.2999999999999701</c:v>
                </c:pt>
                <c:pt idx="29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'zk79+174'!$Y$4:$AA$4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'zk79+174'!$Z$6:$Z$40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9.99999999997669E-2</c:v>
                </c:pt>
                <c:pt idx="4">
                  <c:v>-0.80000000000168803</c:v>
                </c:pt>
                <c:pt idx="5">
                  <c:v>-1.0000000000012199</c:v>
                </c:pt>
                <c:pt idx="6">
                  <c:v>-9.99999999997669E-2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-0.90000000000145497</c:v>
                </c:pt>
                <c:pt idx="10">
                  <c:v>-2.0000000000024398</c:v>
                </c:pt>
                <c:pt idx="11">
                  <c:v>-2.2000000000019799</c:v>
                </c:pt>
                <c:pt idx="12">
                  <c:v>-1.8999999999991199</c:v>
                </c:pt>
                <c:pt idx="13">
                  <c:v>-2.1000000000022099</c:v>
                </c:pt>
                <c:pt idx="14">
                  <c:v>-2.3000000000017402</c:v>
                </c:pt>
                <c:pt idx="15">
                  <c:v>-2.1000000000022099</c:v>
                </c:pt>
                <c:pt idx="16">
                  <c:v>-2.7000000000008102</c:v>
                </c:pt>
                <c:pt idx="17">
                  <c:v>-2.9000000000003499</c:v>
                </c:pt>
                <c:pt idx="18">
                  <c:v>-2.9000000000003499</c:v>
                </c:pt>
                <c:pt idx="19">
                  <c:v>-3.2999999999994101</c:v>
                </c:pt>
                <c:pt idx="20">
                  <c:v>-3.4999999999989502</c:v>
                </c:pt>
                <c:pt idx="21">
                  <c:v>-4.2000000000008697</c:v>
                </c:pt>
                <c:pt idx="22">
                  <c:v>-3.9000000000015702</c:v>
                </c:pt>
                <c:pt idx="23">
                  <c:v>-4.1000000000011001</c:v>
                </c:pt>
                <c:pt idx="24">
                  <c:v>-4.4000000000004</c:v>
                </c:pt>
                <c:pt idx="25">
                  <c:v>-4.5000000000001696</c:v>
                </c:pt>
                <c:pt idx="26">
                  <c:v>-4.5999999999999401</c:v>
                </c:pt>
                <c:pt idx="27">
                  <c:v>-4.7999999999994696</c:v>
                </c:pt>
                <c:pt idx="29">
                  <c:v>-3.1999999999996498</c:v>
                </c:pt>
              </c:numCache>
            </c:numRef>
          </c:val>
        </c:ser>
        <c:ser>
          <c:idx val="2"/>
          <c:order val="2"/>
          <c:tx>
            <c:strRef>
              <c:f>'zk79+174'!$AC$4:$AE$4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'zk79+174'!$S$6:$S$29</c:f>
              <c:numCache>
                <c:formatCode>m"月"d"日";@</c:formatCode>
                <c:ptCount val="2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</c:numCache>
            </c:numRef>
          </c:cat>
          <c:val>
            <c:numRef>
              <c:f>'zk79+174'!$AD$6:$AD$29</c:f>
              <c:numCache>
                <c:formatCode>0.00_ </c:formatCode>
                <c:ptCount val="24"/>
                <c:pt idx="0">
                  <c:v>0</c:v>
                </c:pt>
                <c:pt idx="1">
                  <c:v>0.40000000000084401</c:v>
                </c:pt>
                <c:pt idx="2">
                  <c:v>0.19999999999953399</c:v>
                </c:pt>
                <c:pt idx="3">
                  <c:v>0</c:v>
                </c:pt>
                <c:pt idx="4">
                  <c:v>9.99999999997669E-2</c:v>
                </c:pt>
                <c:pt idx="5">
                  <c:v>-0.39999999999906799</c:v>
                </c:pt>
                <c:pt idx="6">
                  <c:v>-0.60000000000037801</c:v>
                </c:pt>
                <c:pt idx="7">
                  <c:v>-0.29999999999930099</c:v>
                </c:pt>
                <c:pt idx="8">
                  <c:v>-0.999999999999446</c:v>
                </c:pt>
                <c:pt idx="9">
                  <c:v>-1.20000000000076</c:v>
                </c:pt>
                <c:pt idx="10">
                  <c:v>-0.89999999999967895</c:v>
                </c:pt>
                <c:pt idx="11">
                  <c:v>-0.60000000000037801</c:v>
                </c:pt>
                <c:pt idx="12">
                  <c:v>-0.799999999999912</c:v>
                </c:pt>
                <c:pt idx="13">
                  <c:v>-0.999999999999446</c:v>
                </c:pt>
                <c:pt idx="14">
                  <c:v>-0.60000000000037801</c:v>
                </c:pt>
                <c:pt idx="15">
                  <c:v>-1.4000000000002899</c:v>
                </c:pt>
                <c:pt idx="16">
                  <c:v>-1.59999999999982</c:v>
                </c:pt>
                <c:pt idx="17">
                  <c:v>-1.8999999999991199</c:v>
                </c:pt>
                <c:pt idx="18">
                  <c:v>-2.0000000000006701</c:v>
                </c:pt>
                <c:pt idx="19">
                  <c:v>-2.2000000000002</c:v>
                </c:pt>
                <c:pt idx="20">
                  <c:v>-2.10000000000043</c:v>
                </c:pt>
                <c:pt idx="21">
                  <c:v>-2.59999999999927</c:v>
                </c:pt>
                <c:pt idx="22">
                  <c:v>-2.4999999999995</c:v>
                </c:pt>
                <c:pt idx="23">
                  <c:v>-2.59999999999927</c:v>
                </c:pt>
              </c:numCache>
            </c:numRef>
          </c:val>
        </c:ser>
        <c:dLbls/>
        <c:marker val="1"/>
        <c:axId val="382887424"/>
        <c:axId val="382907136"/>
      </c:lineChart>
      <c:lineChart>
        <c:grouping val="standard"/>
        <c:ser>
          <c:idx val="3"/>
          <c:order val="3"/>
          <c:tx>
            <c:strRef>
              <c:f>'zk79+174'!$AG$3:$AG$5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'zk79+174'!$AG$6:$AG$48</c:f>
              <c:numCache>
                <c:formatCode>0.0_ </c:formatCode>
                <c:ptCount val="43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34</c:v>
                </c:pt>
                <c:pt idx="13">
                  <c:v>37</c:v>
                </c:pt>
                <c:pt idx="14">
                  <c:v>40</c:v>
                </c:pt>
                <c:pt idx="15">
                  <c:v>43</c:v>
                </c:pt>
                <c:pt idx="16">
                  <c:v>46</c:v>
                </c:pt>
                <c:pt idx="17">
                  <c:v>49</c:v>
                </c:pt>
                <c:pt idx="18">
                  <c:v>52</c:v>
                </c:pt>
                <c:pt idx="19">
                  <c:v>55</c:v>
                </c:pt>
                <c:pt idx="20">
                  <c:v>58</c:v>
                </c:pt>
                <c:pt idx="21">
                  <c:v>61</c:v>
                </c:pt>
                <c:pt idx="22">
                  <c:v>64</c:v>
                </c:pt>
                <c:pt idx="23">
                  <c:v>67</c:v>
                </c:pt>
                <c:pt idx="24">
                  <c:v>81</c:v>
                </c:pt>
                <c:pt idx="25">
                  <c:v>117</c:v>
                </c:pt>
                <c:pt idx="26">
                  <c:v>153</c:v>
                </c:pt>
                <c:pt idx="27">
                  <c:v>189</c:v>
                </c:pt>
              </c:numCache>
            </c:numRef>
          </c:val>
        </c:ser>
        <c:dLbls/>
        <c:marker val="1"/>
        <c:axId val="382909056"/>
        <c:axId val="382914944"/>
      </c:lineChart>
      <c:dateAx>
        <c:axId val="3828874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907136"/>
        <c:crossesAt val="-50"/>
        <c:auto val="1"/>
        <c:lblOffset val="100"/>
        <c:baseTimeUnit val="days"/>
        <c:majorUnit val="10"/>
        <c:majorTimeUnit val="days"/>
      </c:dateAx>
      <c:valAx>
        <c:axId val="38290713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887424"/>
        <c:crosses val="autoZero"/>
        <c:crossBetween val="midCat"/>
        <c:majorUnit val="2"/>
        <c:minorUnit val="0.1"/>
      </c:valAx>
      <c:dateAx>
        <c:axId val="38290905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2914944"/>
        <c:crosses val="autoZero"/>
        <c:auto val="1"/>
        <c:lblOffset val="100"/>
        <c:baseTimeUnit val="days"/>
      </c:dateAx>
      <c:valAx>
        <c:axId val="382914944"/>
        <c:scaling>
          <c:orientation val="minMax"/>
          <c:max val="25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909056"/>
        <c:crosses val="max"/>
        <c:crossBetween val="midCat"/>
        <c:majorUnit val="5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174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'zk79+174'!$C$4:$G$4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'zk79+174'!$G$6:$G$48</c:f>
              <c:numCache>
                <c:formatCode>0.00_ </c:formatCode>
                <c:ptCount val="43"/>
                <c:pt idx="0">
                  <c:v>0</c:v>
                </c:pt>
                <c:pt idx="1">
                  <c:v>-0.49999999998817701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-0.40000000001327901</c:v>
                </c:pt>
                <c:pt idx="10">
                  <c:v>-0.10000000008858501</c:v>
                </c:pt>
                <c:pt idx="11">
                  <c:v>-9.9999999974897905E-2</c:v>
                </c:pt>
                <c:pt idx="12">
                  <c:v>9.9999999974897905E-2</c:v>
                </c:pt>
                <c:pt idx="13">
                  <c:v>0.10000000008858501</c:v>
                </c:pt>
                <c:pt idx="14">
                  <c:v>-0.30000000003838101</c:v>
                </c:pt>
                <c:pt idx="15">
                  <c:v>0.24999999999408801</c:v>
                </c:pt>
                <c:pt idx="16">
                  <c:v>4.9999999987449001E-2</c:v>
                </c:pt>
                <c:pt idx="17">
                  <c:v>5.0000000044292399E-2</c:v>
                </c:pt>
                <c:pt idx="18">
                  <c:v>-0.30000000003838101</c:v>
                </c:pt>
                <c:pt idx="19">
                  <c:v>-0.149999999962347</c:v>
                </c:pt>
                <c:pt idx="20">
                  <c:v>0.149999999962347</c:v>
                </c:pt>
                <c:pt idx="21">
                  <c:v>-4.9999999987449001E-2</c:v>
                </c:pt>
                <c:pt idx="22">
                  <c:v>0.15000000001919001</c:v>
                </c:pt>
                <c:pt idx="23">
                  <c:v>1.42857142821283E-2</c:v>
                </c:pt>
                <c:pt idx="24">
                  <c:v>1.42857142821283E-2</c:v>
                </c:pt>
                <c:pt idx="25">
                  <c:v>1.42857142821283E-2</c:v>
                </c:pt>
                <c:pt idx="26">
                  <c:v>5.8823529463873396E-3</c:v>
                </c:pt>
                <c:pt idx="27">
                  <c:v>-1.53846153851261E-2</c:v>
                </c:pt>
                <c:pt idx="29">
                  <c:v>-9.9999999974897905E-2</c:v>
                </c:pt>
              </c:numCache>
            </c:numRef>
          </c:val>
        </c:ser>
        <c:ser>
          <c:idx val="1"/>
          <c:order val="1"/>
          <c:tx>
            <c:strRef>
              <c:f>'zk79+174'!$H$4:$L$4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'zk79+174'!$L$6:$L$48</c:f>
              <c:numCache>
                <c:formatCode>0.00_ </c:formatCode>
                <c:ptCount val="43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-0.199999999949796</c:v>
                </c:pt>
                <c:pt idx="7">
                  <c:v>0.199999999949796</c:v>
                </c:pt>
                <c:pt idx="8">
                  <c:v>-0.59999999996307496</c:v>
                </c:pt>
                <c:pt idx="9">
                  <c:v>-0.20000000006348301</c:v>
                </c:pt>
                <c:pt idx="10">
                  <c:v>0.10000000008858501</c:v>
                </c:pt>
                <c:pt idx="11">
                  <c:v>-0.30000000003838101</c:v>
                </c:pt>
                <c:pt idx="12">
                  <c:v>9.9999999974897905E-2</c:v>
                </c:pt>
                <c:pt idx="13">
                  <c:v>9.9999999974897905E-2</c:v>
                </c:pt>
                <c:pt idx="14">
                  <c:v>-9.9999999974897905E-2</c:v>
                </c:pt>
                <c:pt idx="15">
                  <c:v>4.9999999987449001E-2</c:v>
                </c:pt>
                <c:pt idx="16">
                  <c:v>-0.149999999962347</c:v>
                </c:pt>
                <c:pt idx="17">
                  <c:v>-4.9999999987449001E-2</c:v>
                </c:pt>
                <c:pt idx="18">
                  <c:v>0.24999999999408801</c:v>
                </c:pt>
                <c:pt idx="19">
                  <c:v>-0.35000000002582998</c:v>
                </c:pt>
                <c:pt idx="20">
                  <c:v>-4.9999999987449001E-2</c:v>
                </c:pt>
                <c:pt idx="21">
                  <c:v>-4.9999999987449001E-2</c:v>
                </c:pt>
                <c:pt idx="22">
                  <c:v>-0.20000000000663901</c:v>
                </c:pt>
                <c:pt idx="23">
                  <c:v>2.8571428564256599E-2</c:v>
                </c:pt>
                <c:pt idx="24">
                  <c:v>2.85714285804975E-2</c:v>
                </c:pt>
                <c:pt idx="25">
                  <c:v>2.8571428564256599E-2</c:v>
                </c:pt>
                <c:pt idx="26">
                  <c:v>1.17647058860872E-2</c:v>
                </c:pt>
                <c:pt idx="27">
                  <c:v>-1.15384615399377E-2</c:v>
                </c:pt>
              </c:numCache>
            </c:numRef>
          </c:val>
        </c:ser>
        <c:ser>
          <c:idx val="2"/>
          <c:order val="2"/>
          <c:tx>
            <c:strRef>
              <c:f>'zk79+174'!$M$4:$Q$4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'zk79+174'!$Q$6:$Q$48</c:f>
              <c:numCache>
                <c:formatCode>0.00_ </c:formatCode>
                <c:ptCount val="43"/>
                <c:pt idx="0">
                  <c:v>0</c:v>
                </c:pt>
                <c:pt idx="1">
                  <c:v>-0.20000000006348301</c:v>
                </c:pt>
                <c:pt idx="2">
                  <c:v>0.10000000008858501</c:v>
                </c:pt>
                <c:pt idx="3">
                  <c:v>-0.70000000005165897</c:v>
                </c:pt>
                <c:pt idx="4">
                  <c:v>-0.30000000003838101</c:v>
                </c:pt>
                <c:pt idx="5">
                  <c:v>0.10000000008858501</c:v>
                </c:pt>
                <c:pt idx="6">
                  <c:v>-0.70000000005165897</c:v>
                </c:pt>
                <c:pt idx="7">
                  <c:v>-0.30000000003838101</c:v>
                </c:pt>
                <c:pt idx="8">
                  <c:v>0.10000000008858501</c:v>
                </c:pt>
                <c:pt idx="9">
                  <c:v>-0.70000000005165897</c:v>
                </c:pt>
                <c:pt idx="10">
                  <c:v>-0.30000000003838101</c:v>
                </c:pt>
                <c:pt idx="11">
                  <c:v>-9.9999999974897905E-2</c:v>
                </c:pt>
                <c:pt idx="12">
                  <c:v>0.20000000006348301</c:v>
                </c:pt>
                <c:pt idx="13">
                  <c:v>-0.30000000003838101</c:v>
                </c:pt>
                <c:pt idx="14">
                  <c:v>-9.9999999974897905E-2</c:v>
                </c:pt>
                <c:pt idx="15">
                  <c:v>-0.100000000031741</c:v>
                </c:pt>
                <c:pt idx="16">
                  <c:v>-0.40000000001327901</c:v>
                </c:pt>
                <c:pt idx="17">
                  <c:v>0.15000000001919001</c:v>
                </c:pt>
                <c:pt idx="18">
                  <c:v>-4.9999999987449001E-2</c:v>
                </c:pt>
                <c:pt idx="19">
                  <c:v>-0.100000000031741</c:v>
                </c:pt>
                <c:pt idx="20">
                  <c:v>5.0000000044292399E-2</c:v>
                </c:pt>
                <c:pt idx="21">
                  <c:v>-0.24999999999408801</c:v>
                </c:pt>
                <c:pt idx="22">
                  <c:v>-0.100000000031741</c:v>
                </c:pt>
                <c:pt idx="23">
                  <c:v>5.7142857144754103E-2</c:v>
                </c:pt>
                <c:pt idx="24">
                  <c:v>5.7142857144754103E-2</c:v>
                </c:pt>
                <c:pt idx="25">
                  <c:v>5.7142857144754103E-2</c:v>
                </c:pt>
                <c:pt idx="26">
                  <c:v>-1.7647058825787099E-2</c:v>
                </c:pt>
                <c:pt idx="27">
                  <c:v>-3.8461538451883799E-3</c:v>
                </c:pt>
              </c:numCache>
            </c:numRef>
          </c:val>
        </c:ser>
        <c:dLbls/>
        <c:marker val="1"/>
        <c:axId val="382840832"/>
        <c:axId val="382843520"/>
      </c:lineChart>
      <c:dateAx>
        <c:axId val="3828408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843520"/>
        <c:crossesAt val="-50"/>
        <c:auto val="1"/>
        <c:lblOffset val="100"/>
        <c:baseTimeUnit val="days"/>
        <c:majorUnit val="10"/>
        <c:majorTimeUnit val="days"/>
      </c:dateAx>
      <c:valAx>
        <c:axId val="38284352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284083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9+174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'zk79+174'!$U$4:$W$4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'zk79+174'!$W$6:$W$48</c:f>
              <c:numCache>
                <c:formatCode>0.00_ </c:formatCode>
                <c:ptCount val="43"/>
                <c:pt idx="0">
                  <c:v>0</c:v>
                </c:pt>
                <c:pt idx="1">
                  <c:v>0.20000000000042201</c:v>
                </c:pt>
                <c:pt idx="2">
                  <c:v>-0.100000000000655</c:v>
                </c:pt>
                <c:pt idx="3">
                  <c:v>0.50000000000061096</c:v>
                </c:pt>
                <c:pt idx="4">
                  <c:v>0.19999999999953399</c:v>
                </c:pt>
                <c:pt idx="5">
                  <c:v>0.300000000000189</c:v>
                </c:pt>
                <c:pt idx="6">
                  <c:v>9.99999999997669E-2</c:v>
                </c:pt>
                <c:pt idx="7">
                  <c:v>0.20000000000042201</c:v>
                </c:pt>
                <c:pt idx="8">
                  <c:v>-0.20000000000042201</c:v>
                </c:pt>
                <c:pt idx="9">
                  <c:v>0.60000000000037801</c:v>
                </c:pt>
                <c:pt idx="10">
                  <c:v>0.19999999999953399</c:v>
                </c:pt>
                <c:pt idx="11">
                  <c:v>-9.99999999997669E-2</c:v>
                </c:pt>
                <c:pt idx="12">
                  <c:v>9.99999999997669E-2</c:v>
                </c:pt>
                <c:pt idx="13">
                  <c:v>0.100000000000655</c:v>
                </c:pt>
                <c:pt idx="14">
                  <c:v>-0.20000000000042201</c:v>
                </c:pt>
                <c:pt idx="15">
                  <c:v>0.199999999999978</c:v>
                </c:pt>
                <c:pt idx="16">
                  <c:v>4.9999999999883499E-2</c:v>
                </c:pt>
                <c:pt idx="17">
                  <c:v>0.100000000000211</c:v>
                </c:pt>
                <c:pt idx="18">
                  <c:v>0</c:v>
                </c:pt>
                <c:pt idx="19">
                  <c:v>4.9999999999883499E-2</c:v>
                </c:pt>
                <c:pt idx="20">
                  <c:v>0.249999999999861</c:v>
                </c:pt>
                <c:pt idx="21">
                  <c:v>-0.14999999999965</c:v>
                </c:pt>
                <c:pt idx="22">
                  <c:v>4.9999999999883499E-2</c:v>
                </c:pt>
                <c:pt idx="23">
                  <c:v>-2.8571428571488901E-2</c:v>
                </c:pt>
                <c:pt idx="24">
                  <c:v>-1.4285714285680999E-2</c:v>
                </c:pt>
                <c:pt idx="25">
                  <c:v>-4.2857142857169898E-2</c:v>
                </c:pt>
                <c:pt idx="26">
                  <c:v>-1.7647058823488299E-2</c:v>
                </c:pt>
                <c:pt idx="27">
                  <c:v>7.69230769228976E-3</c:v>
                </c:pt>
                <c:pt idx="29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'zk79+174'!$Y$4:$AA$4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'zk79+174'!$AA$6:$AA$49</c:f>
              <c:numCache>
                <c:formatCode>0.00_ </c:formatCode>
                <c:ptCount val="44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0.49999999999883499</c:v>
                </c:pt>
                <c:pt idx="4">
                  <c:v>-0.90000000000145497</c:v>
                </c:pt>
                <c:pt idx="5">
                  <c:v>-0.19999999999953399</c:v>
                </c:pt>
                <c:pt idx="6">
                  <c:v>0.90000000000145497</c:v>
                </c:pt>
                <c:pt idx="7">
                  <c:v>-1.3000000000005201</c:v>
                </c:pt>
                <c:pt idx="8">
                  <c:v>-0.19999999999953399</c:v>
                </c:pt>
                <c:pt idx="9">
                  <c:v>0.69999999999836904</c:v>
                </c:pt>
                <c:pt idx="10">
                  <c:v>-1.10000000000099</c:v>
                </c:pt>
                <c:pt idx="11">
                  <c:v>-0.19999999999953399</c:v>
                </c:pt>
                <c:pt idx="12">
                  <c:v>0.30000000000285398</c:v>
                </c:pt>
                <c:pt idx="13">
                  <c:v>-0.20000000000308699</c:v>
                </c:pt>
                <c:pt idx="14">
                  <c:v>-0.19999999999953399</c:v>
                </c:pt>
                <c:pt idx="15">
                  <c:v>9.99999999997669E-2</c:v>
                </c:pt>
                <c:pt idx="16">
                  <c:v>-0.29999999999930099</c:v>
                </c:pt>
                <c:pt idx="17">
                  <c:v>-9.99999999997669E-2</c:v>
                </c:pt>
                <c:pt idx="18">
                  <c:v>0</c:v>
                </c:pt>
                <c:pt idx="19">
                  <c:v>-0.19999999999953399</c:v>
                </c:pt>
                <c:pt idx="20">
                  <c:v>-9.99999999997669E-2</c:v>
                </c:pt>
                <c:pt idx="21">
                  <c:v>-0.35000000000096099</c:v>
                </c:pt>
                <c:pt idx="22">
                  <c:v>0.14999999999965</c:v>
                </c:pt>
                <c:pt idx="23">
                  <c:v>-2.8571428571361999E-2</c:v>
                </c:pt>
                <c:pt idx="24">
                  <c:v>-4.2857142857043E-2</c:v>
                </c:pt>
                <c:pt idx="25">
                  <c:v>-1.4285714285680999E-2</c:v>
                </c:pt>
                <c:pt idx="26">
                  <c:v>-5.8823529411627601E-3</c:v>
                </c:pt>
                <c:pt idx="27">
                  <c:v>-7.69230769228976E-3</c:v>
                </c:pt>
                <c:pt idx="29">
                  <c:v>-6.66666666665113E-3</c:v>
                </c:pt>
              </c:numCache>
            </c:numRef>
          </c:val>
        </c:ser>
        <c:ser>
          <c:idx val="2"/>
          <c:order val="2"/>
          <c:tx>
            <c:strRef>
              <c:f>'zk79+174'!$AC$4:$AE$4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'zk79+174'!$S$6:$S$49</c:f>
              <c:numCache>
                <c:formatCode>m"月"d"日";@</c:formatCode>
                <c:ptCount val="44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'zk79+174'!$AE$6:$AE$49</c:f>
              <c:numCache>
                <c:formatCode>0.00_ </c:formatCode>
                <c:ptCount val="44"/>
                <c:pt idx="0">
                  <c:v>0</c:v>
                </c:pt>
                <c:pt idx="1">
                  <c:v>0.40000000000084401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-0.49999999999883499</c:v>
                </c:pt>
                <c:pt idx="6">
                  <c:v>-0.20000000000130999</c:v>
                </c:pt>
                <c:pt idx="7">
                  <c:v>0.30000000000107702</c:v>
                </c:pt>
                <c:pt idx="8">
                  <c:v>-0.70000000000014495</c:v>
                </c:pt>
                <c:pt idx="9">
                  <c:v>-0.20000000000130999</c:v>
                </c:pt>
                <c:pt idx="10">
                  <c:v>0.30000000000107702</c:v>
                </c:pt>
                <c:pt idx="11">
                  <c:v>0.29999999999930099</c:v>
                </c:pt>
                <c:pt idx="12">
                  <c:v>-0.19999999999953399</c:v>
                </c:pt>
                <c:pt idx="13">
                  <c:v>-0.19999999999953399</c:v>
                </c:pt>
                <c:pt idx="14">
                  <c:v>0.39999999999906799</c:v>
                </c:pt>
                <c:pt idx="15">
                  <c:v>-0.399999999999956</c:v>
                </c:pt>
                <c:pt idx="16">
                  <c:v>-9.99999999997669E-2</c:v>
                </c:pt>
                <c:pt idx="17">
                  <c:v>-0.14999999999965</c:v>
                </c:pt>
                <c:pt idx="18">
                  <c:v>-5.0000000000771601E-2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-0.24999999999941699</c:v>
                </c:pt>
                <c:pt idx="22">
                  <c:v>4.9999999999883499E-2</c:v>
                </c:pt>
                <c:pt idx="23">
                  <c:v>-1.4285714285680999E-2</c:v>
                </c:pt>
                <c:pt idx="24">
                  <c:v>1.4285714285680999E-2</c:v>
                </c:pt>
                <c:pt idx="25">
                  <c:v>-4.28571428572967E-2</c:v>
                </c:pt>
                <c:pt idx="26">
                  <c:v>-1.7647058823488299E-2</c:v>
                </c:pt>
                <c:pt idx="27">
                  <c:v>-3.84615384614488E-3</c:v>
                </c:pt>
              </c:numCache>
            </c:numRef>
          </c:val>
        </c:ser>
        <c:dLbls/>
        <c:marker val="1"/>
        <c:axId val="383097472"/>
        <c:axId val="383108992"/>
      </c:lineChart>
      <c:dateAx>
        <c:axId val="3830974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108992"/>
        <c:crossesAt val="-50"/>
        <c:auto val="1"/>
        <c:lblOffset val="100"/>
        <c:baseTimeUnit val="days"/>
        <c:majorUnit val="10"/>
        <c:majorTimeUnit val="days"/>
      </c:dateAx>
      <c:valAx>
        <c:axId val="38310899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09747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174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198798769785814"/>
          <c:y val="1.1487704164368001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'zk79+174'!$C$4:$G$4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'zk79+174'!$F$6:$F$48</c:f>
              <c:numCache>
                <c:formatCode>0.00_ </c:formatCode>
                <c:ptCount val="43"/>
                <c:pt idx="0">
                  <c:v>0</c:v>
                </c:pt>
                <c:pt idx="1">
                  <c:v>-0.49999999998817701</c:v>
                </c:pt>
                <c:pt idx="2">
                  <c:v>-0.69999999993797202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-0.90000000000145497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-1.9999999999527101</c:v>
                </c:pt>
                <c:pt idx="10">
                  <c:v>-2.1000000000412902</c:v>
                </c:pt>
                <c:pt idx="11">
                  <c:v>-2.2000000000161899</c:v>
                </c:pt>
                <c:pt idx="12">
                  <c:v>-2.1000000000412902</c:v>
                </c:pt>
                <c:pt idx="13">
                  <c:v>-1.9999999999527101</c:v>
                </c:pt>
                <c:pt idx="14">
                  <c:v>-2.2999999999910901</c:v>
                </c:pt>
                <c:pt idx="15">
                  <c:v>-1.8000000000029099</c:v>
                </c:pt>
                <c:pt idx="16">
                  <c:v>-1.70000000002801</c:v>
                </c:pt>
                <c:pt idx="17">
                  <c:v>-1.5999999999394301</c:v>
                </c:pt>
                <c:pt idx="18">
                  <c:v>-2.2000000000161899</c:v>
                </c:pt>
                <c:pt idx="19">
                  <c:v>-2.4999999999408802</c:v>
                </c:pt>
                <c:pt idx="20">
                  <c:v>-2.2000000000161899</c:v>
                </c:pt>
                <c:pt idx="21">
                  <c:v>-2.2999999999910901</c:v>
                </c:pt>
                <c:pt idx="22">
                  <c:v>-1.9999999999527101</c:v>
                </c:pt>
                <c:pt idx="23">
                  <c:v>-1.8999999999778101</c:v>
                </c:pt>
                <c:pt idx="24">
                  <c:v>-1.8000000000029099</c:v>
                </c:pt>
                <c:pt idx="25">
                  <c:v>-1.70000000002801</c:v>
                </c:pt>
                <c:pt idx="26">
                  <c:v>-1.5999999999394301</c:v>
                </c:pt>
                <c:pt idx="27">
                  <c:v>-1.9999999999527101</c:v>
                </c:pt>
                <c:pt idx="29">
                  <c:v>-0.30000000003838101</c:v>
                </c:pt>
              </c:numCache>
            </c:numRef>
          </c:val>
        </c:ser>
        <c:ser>
          <c:idx val="1"/>
          <c:order val="1"/>
          <c:tx>
            <c:strRef>
              <c:f>'zk79+174'!$H$4:$L$4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'zk79+174'!$K$6:$K$48</c:f>
              <c:numCache>
                <c:formatCode>0.00_ </c:formatCode>
                <c:ptCount val="43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-0.60000000007676102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-0.70000000005165897</c:v>
                </c:pt>
                <c:pt idx="8">
                  <c:v>-1.30000000001473</c:v>
                </c:pt>
                <c:pt idx="9">
                  <c:v>-1.5000000000782201</c:v>
                </c:pt>
                <c:pt idx="10">
                  <c:v>-1.39999999998963</c:v>
                </c:pt>
                <c:pt idx="11">
                  <c:v>-1.70000000002801</c:v>
                </c:pt>
                <c:pt idx="12">
                  <c:v>-1.60000000005311</c:v>
                </c:pt>
                <c:pt idx="13">
                  <c:v>-1.5000000000782201</c:v>
                </c:pt>
                <c:pt idx="14">
                  <c:v>-1.60000000005311</c:v>
                </c:pt>
                <c:pt idx="15">
                  <c:v>-1.5000000000782201</c:v>
                </c:pt>
                <c:pt idx="16">
                  <c:v>-1.8000000000029099</c:v>
                </c:pt>
                <c:pt idx="17">
                  <c:v>-1.8999999999778101</c:v>
                </c:pt>
                <c:pt idx="18">
                  <c:v>-1.39999999998963</c:v>
                </c:pt>
                <c:pt idx="19">
                  <c:v>-2.1000000000412902</c:v>
                </c:pt>
                <c:pt idx="20">
                  <c:v>-2.2000000000161899</c:v>
                </c:pt>
                <c:pt idx="21">
                  <c:v>-2.2999999999910901</c:v>
                </c:pt>
                <c:pt idx="22">
                  <c:v>-2.70000000000437</c:v>
                </c:pt>
                <c:pt idx="23">
                  <c:v>-2.5000000000545701</c:v>
                </c:pt>
                <c:pt idx="24">
                  <c:v>-2.2999999999910901</c:v>
                </c:pt>
                <c:pt idx="25">
                  <c:v>-2.1000000000412902</c:v>
                </c:pt>
                <c:pt idx="26">
                  <c:v>-1.8999999999778101</c:v>
                </c:pt>
                <c:pt idx="27">
                  <c:v>-2.2000000000161899</c:v>
                </c:pt>
                <c:pt idx="29">
                  <c:v>-1.00000000012794E-2</c:v>
                </c:pt>
              </c:numCache>
            </c:numRef>
          </c:val>
        </c:ser>
        <c:ser>
          <c:idx val="2"/>
          <c:order val="2"/>
          <c:tx>
            <c:strRef>
              <c:f>'zk79+174'!$M$4:$Q$4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'zk79+174'!$P$6:$P$48</c:f>
              <c:numCache>
                <c:formatCode>0.00_ </c:formatCode>
                <c:ptCount val="43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-0.80000000002655702</c:v>
                </c:pt>
                <c:pt idx="4">
                  <c:v>-1.1000000000649399</c:v>
                </c:pt>
                <c:pt idx="5">
                  <c:v>-0.99999999997635303</c:v>
                </c:pt>
                <c:pt idx="6">
                  <c:v>-1.70000000002801</c:v>
                </c:pt>
                <c:pt idx="7">
                  <c:v>-2.00000000006639</c:v>
                </c:pt>
                <c:pt idx="8">
                  <c:v>-1.8999999999778101</c:v>
                </c:pt>
                <c:pt idx="9">
                  <c:v>-2.6000000000294698</c:v>
                </c:pt>
                <c:pt idx="10">
                  <c:v>-2.9000000000678501</c:v>
                </c:pt>
                <c:pt idx="11">
                  <c:v>-3.0000000000427498</c:v>
                </c:pt>
                <c:pt idx="12">
                  <c:v>-2.79999999997926</c:v>
                </c:pt>
                <c:pt idx="13">
                  <c:v>-3.1000000000176402</c:v>
                </c:pt>
                <c:pt idx="14">
                  <c:v>-3.1999999999925399</c:v>
                </c:pt>
                <c:pt idx="15">
                  <c:v>-3.40000000005602</c:v>
                </c:pt>
                <c:pt idx="16">
                  <c:v>-4.2000000000825803</c:v>
                </c:pt>
                <c:pt idx="17">
                  <c:v>-3.9000000000442001</c:v>
                </c:pt>
                <c:pt idx="18">
                  <c:v>-4.0000000000191003</c:v>
                </c:pt>
                <c:pt idx="19">
                  <c:v>-4.2000000000825803</c:v>
                </c:pt>
                <c:pt idx="20">
                  <c:v>-4.099999999994</c:v>
                </c:pt>
                <c:pt idx="21">
                  <c:v>-4.5999999999821704</c:v>
                </c:pt>
                <c:pt idx="22">
                  <c:v>-4.8000000000456602</c:v>
                </c:pt>
                <c:pt idx="23">
                  <c:v>-4.4000000000323798</c:v>
                </c:pt>
                <c:pt idx="24">
                  <c:v>-4.0000000000191003</c:v>
                </c:pt>
                <c:pt idx="25">
                  <c:v>-3.6000000000058199</c:v>
                </c:pt>
                <c:pt idx="26">
                  <c:v>-3.9000000000442001</c:v>
                </c:pt>
                <c:pt idx="27">
                  <c:v>-4.0000000000191003</c:v>
                </c:pt>
              </c:numCache>
            </c:numRef>
          </c:val>
        </c:ser>
        <c:dLbls/>
        <c:marker val="1"/>
        <c:axId val="383190528"/>
        <c:axId val="383214336"/>
      </c:lineChart>
      <c:lineChart>
        <c:grouping val="standard"/>
        <c:ser>
          <c:idx val="3"/>
          <c:order val="3"/>
          <c:tx>
            <c:strRef>
              <c:f>'zk79+174'!$AG$3:$AG$5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'zk79+174'!$A$6:$A$48</c:f>
              <c:numCache>
                <c:formatCode>m"月"d"日";@</c:formatCode>
                <c:ptCount val="43"/>
                <c:pt idx="0">
                  <c:v>44508</c:v>
                </c:pt>
                <c:pt idx="1">
                  <c:v>44509</c:v>
                </c:pt>
                <c:pt idx="2">
                  <c:v>44510</c:v>
                </c:pt>
                <c:pt idx="3">
                  <c:v>44511</c:v>
                </c:pt>
                <c:pt idx="4">
                  <c:v>44512</c:v>
                </c:pt>
                <c:pt idx="5">
                  <c:v>44513</c:v>
                </c:pt>
                <c:pt idx="6">
                  <c:v>44514</c:v>
                </c:pt>
                <c:pt idx="7">
                  <c:v>44515</c:v>
                </c:pt>
                <c:pt idx="8">
                  <c:v>44516</c:v>
                </c:pt>
                <c:pt idx="9">
                  <c:v>44517</c:v>
                </c:pt>
                <c:pt idx="10">
                  <c:v>44518</c:v>
                </c:pt>
                <c:pt idx="11">
                  <c:v>44519</c:v>
                </c:pt>
                <c:pt idx="12">
                  <c:v>44520</c:v>
                </c:pt>
                <c:pt idx="13">
                  <c:v>44521</c:v>
                </c:pt>
                <c:pt idx="14">
                  <c:v>44522</c:v>
                </c:pt>
                <c:pt idx="15">
                  <c:v>44524</c:v>
                </c:pt>
                <c:pt idx="16">
                  <c:v>44526</c:v>
                </c:pt>
                <c:pt idx="17">
                  <c:v>44528</c:v>
                </c:pt>
                <c:pt idx="18">
                  <c:v>44530</c:v>
                </c:pt>
                <c:pt idx="19">
                  <c:v>44532</c:v>
                </c:pt>
                <c:pt idx="20">
                  <c:v>44534</c:v>
                </c:pt>
                <c:pt idx="21">
                  <c:v>44536</c:v>
                </c:pt>
                <c:pt idx="22">
                  <c:v>44538</c:v>
                </c:pt>
                <c:pt idx="23">
                  <c:v>44545</c:v>
                </c:pt>
                <c:pt idx="24">
                  <c:v>44552</c:v>
                </c:pt>
                <c:pt idx="25">
                  <c:v>44559</c:v>
                </c:pt>
                <c:pt idx="26">
                  <c:v>44576</c:v>
                </c:pt>
                <c:pt idx="27">
                  <c:v>44602</c:v>
                </c:pt>
              </c:numCache>
            </c:numRef>
          </c:cat>
          <c:val>
            <c:numRef>
              <c:f>'zk79+174'!$AG$6:$AG$48</c:f>
              <c:numCache>
                <c:formatCode>0.0_ </c:formatCode>
                <c:ptCount val="43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34</c:v>
                </c:pt>
                <c:pt idx="13">
                  <c:v>37</c:v>
                </c:pt>
                <c:pt idx="14">
                  <c:v>40</c:v>
                </c:pt>
                <c:pt idx="15">
                  <c:v>43</c:v>
                </c:pt>
                <c:pt idx="16">
                  <c:v>46</c:v>
                </c:pt>
                <c:pt idx="17">
                  <c:v>49</c:v>
                </c:pt>
                <c:pt idx="18">
                  <c:v>52</c:v>
                </c:pt>
                <c:pt idx="19">
                  <c:v>55</c:v>
                </c:pt>
                <c:pt idx="20">
                  <c:v>58</c:v>
                </c:pt>
                <c:pt idx="21">
                  <c:v>61</c:v>
                </c:pt>
                <c:pt idx="22">
                  <c:v>64</c:v>
                </c:pt>
                <c:pt idx="23">
                  <c:v>67</c:v>
                </c:pt>
                <c:pt idx="24">
                  <c:v>81</c:v>
                </c:pt>
                <c:pt idx="25">
                  <c:v>117</c:v>
                </c:pt>
                <c:pt idx="26">
                  <c:v>153</c:v>
                </c:pt>
                <c:pt idx="27">
                  <c:v>189</c:v>
                </c:pt>
              </c:numCache>
            </c:numRef>
          </c:val>
        </c:ser>
        <c:dLbls/>
        <c:marker val="1"/>
        <c:axId val="383216256"/>
        <c:axId val="383230336"/>
      </c:lineChart>
      <c:dateAx>
        <c:axId val="3831905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214336"/>
        <c:crossesAt val="-50"/>
        <c:auto val="1"/>
        <c:lblOffset val="100"/>
        <c:baseTimeUnit val="days"/>
        <c:majorUnit val="10"/>
        <c:majorTimeUnit val="days"/>
      </c:dateAx>
      <c:valAx>
        <c:axId val="38321433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190528"/>
        <c:crosses val="autoZero"/>
        <c:crossBetween val="midCat"/>
        <c:majorUnit val="2"/>
        <c:minorUnit val="0.5"/>
      </c:valAx>
      <c:dateAx>
        <c:axId val="38321625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3230336"/>
        <c:crosses val="autoZero"/>
        <c:auto val="1"/>
        <c:lblOffset val="100"/>
        <c:baseTimeUnit val="days"/>
      </c:dateAx>
      <c:valAx>
        <c:axId val="383230336"/>
        <c:scaling>
          <c:orientation val="minMax"/>
          <c:max val="2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216256"/>
        <c:crosses val="max"/>
        <c:crossBetween val="midCat"/>
        <c:majorUnit val="5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9+187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'zk79+187'!$U$4:$W$4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'zk79+187'!$S$6:$S$55</c:f>
              <c:numCache>
                <c:formatCode>m"月"d"日";@</c:formatCode>
                <c:ptCount val="50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'zk79+187'!$V$6:$V$57</c:f>
              <c:numCache>
                <c:formatCode>0.00_ </c:formatCode>
                <c:ptCount val="52"/>
                <c:pt idx="0">
                  <c:v>0</c:v>
                </c:pt>
                <c:pt idx="1">
                  <c:v>0.30000000000107702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-0.70000000000014495</c:v>
                </c:pt>
                <c:pt idx="5">
                  <c:v>-0.70000000000014495</c:v>
                </c:pt>
                <c:pt idx="6">
                  <c:v>-0.59999999999860198</c:v>
                </c:pt>
                <c:pt idx="7">
                  <c:v>-1.0999999999992101</c:v>
                </c:pt>
                <c:pt idx="8">
                  <c:v>-1.2999999999987499</c:v>
                </c:pt>
                <c:pt idx="9">
                  <c:v>-0.999999999999446</c:v>
                </c:pt>
                <c:pt idx="10">
                  <c:v>-1.6999999999995901</c:v>
                </c:pt>
                <c:pt idx="11">
                  <c:v>-1.8999999999991199</c:v>
                </c:pt>
                <c:pt idx="12">
                  <c:v>-1.6999999999995901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-1.99999999999889</c:v>
                </c:pt>
                <c:pt idx="16">
                  <c:v>-2.8999999999985699</c:v>
                </c:pt>
                <c:pt idx="17">
                  <c:v>-3.0999999999998802</c:v>
                </c:pt>
                <c:pt idx="18">
                  <c:v>-2.8999999999985699</c:v>
                </c:pt>
                <c:pt idx="19">
                  <c:v>-3.4999999999989502</c:v>
                </c:pt>
                <c:pt idx="20">
                  <c:v>-2.6999999999990401</c:v>
                </c:pt>
                <c:pt idx="21">
                  <c:v>-2.59999999999927</c:v>
                </c:pt>
                <c:pt idx="22">
                  <c:v>-2.8999999999985699</c:v>
                </c:pt>
                <c:pt idx="23">
                  <c:v>-3.1999999999996498</c:v>
                </c:pt>
                <c:pt idx="24">
                  <c:v>-3.0999999999998802</c:v>
                </c:pt>
                <c:pt idx="25">
                  <c:v>-3.0000000000001101</c:v>
                </c:pt>
                <c:pt idx="26">
                  <c:v>-2.8999999999985699</c:v>
                </c:pt>
                <c:pt idx="27">
                  <c:v>-3.0999999999998802</c:v>
                </c:pt>
                <c:pt idx="29">
                  <c:v>-0.29999999999930099</c:v>
                </c:pt>
              </c:numCache>
            </c:numRef>
          </c:val>
        </c:ser>
        <c:ser>
          <c:idx val="1"/>
          <c:order val="1"/>
          <c:tx>
            <c:strRef>
              <c:f>'zk79+187'!$Y$4:$AA$4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'zk79+187'!$S$6:$S$55</c:f>
              <c:numCache>
                <c:formatCode>m"月"d"日";@</c:formatCode>
                <c:ptCount val="50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'zk79+187'!$Z$6:$Z$53</c:f>
              <c:numCache>
                <c:formatCode>0.00_ </c:formatCode>
                <c:ptCount val="48"/>
                <c:pt idx="0">
                  <c:v>0</c:v>
                </c:pt>
                <c:pt idx="1">
                  <c:v>-0.29999999999930099</c:v>
                </c:pt>
                <c:pt idx="2">
                  <c:v>0.39999999999906799</c:v>
                </c:pt>
                <c:pt idx="3">
                  <c:v>0.19999999999953399</c:v>
                </c:pt>
                <c:pt idx="4">
                  <c:v>0</c:v>
                </c:pt>
                <c:pt idx="5">
                  <c:v>9.99999999997669E-2</c:v>
                </c:pt>
                <c:pt idx="6">
                  <c:v>-0.39999999999906799</c:v>
                </c:pt>
                <c:pt idx="7">
                  <c:v>-0.60000000000215403</c:v>
                </c:pt>
                <c:pt idx="8">
                  <c:v>-1.20000000000076</c:v>
                </c:pt>
                <c:pt idx="9">
                  <c:v>-1.0000000000012199</c:v>
                </c:pt>
                <c:pt idx="10">
                  <c:v>-1.20000000000076</c:v>
                </c:pt>
                <c:pt idx="11">
                  <c:v>-0.90000000000145497</c:v>
                </c:pt>
                <c:pt idx="12">
                  <c:v>-1.59999999999982</c:v>
                </c:pt>
                <c:pt idx="13">
                  <c:v>-1.7999999999993599</c:v>
                </c:pt>
                <c:pt idx="14">
                  <c:v>-1.4000000000002899</c:v>
                </c:pt>
                <c:pt idx="15">
                  <c:v>-1.59999999999982</c:v>
                </c:pt>
                <c:pt idx="16">
                  <c:v>-2.4000000000015098</c:v>
                </c:pt>
                <c:pt idx="17">
                  <c:v>-2.6000000000010499</c:v>
                </c:pt>
                <c:pt idx="18">
                  <c:v>-2.9000000000003499</c:v>
                </c:pt>
                <c:pt idx="19">
                  <c:v>-3.0000000000001101</c:v>
                </c:pt>
                <c:pt idx="20">
                  <c:v>-3.3999999999991801</c:v>
                </c:pt>
                <c:pt idx="21">
                  <c:v>-3.3999999999991801</c:v>
                </c:pt>
                <c:pt idx="22">
                  <c:v>-3.0999999999998802</c:v>
                </c:pt>
                <c:pt idx="23">
                  <c:v>-2.8000000000005798</c:v>
                </c:pt>
                <c:pt idx="24">
                  <c:v>-3.0999999999998802</c:v>
                </c:pt>
                <c:pt idx="25">
                  <c:v>-3.0000000000001101</c:v>
                </c:pt>
                <c:pt idx="26">
                  <c:v>-2.9000000000003499</c:v>
                </c:pt>
                <c:pt idx="27">
                  <c:v>-3.1999999999996498</c:v>
                </c:pt>
                <c:pt idx="29">
                  <c:v>-3.0999999999998802</c:v>
                </c:pt>
              </c:numCache>
            </c:numRef>
          </c:val>
        </c:ser>
        <c:ser>
          <c:idx val="2"/>
          <c:order val="2"/>
          <c:tx>
            <c:strRef>
              <c:f>'zk79+187'!$AC$4:$AE$4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'zk79+187'!$S$6:$S$55</c:f>
              <c:numCache>
                <c:formatCode>m"月"d"日";@</c:formatCode>
                <c:ptCount val="50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'zk79+187'!$AD$6:$AD$57</c:f>
              <c:numCache>
                <c:formatCode>0.00_ </c:formatCode>
                <c:ptCount val="52"/>
                <c:pt idx="0">
                  <c:v>0</c:v>
                </c:pt>
                <c:pt idx="1">
                  <c:v>0.19999999999953399</c:v>
                </c:pt>
                <c:pt idx="2">
                  <c:v>9.99999999997669E-2</c:v>
                </c:pt>
                <c:pt idx="3">
                  <c:v>-0.39999999999906799</c:v>
                </c:pt>
                <c:pt idx="4">
                  <c:v>-0.60000000000037801</c:v>
                </c:pt>
                <c:pt idx="5">
                  <c:v>-0.60000000000037801</c:v>
                </c:pt>
                <c:pt idx="6">
                  <c:v>-0.999999999999446</c:v>
                </c:pt>
                <c:pt idx="7">
                  <c:v>-1.1999999999989801</c:v>
                </c:pt>
                <c:pt idx="8">
                  <c:v>-0.799999999999912</c:v>
                </c:pt>
                <c:pt idx="9">
                  <c:v>-1.6000000000104799</c:v>
                </c:pt>
                <c:pt idx="10">
                  <c:v>-1.80000000001002</c:v>
                </c:pt>
                <c:pt idx="11">
                  <c:v>-1.4000000000002899</c:v>
                </c:pt>
                <c:pt idx="12">
                  <c:v>-2.20000000000908</c:v>
                </c:pt>
                <c:pt idx="13">
                  <c:v>-2.4000000000103898</c:v>
                </c:pt>
                <c:pt idx="14">
                  <c:v>-1.8999999999991199</c:v>
                </c:pt>
                <c:pt idx="15">
                  <c:v>-2.8000000000094598</c:v>
                </c:pt>
                <c:pt idx="16">
                  <c:v>-3.0000000000196501</c:v>
                </c:pt>
                <c:pt idx="17">
                  <c:v>-2.2000000000002</c:v>
                </c:pt>
                <c:pt idx="18">
                  <c:v>-3.4000000000205</c:v>
                </c:pt>
                <c:pt idx="19">
                  <c:v>-3.6000000000200298</c:v>
                </c:pt>
                <c:pt idx="20">
                  <c:v>-2.9000000000003499</c:v>
                </c:pt>
                <c:pt idx="21">
                  <c:v>-3.1999999999996498</c:v>
                </c:pt>
                <c:pt idx="22">
                  <c:v>-3.0999999999998802</c:v>
                </c:pt>
                <c:pt idx="23">
                  <c:v>-3.0000000000001101</c:v>
                </c:pt>
                <c:pt idx="24">
                  <c:v>-3.1999999999996498</c:v>
                </c:pt>
                <c:pt idx="25">
                  <c:v>-3.0999999999998802</c:v>
                </c:pt>
                <c:pt idx="26">
                  <c:v>-3.0000000000001101</c:v>
                </c:pt>
                <c:pt idx="27">
                  <c:v>-3.0999999999998802</c:v>
                </c:pt>
              </c:numCache>
            </c:numRef>
          </c:val>
        </c:ser>
        <c:dLbls/>
        <c:marker val="1"/>
        <c:axId val="383334656"/>
        <c:axId val="383345024"/>
      </c:lineChart>
      <c:lineChart>
        <c:grouping val="standard"/>
        <c:ser>
          <c:idx val="3"/>
          <c:order val="3"/>
          <c:tx>
            <c:strRef>
              <c:f>'zk79+187'!$AG$3:$AG$5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'zk79+187'!$S$6:$S$55</c:f>
              <c:numCache>
                <c:formatCode>m"月"d"日";@</c:formatCode>
                <c:ptCount val="50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'zk79+187'!$AG$6:$AG$55</c:f>
              <c:numCache>
                <c:formatCode>0.0_ </c:formatCode>
                <c:ptCount val="50"/>
                <c:pt idx="0">
                  <c:v>5</c:v>
                </c:pt>
                <c:pt idx="1">
                  <c:v>8.6000000000058208</c:v>
                </c:pt>
                <c:pt idx="2">
                  <c:v>12.1999999999971</c:v>
                </c:pt>
                <c:pt idx="3">
                  <c:v>15.8000000000029</c:v>
                </c:pt>
                <c:pt idx="4">
                  <c:v>19.399999999994201</c:v>
                </c:pt>
                <c:pt idx="5">
                  <c:v>23</c:v>
                </c:pt>
                <c:pt idx="6">
                  <c:v>26.600000000005799</c:v>
                </c:pt>
                <c:pt idx="7">
                  <c:v>30.1999999999971</c:v>
                </c:pt>
                <c:pt idx="8">
                  <c:v>33.800000000002903</c:v>
                </c:pt>
                <c:pt idx="9">
                  <c:v>37.400000000096</c:v>
                </c:pt>
                <c:pt idx="10">
                  <c:v>41.000000000101899</c:v>
                </c:pt>
                <c:pt idx="11">
                  <c:v>44.600000000093097</c:v>
                </c:pt>
                <c:pt idx="12">
                  <c:v>48.200000000099003</c:v>
                </c:pt>
                <c:pt idx="13">
                  <c:v>51.800000000104802</c:v>
                </c:pt>
                <c:pt idx="14">
                  <c:v>55.400000000096</c:v>
                </c:pt>
                <c:pt idx="15">
                  <c:v>59.000000000101899</c:v>
                </c:pt>
                <c:pt idx="16">
                  <c:v>62.600000000093097</c:v>
                </c:pt>
                <c:pt idx="17">
                  <c:v>66.200000000098996</c:v>
                </c:pt>
                <c:pt idx="18">
                  <c:v>69.800000000104802</c:v>
                </c:pt>
                <c:pt idx="19">
                  <c:v>73.400000000096</c:v>
                </c:pt>
                <c:pt idx="20">
                  <c:v>77.000000000101906</c:v>
                </c:pt>
                <c:pt idx="21">
                  <c:v>80.600000000093104</c:v>
                </c:pt>
                <c:pt idx="22">
                  <c:v>84.200000000098996</c:v>
                </c:pt>
                <c:pt idx="23">
                  <c:v>87.800000000104802</c:v>
                </c:pt>
                <c:pt idx="24">
                  <c:v>98</c:v>
                </c:pt>
                <c:pt idx="25">
                  <c:v>122</c:v>
                </c:pt>
                <c:pt idx="26">
                  <c:v>146</c:v>
                </c:pt>
                <c:pt idx="27">
                  <c:v>170</c:v>
                </c:pt>
              </c:numCache>
            </c:numRef>
          </c:val>
        </c:ser>
        <c:dLbls/>
        <c:marker val="1"/>
        <c:axId val="383346944"/>
        <c:axId val="383356928"/>
      </c:lineChart>
      <c:dateAx>
        <c:axId val="3833346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345024"/>
        <c:crossesAt val="-50"/>
        <c:auto val="1"/>
        <c:lblOffset val="100"/>
        <c:baseTimeUnit val="days"/>
        <c:majorUnit val="12"/>
        <c:majorTimeUnit val="days"/>
      </c:dateAx>
      <c:valAx>
        <c:axId val="38334502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334656"/>
        <c:crosses val="autoZero"/>
        <c:crossBetween val="midCat"/>
        <c:majorUnit val="1"/>
        <c:minorUnit val="0.1"/>
      </c:valAx>
      <c:dateAx>
        <c:axId val="38334694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3356928"/>
        <c:crosses val="autoZero"/>
        <c:auto val="1"/>
        <c:lblOffset val="100"/>
        <c:baseTimeUnit val="days"/>
      </c:dateAx>
      <c:valAx>
        <c:axId val="383356928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346944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187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'zk79+187'!$C$4:$G$4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'zk79+187'!$A$6:$A$57</c:f>
              <c:numCache>
                <c:formatCode>m"月"d"日";@</c:formatCode>
                <c:ptCount val="52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'zk79+187'!$G$6:$G$55</c:f>
              <c:numCache>
                <c:formatCode>0.00_ </c:formatCode>
                <c:ptCount val="50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0.10000000008858501</c:v>
                </c:pt>
                <c:pt idx="4">
                  <c:v>-0.20000000006348301</c:v>
                </c:pt>
                <c:pt idx="5">
                  <c:v>-0.40000000001327901</c:v>
                </c:pt>
                <c:pt idx="6">
                  <c:v>-0.29999999992469401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0.40000000001327901</c:v>
                </c:pt>
                <c:pt idx="10">
                  <c:v>-0.80000000002655702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-0.20000000006348301</c:v>
                </c:pt>
                <c:pt idx="15">
                  <c:v>0.15000000001919001</c:v>
                </c:pt>
                <c:pt idx="16">
                  <c:v>-0.35000000002582998</c:v>
                </c:pt>
                <c:pt idx="17">
                  <c:v>-9.9999999974897905E-2</c:v>
                </c:pt>
                <c:pt idx="18">
                  <c:v>0.34999999996898601</c:v>
                </c:pt>
                <c:pt idx="19">
                  <c:v>-0.54999999997562599</c:v>
                </c:pt>
                <c:pt idx="20">
                  <c:v>0.15000000001919001</c:v>
                </c:pt>
                <c:pt idx="21">
                  <c:v>4.9999999987449001E-2</c:v>
                </c:pt>
                <c:pt idx="22">
                  <c:v>3.9999999989959199E-2</c:v>
                </c:pt>
                <c:pt idx="23">
                  <c:v>4.0000000012696497E-2</c:v>
                </c:pt>
                <c:pt idx="24">
                  <c:v>-4.0000000012696497E-2</c:v>
                </c:pt>
                <c:pt idx="25">
                  <c:v>2.0000000017716998E-2</c:v>
                </c:pt>
                <c:pt idx="26">
                  <c:v>5.5555555541610003E-3</c:v>
                </c:pt>
                <c:pt idx="27">
                  <c:v>-9.5238095268325093E-3</c:v>
                </c:pt>
                <c:pt idx="29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'zk79+187'!$H$4:$L$4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'zk79+187'!$A$6:$A$57</c:f>
              <c:numCache>
                <c:formatCode>m"月"d"日";@</c:formatCode>
                <c:ptCount val="52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'zk79+187'!$L$6:$L$52</c:f>
              <c:numCache>
                <c:formatCode>0.00_ </c:formatCode>
                <c:ptCount val="47"/>
                <c:pt idx="0">
                  <c:v>0</c:v>
                </c:pt>
                <c:pt idx="1">
                  <c:v>0.30000000003838101</c:v>
                </c:pt>
                <c:pt idx="2">
                  <c:v>-0.90000000000145497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-9.9999999974897905E-2</c:v>
                </c:pt>
                <c:pt idx="7">
                  <c:v>0.40000000001327901</c:v>
                </c:pt>
                <c:pt idx="8">
                  <c:v>-0.59999999996307496</c:v>
                </c:pt>
                <c:pt idx="9">
                  <c:v>-0.10000000008858501</c:v>
                </c:pt>
                <c:pt idx="10">
                  <c:v>-9.9999999974897905E-2</c:v>
                </c:pt>
                <c:pt idx="11">
                  <c:v>0.59999999996307496</c:v>
                </c:pt>
                <c:pt idx="12">
                  <c:v>-0.79999999991286996</c:v>
                </c:pt>
                <c:pt idx="13">
                  <c:v>-0.10000000008858501</c:v>
                </c:pt>
                <c:pt idx="14">
                  <c:v>-0.199999999949796</c:v>
                </c:pt>
                <c:pt idx="15">
                  <c:v>0</c:v>
                </c:pt>
                <c:pt idx="16">
                  <c:v>4.9999999987449001E-2</c:v>
                </c:pt>
                <c:pt idx="17">
                  <c:v>-0.149999999962347</c:v>
                </c:pt>
                <c:pt idx="18">
                  <c:v>-5.0000000044292399E-2</c:v>
                </c:pt>
                <c:pt idx="19">
                  <c:v>-0.34999999996898601</c:v>
                </c:pt>
                <c:pt idx="20">
                  <c:v>0.24999999999408801</c:v>
                </c:pt>
                <c:pt idx="21">
                  <c:v>-0.15000000001919001</c:v>
                </c:pt>
                <c:pt idx="22">
                  <c:v>4.0000000012696497E-2</c:v>
                </c:pt>
                <c:pt idx="23">
                  <c:v>3.9999999989959199E-2</c:v>
                </c:pt>
                <c:pt idx="24">
                  <c:v>-6.0000000007676101E-2</c:v>
                </c:pt>
                <c:pt idx="25">
                  <c:v>-7.9999999979918399E-2</c:v>
                </c:pt>
                <c:pt idx="26">
                  <c:v>-2.22222222229599E-2</c:v>
                </c:pt>
                <c:pt idx="27">
                  <c:v>-4.7619047661230903E-3</c:v>
                </c:pt>
              </c:numCache>
            </c:numRef>
          </c:val>
        </c:ser>
        <c:ser>
          <c:idx val="2"/>
          <c:order val="2"/>
          <c:tx>
            <c:strRef>
              <c:f>'zk79+187'!$M$4:$Q$4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'zk79+187'!$A$6:$A$57</c:f>
              <c:numCache>
                <c:formatCode>m"月"d"日";@</c:formatCode>
                <c:ptCount val="52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'zk79+187'!$Q$6:$Q$58</c:f>
              <c:numCache>
                <c:formatCode>0.00_ </c:formatCode>
                <c:ptCount val="53"/>
                <c:pt idx="0">
                  <c:v>0</c:v>
                </c:pt>
                <c:pt idx="1">
                  <c:v>-0.69999999993797202</c:v>
                </c:pt>
                <c:pt idx="2">
                  <c:v>-0.60000000007676102</c:v>
                </c:pt>
                <c:pt idx="3">
                  <c:v>-0.199999999949796</c:v>
                </c:pt>
                <c:pt idx="4">
                  <c:v>9.9999999974897905E-2</c:v>
                </c:pt>
                <c:pt idx="5">
                  <c:v>-0.40000000001327901</c:v>
                </c:pt>
                <c:pt idx="6">
                  <c:v>-0.40000000001327901</c:v>
                </c:pt>
                <c:pt idx="7">
                  <c:v>-9.9999999974897905E-2</c:v>
                </c:pt>
                <c:pt idx="8">
                  <c:v>0.30000000003838101</c:v>
                </c:pt>
                <c:pt idx="9">
                  <c:v>-0.40000000001327901</c:v>
                </c:pt>
                <c:pt idx="10">
                  <c:v>-0.199999999949796</c:v>
                </c:pt>
                <c:pt idx="11">
                  <c:v>-0.20000000006348301</c:v>
                </c:pt>
                <c:pt idx="12">
                  <c:v>0.20000000006348301</c:v>
                </c:pt>
                <c:pt idx="13">
                  <c:v>-0.60000000007676102</c:v>
                </c:pt>
                <c:pt idx="14">
                  <c:v>-0.199999999949796</c:v>
                </c:pt>
                <c:pt idx="15">
                  <c:v>0.29999999998153698</c:v>
                </c:pt>
                <c:pt idx="16">
                  <c:v>-0.49999999998817701</c:v>
                </c:pt>
                <c:pt idx="17">
                  <c:v>-9.9999999974897905E-2</c:v>
                </c:pt>
                <c:pt idx="18">
                  <c:v>0.199999999949796</c:v>
                </c:pt>
                <c:pt idx="19">
                  <c:v>-0.199999999949796</c:v>
                </c:pt>
                <c:pt idx="20">
                  <c:v>-0.30000000003838101</c:v>
                </c:pt>
                <c:pt idx="21">
                  <c:v>0.40000000001327901</c:v>
                </c:pt>
                <c:pt idx="22">
                  <c:v>1.99999999949796E-2</c:v>
                </c:pt>
                <c:pt idx="23">
                  <c:v>1.99999999949796E-2</c:v>
                </c:pt>
                <c:pt idx="24">
                  <c:v>-3.9999999989959199E-2</c:v>
                </c:pt>
                <c:pt idx="25">
                  <c:v>3.9999999989959199E-2</c:v>
                </c:pt>
                <c:pt idx="26">
                  <c:v>1.11111111146379E-2</c:v>
                </c:pt>
                <c:pt idx="27">
                  <c:v>4.7619047607094303E-3</c:v>
                </c:pt>
              </c:numCache>
            </c:numRef>
          </c:val>
        </c:ser>
        <c:dLbls/>
        <c:marker val="1"/>
        <c:axId val="383609088"/>
        <c:axId val="383619840"/>
      </c:lineChart>
      <c:dateAx>
        <c:axId val="3836090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619840"/>
        <c:crossesAt val="-50"/>
        <c:auto val="1"/>
        <c:lblOffset val="100"/>
        <c:baseTimeUnit val="days"/>
        <c:majorUnit val="12"/>
        <c:majorTimeUnit val="days"/>
      </c:dateAx>
      <c:valAx>
        <c:axId val="38361984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6090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9+187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'zk79+187'!$U$4:$W$4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'zk79+187'!$S$6:$S$54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'zk79+187'!$W$6:$W$56</c:f>
              <c:numCache>
                <c:formatCode>0.00_ </c:formatCode>
                <c:ptCount val="51"/>
                <c:pt idx="0">
                  <c:v>0</c:v>
                </c:pt>
                <c:pt idx="1">
                  <c:v>-0.30000000000107702</c:v>
                </c:pt>
                <c:pt idx="2">
                  <c:v>0.40000000000084401</c:v>
                </c:pt>
                <c:pt idx="3">
                  <c:v>0.19999999999953399</c:v>
                </c:pt>
                <c:pt idx="4">
                  <c:v>0.40000000000084401</c:v>
                </c:pt>
                <c:pt idx="5">
                  <c:v>0</c:v>
                </c:pt>
                <c:pt idx="6">
                  <c:v>-0.10000000000154299</c:v>
                </c:pt>
                <c:pt idx="7">
                  <c:v>0.50000000000061096</c:v>
                </c:pt>
                <c:pt idx="8">
                  <c:v>0.19999999999953399</c:v>
                </c:pt>
                <c:pt idx="9">
                  <c:v>-0.29999999999930099</c:v>
                </c:pt>
                <c:pt idx="10">
                  <c:v>0.70000000000014495</c:v>
                </c:pt>
                <c:pt idx="11">
                  <c:v>0.19999999999953399</c:v>
                </c:pt>
                <c:pt idx="12">
                  <c:v>-0.19999999999953399</c:v>
                </c:pt>
                <c:pt idx="13">
                  <c:v>0.60000000000037801</c:v>
                </c:pt>
                <c:pt idx="14">
                  <c:v>0.19999999999953399</c:v>
                </c:pt>
                <c:pt idx="15">
                  <c:v>-0.25000000000030598</c:v>
                </c:pt>
                <c:pt idx="16">
                  <c:v>0.44999999999983897</c:v>
                </c:pt>
                <c:pt idx="17">
                  <c:v>0.100000000000655</c:v>
                </c:pt>
                <c:pt idx="18">
                  <c:v>-0.100000000000655</c:v>
                </c:pt>
                <c:pt idx="19">
                  <c:v>0.300000000000189</c:v>
                </c:pt>
                <c:pt idx="20">
                  <c:v>-0.399999999999956</c:v>
                </c:pt>
                <c:pt idx="21">
                  <c:v>-4.9999999999883499E-2</c:v>
                </c:pt>
                <c:pt idx="22">
                  <c:v>5.99999999998602E-2</c:v>
                </c:pt>
                <c:pt idx="23">
                  <c:v>6.0000000000215402E-2</c:v>
                </c:pt>
                <c:pt idx="24">
                  <c:v>-1.9999999999953399E-2</c:v>
                </c:pt>
                <c:pt idx="25">
                  <c:v>-1.9999999999953399E-2</c:v>
                </c:pt>
                <c:pt idx="26">
                  <c:v>-5.5555555556412901E-3</c:v>
                </c:pt>
                <c:pt idx="27">
                  <c:v>9.5238095238719192E-3</c:v>
                </c:pt>
                <c:pt idx="29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'zk79+187'!$Y$4:$AA$4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'zk79+187'!$S$6:$S$54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'zk79+187'!$AA$6:$AA$50</c:f>
              <c:numCache>
                <c:formatCode>0.00_ </c:formatCode>
                <c:ptCount val="45"/>
                <c:pt idx="0">
                  <c:v>0</c:v>
                </c:pt>
                <c:pt idx="1">
                  <c:v>-0.29999999999930099</c:v>
                </c:pt>
                <c:pt idx="2">
                  <c:v>0.69999999999836904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-0.20000000000308699</c:v>
                </c:pt>
                <c:pt idx="8">
                  <c:v>-0.59999999999860198</c:v>
                </c:pt>
                <c:pt idx="9">
                  <c:v>0.19999999999953399</c:v>
                </c:pt>
                <c:pt idx="10">
                  <c:v>-0.19999999999953399</c:v>
                </c:pt>
                <c:pt idx="11">
                  <c:v>0.29999999999930099</c:v>
                </c:pt>
                <c:pt idx="12">
                  <c:v>-0.69999999999836904</c:v>
                </c:pt>
                <c:pt idx="13">
                  <c:v>-0.19999999999953399</c:v>
                </c:pt>
                <c:pt idx="14">
                  <c:v>0.39999999999906799</c:v>
                </c:pt>
                <c:pt idx="15">
                  <c:v>-9.99999999997669E-2</c:v>
                </c:pt>
                <c:pt idx="16">
                  <c:v>-0.40000000000084401</c:v>
                </c:pt>
                <c:pt idx="17">
                  <c:v>-9.99999999997669E-2</c:v>
                </c:pt>
                <c:pt idx="18">
                  <c:v>-0.14999999999965</c:v>
                </c:pt>
                <c:pt idx="19">
                  <c:v>-4.9999999999883499E-2</c:v>
                </c:pt>
                <c:pt idx="20">
                  <c:v>-0.19999999999953399</c:v>
                </c:pt>
                <c:pt idx="21">
                  <c:v>0</c:v>
                </c:pt>
                <c:pt idx="22">
                  <c:v>5.99999999998602E-2</c:v>
                </c:pt>
                <c:pt idx="23">
                  <c:v>5.99999999998602E-2</c:v>
                </c:pt>
                <c:pt idx="24">
                  <c:v>-5.99999999998602E-2</c:v>
                </c:pt>
                <c:pt idx="25">
                  <c:v>1.9999999999953399E-2</c:v>
                </c:pt>
                <c:pt idx="26">
                  <c:v>5.5555555555426104E-3</c:v>
                </c:pt>
                <c:pt idx="27">
                  <c:v>-1.4285714285680999E-2</c:v>
                </c:pt>
                <c:pt idx="29">
                  <c:v>-9.9999999999766907E-3</c:v>
                </c:pt>
              </c:numCache>
            </c:numRef>
          </c:val>
        </c:ser>
        <c:ser>
          <c:idx val="2"/>
          <c:order val="2"/>
          <c:tx>
            <c:strRef>
              <c:f>'zk79+187'!$AC$4:$AE$4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'zk79+187'!$S$6:$S$54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'zk79+187'!$AE$6:$AE$53</c:f>
              <c:numCache>
                <c:formatCode>0.00_ </c:formatCode>
                <c:ptCount val="48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-0.49999999999883499</c:v>
                </c:pt>
                <c:pt idx="4">
                  <c:v>-0.20000000000130999</c:v>
                </c:pt>
                <c:pt idx="5">
                  <c:v>0</c:v>
                </c:pt>
                <c:pt idx="6">
                  <c:v>-0.39999999999906799</c:v>
                </c:pt>
                <c:pt idx="7">
                  <c:v>-0.19999999999953399</c:v>
                </c:pt>
                <c:pt idx="8">
                  <c:v>0.39999999999906799</c:v>
                </c:pt>
                <c:pt idx="9">
                  <c:v>-0.80000000001057003</c:v>
                </c:pt>
                <c:pt idx="10">
                  <c:v>-0.19999999999953399</c:v>
                </c:pt>
                <c:pt idx="11">
                  <c:v>0.40000000000972602</c:v>
                </c:pt>
                <c:pt idx="12">
                  <c:v>-0.80000000000879401</c:v>
                </c:pt>
                <c:pt idx="13">
                  <c:v>-0.20000000000130999</c:v>
                </c:pt>
                <c:pt idx="14">
                  <c:v>0.50000000001126899</c:v>
                </c:pt>
                <c:pt idx="15">
                  <c:v>-0.45000000000516799</c:v>
                </c:pt>
                <c:pt idx="16">
                  <c:v>-0.100000000005096</c:v>
                </c:pt>
                <c:pt idx="17">
                  <c:v>0.40000000000972602</c:v>
                </c:pt>
                <c:pt idx="18">
                  <c:v>-0.60000000001014797</c:v>
                </c:pt>
                <c:pt idx="19">
                  <c:v>-9.99999999997669E-2</c:v>
                </c:pt>
                <c:pt idx="20">
                  <c:v>0.35000000000984199</c:v>
                </c:pt>
                <c:pt idx="21">
                  <c:v>-0.14999999999965</c:v>
                </c:pt>
                <c:pt idx="22">
                  <c:v>1.9999999999953399E-2</c:v>
                </c:pt>
                <c:pt idx="23">
                  <c:v>1.9999999999953399E-2</c:v>
                </c:pt>
                <c:pt idx="24">
                  <c:v>-3.9999999999906798E-2</c:v>
                </c:pt>
                <c:pt idx="25">
                  <c:v>1.9999999999953399E-2</c:v>
                </c:pt>
                <c:pt idx="26">
                  <c:v>5.5555555555426104E-3</c:v>
                </c:pt>
                <c:pt idx="27">
                  <c:v>-4.7619047618936601E-3</c:v>
                </c:pt>
              </c:numCache>
            </c:numRef>
          </c:val>
        </c:ser>
        <c:dLbls/>
        <c:marker val="1"/>
        <c:axId val="383638912"/>
        <c:axId val="383691008"/>
      </c:lineChart>
      <c:dateAx>
        <c:axId val="3836389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691008"/>
        <c:crossesAt val="-50"/>
        <c:auto val="1"/>
        <c:lblOffset val="100"/>
        <c:baseTimeUnit val="days"/>
        <c:majorUnit val="12"/>
        <c:majorTimeUnit val="days"/>
      </c:dateAx>
      <c:valAx>
        <c:axId val="3836910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63891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187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198798769785814"/>
          <c:y val="1.1487704164368001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'zk79+187'!$C$4:$G$4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'zk79+187'!$A$6:$A$54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'zk79+187'!$F$6:$F$55</c:f>
              <c:numCache>
                <c:formatCode>0.00_ </c:formatCode>
                <c:ptCount val="50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-0.90000000000145497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-1.1999999999261499</c:v>
                </c:pt>
                <c:pt idx="10">
                  <c:v>-1.9999999999527101</c:v>
                </c:pt>
                <c:pt idx="11">
                  <c:v>-2.1999999999024999</c:v>
                </c:pt>
                <c:pt idx="12">
                  <c:v>-2.0999999999275998</c:v>
                </c:pt>
                <c:pt idx="13">
                  <c:v>-2.5999999999157799</c:v>
                </c:pt>
                <c:pt idx="14">
                  <c:v>-2.79999999997926</c:v>
                </c:pt>
                <c:pt idx="15">
                  <c:v>-2.4999999999408802</c:v>
                </c:pt>
                <c:pt idx="16">
                  <c:v>-3.1999999999925399</c:v>
                </c:pt>
                <c:pt idx="17">
                  <c:v>-3.3999999999423398</c:v>
                </c:pt>
                <c:pt idx="18">
                  <c:v>-2.70000000000437</c:v>
                </c:pt>
                <c:pt idx="19">
                  <c:v>-3.7999999999556202</c:v>
                </c:pt>
                <c:pt idx="20">
                  <c:v>-3.49999999991724</c:v>
                </c:pt>
                <c:pt idx="21">
                  <c:v>-3.3999999999423398</c:v>
                </c:pt>
                <c:pt idx="22">
                  <c:v>-3.1999999999925399</c:v>
                </c:pt>
                <c:pt idx="23">
                  <c:v>-2.9999999999290599</c:v>
                </c:pt>
                <c:pt idx="24">
                  <c:v>-3.1999999999925399</c:v>
                </c:pt>
                <c:pt idx="25">
                  <c:v>-3.09999999990396</c:v>
                </c:pt>
                <c:pt idx="26">
                  <c:v>-2.9999999999290599</c:v>
                </c:pt>
                <c:pt idx="27">
                  <c:v>-3.1999999999925399</c:v>
                </c:pt>
                <c:pt idx="29">
                  <c:v>-0.10000000008858501</c:v>
                </c:pt>
              </c:numCache>
            </c:numRef>
          </c:val>
        </c:ser>
        <c:ser>
          <c:idx val="1"/>
          <c:order val="1"/>
          <c:tx>
            <c:strRef>
              <c:f>'zk79+187'!$H$4:$L$4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'zk79+187'!$A$6:$A$54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'zk79+187'!$K$6:$K$50</c:f>
              <c:numCache>
                <c:formatCode>0.00_ </c:formatCode>
                <c:ptCount val="45"/>
                <c:pt idx="0">
                  <c:v>0</c:v>
                </c:pt>
                <c:pt idx="1">
                  <c:v>0.30000000003838101</c:v>
                </c:pt>
                <c:pt idx="2">
                  <c:v>-0.59999999996307496</c:v>
                </c:pt>
                <c:pt idx="3">
                  <c:v>-1.09999999995125</c:v>
                </c:pt>
                <c:pt idx="4">
                  <c:v>-1.30000000001473</c:v>
                </c:pt>
                <c:pt idx="5">
                  <c:v>-1.39999999998963</c:v>
                </c:pt>
                <c:pt idx="6">
                  <c:v>-1.4999999999645299</c:v>
                </c:pt>
                <c:pt idx="7">
                  <c:v>-1.09999999995125</c:v>
                </c:pt>
                <c:pt idx="8">
                  <c:v>-1.69999999991433</c:v>
                </c:pt>
                <c:pt idx="9">
                  <c:v>-1.8000000000029099</c:v>
                </c:pt>
                <c:pt idx="10">
                  <c:v>-1.8999999999778101</c:v>
                </c:pt>
                <c:pt idx="11">
                  <c:v>-1.30000000001473</c:v>
                </c:pt>
                <c:pt idx="12">
                  <c:v>-2.0999999999275998</c:v>
                </c:pt>
                <c:pt idx="13">
                  <c:v>-2.2000000000161899</c:v>
                </c:pt>
                <c:pt idx="14">
                  <c:v>-2.39999999996598</c:v>
                </c:pt>
                <c:pt idx="15">
                  <c:v>-2.39999999996598</c:v>
                </c:pt>
                <c:pt idx="16">
                  <c:v>-2.2999999999910901</c:v>
                </c:pt>
                <c:pt idx="17">
                  <c:v>-2.5999999999157799</c:v>
                </c:pt>
                <c:pt idx="18">
                  <c:v>-2.70000000000437</c:v>
                </c:pt>
                <c:pt idx="19">
                  <c:v>-3.3999999999423398</c:v>
                </c:pt>
                <c:pt idx="20">
                  <c:v>-2.8999999999541601</c:v>
                </c:pt>
                <c:pt idx="21">
                  <c:v>-3.1999999999925399</c:v>
                </c:pt>
                <c:pt idx="22">
                  <c:v>-2.9999999999290599</c:v>
                </c:pt>
                <c:pt idx="23">
                  <c:v>-2.79999999997926</c:v>
                </c:pt>
                <c:pt idx="24">
                  <c:v>-3.1000000000176402</c:v>
                </c:pt>
                <c:pt idx="25">
                  <c:v>-3.49999999991724</c:v>
                </c:pt>
                <c:pt idx="26">
                  <c:v>-3.8999999999305102</c:v>
                </c:pt>
                <c:pt idx="27">
                  <c:v>-4.0000000000191003</c:v>
                </c:pt>
                <c:pt idx="29">
                  <c:v>-6.66666666878276E-3</c:v>
                </c:pt>
              </c:numCache>
            </c:numRef>
          </c:val>
        </c:ser>
        <c:ser>
          <c:idx val="2"/>
          <c:order val="2"/>
          <c:tx>
            <c:strRef>
              <c:f>'zk79+187'!$M$4:$Q$4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'zk79+187'!$A$6:$A$54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'zk79+187'!$P$6:$P$58</c:f>
              <c:numCache>
                <c:formatCode>0.00_ </c:formatCode>
                <c:ptCount val="53"/>
                <c:pt idx="0">
                  <c:v>0</c:v>
                </c:pt>
                <c:pt idx="1">
                  <c:v>-0.69999999993797202</c:v>
                </c:pt>
                <c:pt idx="2">
                  <c:v>-1.30000000001473</c:v>
                </c:pt>
                <c:pt idx="3">
                  <c:v>-1.4999999999645299</c:v>
                </c:pt>
                <c:pt idx="4">
                  <c:v>-1.39999999998963</c:v>
                </c:pt>
                <c:pt idx="5">
                  <c:v>-1.8000000000029099</c:v>
                </c:pt>
                <c:pt idx="6">
                  <c:v>-2.2000000000161899</c:v>
                </c:pt>
                <c:pt idx="7">
                  <c:v>-2.2999999999910901</c:v>
                </c:pt>
                <c:pt idx="8">
                  <c:v>-1.9999999999527101</c:v>
                </c:pt>
                <c:pt idx="9">
                  <c:v>-2.39999999996598</c:v>
                </c:pt>
                <c:pt idx="10">
                  <c:v>-2.5999999999157799</c:v>
                </c:pt>
                <c:pt idx="11">
                  <c:v>-2.79999999997926</c:v>
                </c:pt>
                <c:pt idx="12">
                  <c:v>-2.5999999999157799</c:v>
                </c:pt>
                <c:pt idx="13">
                  <c:v>-3.1999999999925399</c:v>
                </c:pt>
                <c:pt idx="14">
                  <c:v>-3.3999999999423398</c:v>
                </c:pt>
                <c:pt idx="15">
                  <c:v>-2.79999999997926</c:v>
                </c:pt>
                <c:pt idx="16">
                  <c:v>-3.7999999999556202</c:v>
                </c:pt>
                <c:pt idx="17">
                  <c:v>-3.9999999999054099</c:v>
                </c:pt>
                <c:pt idx="18">
                  <c:v>-3.6000000000058199</c:v>
                </c:pt>
                <c:pt idx="19">
                  <c:v>-3.9999999999054099</c:v>
                </c:pt>
                <c:pt idx="20">
                  <c:v>-4.5999999999821704</c:v>
                </c:pt>
                <c:pt idx="21">
                  <c:v>-3.7999999999556202</c:v>
                </c:pt>
                <c:pt idx="22">
                  <c:v>-3.69999999998072</c:v>
                </c:pt>
                <c:pt idx="23">
                  <c:v>-3.6000000000058199</c:v>
                </c:pt>
                <c:pt idx="24">
                  <c:v>-3.7999999999556202</c:v>
                </c:pt>
                <c:pt idx="25">
                  <c:v>-3.6000000000058199</c:v>
                </c:pt>
                <c:pt idx="26">
                  <c:v>-3.3999999999423398</c:v>
                </c:pt>
                <c:pt idx="27">
                  <c:v>-3.2999999999674401</c:v>
                </c:pt>
              </c:numCache>
            </c:numRef>
          </c:val>
        </c:ser>
        <c:dLbls/>
        <c:marker val="1"/>
        <c:axId val="383500288"/>
        <c:axId val="383502976"/>
      </c:lineChart>
      <c:lineChart>
        <c:grouping val="standard"/>
        <c:ser>
          <c:idx val="3"/>
          <c:order val="3"/>
          <c:tx>
            <c:strRef>
              <c:f>'zk79+187'!$AG$3:$AG$5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'zk79+187'!$A$6:$A$54</c:f>
              <c:numCache>
                <c:formatCode>m"月"d"日";@</c:formatCode>
                <c:ptCount val="49"/>
                <c:pt idx="0">
                  <c:v>44515</c:v>
                </c:pt>
                <c:pt idx="1">
                  <c:v>44516</c:v>
                </c:pt>
                <c:pt idx="2">
                  <c:v>44517</c:v>
                </c:pt>
                <c:pt idx="3">
                  <c:v>44518</c:v>
                </c:pt>
                <c:pt idx="4">
                  <c:v>44519</c:v>
                </c:pt>
                <c:pt idx="5">
                  <c:v>44520</c:v>
                </c:pt>
                <c:pt idx="6">
                  <c:v>44521</c:v>
                </c:pt>
                <c:pt idx="7">
                  <c:v>44522</c:v>
                </c:pt>
                <c:pt idx="8">
                  <c:v>44523</c:v>
                </c:pt>
                <c:pt idx="9">
                  <c:v>44524</c:v>
                </c:pt>
                <c:pt idx="10">
                  <c:v>44525</c:v>
                </c:pt>
                <c:pt idx="11">
                  <c:v>44526</c:v>
                </c:pt>
                <c:pt idx="12">
                  <c:v>44527</c:v>
                </c:pt>
                <c:pt idx="13">
                  <c:v>44528</c:v>
                </c:pt>
                <c:pt idx="14">
                  <c:v>44529</c:v>
                </c:pt>
                <c:pt idx="15">
                  <c:v>44531</c:v>
                </c:pt>
                <c:pt idx="16">
                  <c:v>44533</c:v>
                </c:pt>
                <c:pt idx="17">
                  <c:v>44535</c:v>
                </c:pt>
                <c:pt idx="18">
                  <c:v>44537</c:v>
                </c:pt>
                <c:pt idx="19">
                  <c:v>44539</c:v>
                </c:pt>
                <c:pt idx="20">
                  <c:v>44541</c:v>
                </c:pt>
                <c:pt idx="21">
                  <c:v>44543</c:v>
                </c:pt>
                <c:pt idx="22">
                  <c:v>44548</c:v>
                </c:pt>
                <c:pt idx="23">
                  <c:v>44553</c:v>
                </c:pt>
                <c:pt idx="24">
                  <c:v>44558</c:v>
                </c:pt>
                <c:pt idx="25">
                  <c:v>44563</c:v>
                </c:pt>
                <c:pt idx="26">
                  <c:v>44581</c:v>
                </c:pt>
                <c:pt idx="27">
                  <c:v>44602</c:v>
                </c:pt>
              </c:numCache>
            </c:numRef>
          </c:cat>
          <c:val>
            <c:numRef>
              <c:f>'zk79+187'!$AG$6:$AG$51</c:f>
              <c:numCache>
                <c:formatCode>0.0_ </c:formatCode>
                <c:ptCount val="46"/>
                <c:pt idx="0">
                  <c:v>5</c:v>
                </c:pt>
                <c:pt idx="1">
                  <c:v>8.6000000000058208</c:v>
                </c:pt>
                <c:pt idx="2">
                  <c:v>12.1999999999971</c:v>
                </c:pt>
                <c:pt idx="3">
                  <c:v>15.8000000000029</c:v>
                </c:pt>
                <c:pt idx="4">
                  <c:v>19.399999999994201</c:v>
                </c:pt>
                <c:pt idx="5">
                  <c:v>23</c:v>
                </c:pt>
                <c:pt idx="6">
                  <c:v>26.600000000005799</c:v>
                </c:pt>
                <c:pt idx="7">
                  <c:v>30.1999999999971</c:v>
                </c:pt>
                <c:pt idx="8">
                  <c:v>33.800000000002903</c:v>
                </c:pt>
                <c:pt idx="9">
                  <c:v>37.400000000096</c:v>
                </c:pt>
                <c:pt idx="10">
                  <c:v>41.000000000101899</c:v>
                </c:pt>
                <c:pt idx="11">
                  <c:v>44.600000000093097</c:v>
                </c:pt>
                <c:pt idx="12">
                  <c:v>48.200000000099003</c:v>
                </c:pt>
                <c:pt idx="13">
                  <c:v>51.800000000104802</c:v>
                </c:pt>
                <c:pt idx="14">
                  <c:v>55.400000000096</c:v>
                </c:pt>
                <c:pt idx="15">
                  <c:v>59.000000000101899</c:v>
                </c:pt>
                <c:pt idx="16">
                  <c:v>62.600000000093097</c:v>
                </c:pt>
                <c:pt idx="17">
                  <c:v>66.200000000098996</c:v>
                </c:pt>
                <c:pt idx="18">
                  <c:v>69.800000000104802</c:v>
                </c:pt>
                <c:pt idx="19">
                  <c:v>73.400000000096</c:v>
                </c:pt>
                <c:pt idx="20">
                  <c:v>77.000000000101906</c:v>
                </c:pt>
                <c:pt idx="21">
                  <c:v>80.600000000093104</c:v>
                </c:pt>
                <c:pt idx="22">
                  <c:v>84.200000000098996</c:v>
                </c:pt>
                <c:pt idx="23">
                  <c:v>87.800000000104802</c:v>
                </c:pt>
                <c:pt idx="24">
                  <c:v>98</c:v>
                </c:pt>
                <c:pt idx="25">
                  <c:v>122</c:v>
                </c:pt>
                <c:pt idx="26">
                  <c:v>146</c:v>
                </c:pt>
                <c:pt idx="27">
                  <c:v>170</c:v>
                </c:pt>
              </c:numCache>
            </c:numRef>
          </c:val>
        </c:ser>
        <c:dLbls/>
        <c:marker val="1"/>
        <c:axId val="383779584"/>
        <c:axId val="383781120"/>
      </c:lineChart>
      <c:dateAx>
        <c:axId val="3835002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502976"/>
        <c:crossesAt val="-50"/>
        <c:auto val="1"/>
        <c:lblOffset val="100"/>
        <c:baseTimeUnit val="days"/>
        <c:majorUnit val="12"/>
        <c:majorTimeUnit val="days"/>
      </c:dateAx>
      <c:valAx>
        <c:axId val="383502976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500288"/>
        <c:crosses val="autoZero"/>
        <c:crossBetween val="midCat"/>
        <c:majorUnit val="1.2"/>
        <c:minorUnit val="0.5"/>
      </c:valAx>
      <c:dateAx>
        <c:axId val="3837795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3781120"/>
        <c:crosses val="autoZero"/>
        <c:auto val="1"/>
        <c:lblOffset val="100"/>
        <c:baseTimeUnit val="days"/>
      </c:dateAx>
      <c:valAx>
        <c:axId val="383781120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779584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9+202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'zk79+202'!$U$4:$W$4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'zk79+202'!$S$6:$S$45</c:f>
              <c:numCache>
                <c:formatCode>m"月"d"日";@</c:formatCode>
                <c:ptCount val="40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'zk79+202'!$V$6:$V$45</c:f>
              <c:numCache>
                <c:formatCode>0.00_ </c:formatCode>
                <c:ptCount val="40"/>
                <c:pt idx="0">
                  <c:v>0</c:v>
                </c:pt>
                <c:pt idx="1">
                  <c:v>0.59999999999860198</c:v>
                </c:pt>
                <c:pt idx="2">
                  <c:v>-0.70000000000014495</c:v>
                </c:pt>
                <c:pt idx="3">
                  <c:v>-0.40000000000084401</c:v>
                </c:pt>
                <c:pt idx="4">
                  <c:v>-0.60000000000037801</c:v>
                </c:pt>
                <c:pt idx="5">
                  <c:v>-0.799999999999912</c:v>
                </c:pt>
                <c:pt idx="6">
                  <c:v>-0.70000000000014495</c:v>
                </c:pt>
                <c:pt idx="7">
                  <c:v>-1.20000000000076</c:v>
                </c:pt>
                <c:pt idx="8">
                  <c:v>-1.4000000000002899</c:v>
                </c:pt>
                <c:pt idx="9">
                  <c:v>-0.70000000000014495</c:v>
                </c:pt>
                <c:pt idx="10">
                  <c:v>-1.80000000000113</c:v>
                </c:pt>
                <c:pt idx="11">
                  <c:v>-2.0000000000006701</c:v>
                </c:pt>
                <c:pt idx="12">
                  <c:v>-1.20000000000076</c:v>
                </c:pt>
                <c:pt idx="13">
                  <c:v>-2.3999999999997401</c:v>
                </c:pt>
                <c:pt idx="14">
                  <c:v>-2.6000000000010499</c:v>
                </c:pt>
                <c:pt idx="15">
                  <c:v>-1.70000000000137</c:v>
                </c:pt>
                <c:pt idx="16">
                  <c:v>-3.0000000000001101</c:v>
                </c:pt>
                <c:pt idx="17">
                  <c:v>-3.2000000000014199</c:v>
                </c:pt>
                <c:pt idx="18">
                  <c:v>-3.40000000000096</c:v>
                </c:pt>
                <c:pt idx="19">
                  <c:v>-2.7000000000008102</c:v>
                </c:pt>
                <c:pt idx="20">
                  <c:v>-2.6000000000010499</c:v>
                </c:pt>
                <c:pt idx="21">
                  <c:v>-2.8000000000005798</c:v>
                </c:pt>
                <c:pt idx="22">
                  <c:v>-3.0000000000001101</c:v>
                </c:pt>
                <c:pt idx="23">
                  <c:v>-3.2000000000014199</c:v>
                </c:pt>
                <c:pt idx="24">
                  <c:v>-3.0999999999998802</c:v>
                </c:pt>
                <c:pt idx="25">
                  <c:v>-3.0000000000001101</c:v>
                </c:pt>
                <c:pt idx="27">
                  <c:v>9.99999999997669E-2</c:v>
                </c:pt>
              </c:numCache>
            </c:numRef>
          </c:val>
        </c:ser>
        <c:ser>
          <c:idx val="1"/>
          <c:order val="1"/>
          <c:tx>
            <c:strRef>
              <c:f>'zk79+202'!$Y$4:$AA$4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'zk79+202'!$S$6:$S$45</c:f>
              <c:numCache>
                <c:formatCode>m"月"d"日";@</c:formatCode>
                <c:ptCount val="40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'zk79+202'!$Z$6:$Z$43</c:f>
              <c:numCache>
                <c:formatCode>0.00_ </c:formatCode>
                <c:ptCount val="38"/>
                <c:pt idx="0">
                  <c:v>0</c:v>
                </c:pt>
                <c:pt idx="1">
                  <c:v>0.60000000000215403</c:v>
                </c:pt>
                <c:pt idx="2">
                  <c:v>2.0000000000024398</c:v>
                </c:pt>
                <c:pt idx="3">
                  <c:v>0.60000000000215403</c:v>
                </c:pt>
                <c:pt idx="4">
                  <c:v>1.59999999999982</c:v>
                </c:pt>
                <c:pt idx="5">
                  <c:v>1.0000000000012199</c:v>
                </c:pt>
                <c:pt idx="6">
                  <c:v>0.80000000000168803</c:v>
                </c:pt>
                <c:pt idx="7">
                  <c:v>0.60000000000215403</c:v>
                </c:pt>
                <c:pt idx="8">
                  <c:v>0.60000000000215403</c:v>
                </c:pt>
                <c:pt idx="9">
                  <c:v>0.19999999999953399</c:v>
                </c:pt>
                <c:pt idx="10">
                  <c:v>0</c:v>
                </c:pt>
                <c:pt idx="11">
                  <c:v>9.99999999997669E-2</c:v>
                </c:pt>
                <c:pt idx="12">
                  <c:v>-0.39999999999906799</c:v>
                </c:pt>
                <c:pt idx="13">
                  <c:v>-0.59999999999860198</c:v>
                </c:pt>
                <c:pt idx="14">
                  <c:v>-0.99999999999766898</c:v>
                </c:pt>
                <c:pt idx="15">
                  <c:v>-0.99999999999766898</c:v>
                </c:pt>
                <c:pt idx="16">
                  <c:v>-0.19999999999953399</c:v>
                </c:pt>
                <c:pt idx="17">
                  <c:v>-1.4000000000002899</c:v>
                </c:pt>
                <c:pt idx="18">
                  <c:v>-1.59999999999982</c:v>
                </c:pt>
                <c:pt idx="19">
                  <c:v>-1.8999999999991199</c:v>
                </c:pt>
                <c:pt idx="20">
                  <c:v>-1.99999999999889</c:v>
                </c:pt>
                <c:pt idx="21">
                  <c:v>-2.0999999999986598</c:v>
                </c:pt>
                <c:pt idx="22">
                  <c:v>-2.1999999999984299</c:v>
                </c:pt>
                <c:pt idx="23">
                  <c:v>-2.2999999999981902</c:v>
                </c:pt>
                <c:pt idx="24">
                  <c:v>-2.5999999999974901</c:v>
                </c:pt>
                <c:pt idx="25">
                  <c:v>-2.4999999999977298</c:v>
                </c:pt>
                <c:pt idx="27">
                  <c:v>-2.7000000000008102</c:v>
                </c:pt>
              </c:numCache>
            </c:numRef>
          </c:val>
        </c:ser>
        <c:ser>
          <c:idx val="2"/>
          <c:order val="2"/>
          <c:tx>
            <c:strRef>
              <c:f>'zk79+202'!$AC$4:$AE$4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'zk79+202'!$S$6:$S$47</c:f>
              <c:numCache>
                <c:formatCode>m"月"d"日";@</c:formatCode>
                <c:ptCount val="42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0.29999999999930099</c:v>
                </c:pt>
                <c:pt idx="3">
                  <c:v>0.60000000000037801</c:v>
                </c:pt>
                <c:pt idx="4">
                  <c:v>-0.50000000000061096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-0.999999999999446</c:v>
                </c:pt>
                <c:pt idx="8">
                  <c:v>-0.89999999999967895</c:v>
                </c:pt>
                <c:pt idx="9">
                  <c:v>-1.4000000000002899</c:v>
                </c:pt>
                <c:pt idx="10">
                  <c:v>-1.59999999999982</c:v>
                </c:pt>
                <c:pt idx="11">
                  <c:v>-1.7999999999993599</c:v>
                </c:pt>
                <c:pt idx="12">
                  <c:v>-1.4000000000002899</c:v>
                </c:pt>
                <c:pt idx="13">
                  <c:v>-2.2000000000002</c:v>
                </c:pt>
                <c:pt idx="14">
                  <c:v>-2.3999999999997401</c:v>
                </c:pt>
                <c:pt idx="15">
                  <c:v>-1.6999999999995901</c:v>
                </c:pt>
                <c:pt idx="16">
                  <c:v>-2.7000000000008102</c:v>
                </c:pt>
                <c:pt idx="17">
                  <c:v>-2.99999999998946</c:v>
                </c:pt>
                <c:pt idx="18">
                  <c:v>-3.1999999999907698</c:v>
                </c:pt>
                <c:pt idx="19">
                  <c:v>-3.3999999999991801</c:v>
                </c:pt>
                <c:pt idx="20">
                  <c:v>-3.2999999999994101</c:v>
                </c:pt>
                <c:pt idx="21">
                  <c:v>-3.0999999999998802</c:v>
                </c:pt>
                <c:pt idx="22">
                  <c:v>-2.9000000000003499</c:v>
                </c:pt>
                <c:pt idx="23">
                  <c:v>-2.7000000000008102</c:v>
                </c:pt>
                <c:pt idx="24">
                  <c:v>-2.9000000000003499</c:v>
                </c:pt>
                <c:pt idx="25">
                  <c:v>-2.7000000000008102</c:v>
                </c:pt>
              </c:numCache>
            </c:numRef>
          </c:val>
        </c:ser>
        <c:dLbls/>
        <c:marker val="1"/>
        <c:axId val="383999360"/>
        <c:axId val="384010496"/>
      </c:lineChart>
      <c:lineChart>
        <c:grouping val="standard"/>
        <c:ser>
          <c:idx val="3"/>
          <c:order val="3"/>
          <c:tx>
            <c:strRef>
              <c:f>'zk79+202'!$AG$3:$AG$5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'zk79+202'!$S$6:$S$47</c:f>
              <c:numCache>
                <c:formatCode>m"月"d"日";@</c:formatCode>
                <c:ptCount val="42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'zk79+202'!$AG$6:$AG$41</c:f>
              <c:numCache>
                <c:formatCode>0.0_ </c:formatCode>
                <c:ptCount val="36"/>
                <c:pt idx="0">
                  <c:v>4</c:v>
                </c:pt>
                <c:pt idx="1">
                  <c:v>7.6000000000058199</c:v>
                </c:pt>
                <c:pt idx="2">
                  <c:v>11.1999999999971</c:v>
                </c:pt>
                <c:pt idx="3">
                  <c:v>14.8000000000029</c:v>
                </c:pt>
                <c:pt idx="4">
                  <c:v>18.399999999994201</c:v>
                </c:pt>
                <c:pt idx="5">
                  <c:v>22</c:v>
                </c:pt>
                <c:pt idx="6">
                  <c:v>25.600000000005799</c:v>
                </c:pt>
                <c:pt idx="7">
                  <c:v>29.1999999999971</c:v>
                </c:pt>
                <c:pt idx="8">
                  <c:v>32.800000000002903</c:v>
                </c:pt>
                <c:pt idx="9">
                  <c:v>36.400000000096</c:v>
                </c:pt>
                <c:pt idx="10">
                  <c:v>40.000000000101899</c:v>
                </c:pt>
                <c:pt idx="11">
                  <c:v>43.600000000093097</c:v>
                </c:pt>
                <c:pt idx="12">
                  <c:v>47.200000000099003</c:v>
                </c:pt>
                <c:pt idx="13">
                  <c:v>50.800000000104802</c:v>
                </c:pt>
                <c:pt idx="14">
                  <c:v>54.400000000096</c:v>
                </c:pt>
                <c:pt idx="15">
                  <c:v>58.000000000101899</c:v>
                </c:pt>
                <c:pt idx="16">
                  <c:v>61.600000000093097</c:v>
                </c:pt>
                <c:pt idx="17">
                  <c:v>65.200000000098996</c:v>
                </c:pt>
                <c:pt idx="18">
                  <c:v>68.800000000104802</c:v>
                </c:pt>
                <c:pt idx="19">
                  <c:v>72.400000000096</c:v>
                </c:pt>
                <c:pt idx="20">
                  <c:v>76.000000000101906</c:v>
                </c:pt>
                <c:pt idx="21">
                  <c:v>79.600000000093104</c:v>
                </c:pt>
                <c:pt idx="22">
                  <c:v>83.200000000098996</c:v>
                </c:pt>
                <c:pt idx="23">
                  <c:v>107</c:v>
                </c:pt>
                <c:pt idx="24">
                  <c:v>130.79999999990099</c:v>
                </c:pt>
                <c:pt idx="25">
                  <c:v>154.59999999980201</c:v>
                </c:pt>
              </c:numCache>
            </c:numRef>
          </c:val>
        </c:ser>
        <c:dLbls/>
        <c:marker val="1"/>
        <c:axId val="384016768"/>
        <c:axId val="384018304"/>
      </c:lineChart>
      <c:dateAx>
        <c:axId val="3839993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010496"/>
        <c:crossesAt val="-50"/>
        <c:auto val="1"/>
        <c:lblOffset val="100"/>
        <c:baseTimeUnit val="days"/>
        <c:majorUnit val="8"/>
        <c:majorTimeUnit val="days"/>
      </c:dateAx>
      <c:valAx>
        <c:axId val="38401049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999360"/>
        <c:crosses val="autoZero"/>
        <c:crossBetween val="midCat"/>
        <c:majorUnit val="2"/>
        <c:minorUnit val="0.1"/>
      </c:valAx>
      <c:dateAx>
        <c:axId val="3840167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018304"/>
        <c:crosses val="autoZero"/>
        <c:auto val="1"/>
        <c:lblOffset val="100"/>
        <c:baseTimeUnit val="days"/>
      </c:dateAx>
      <c:valAx>
        <c:axId val="384018304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016768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202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'zk79+202'!$C$4:$G$4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'zk79+202'!$A$6:$A$38</c:f>
              <c:numCache>
                <c:formatCode>m"月"d"日";@</c:formatCode>
                <c:ptCount val="33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0.60000000007676102</c:v>
                </c:pt>
                <c:pt idx="3">
                  <c:v>-1.00000000009004</c:v>
                </c:pt>
                <c:pt idx="4">
                  <c:v>-0.199999999949796</c:v>
                </c:pt>
                <c:pt idx="5">
                  <c:v>0.49999999998817701</c:v>
                </c:pt>
                <c:pt idx="6">
                  <c:v>-0.90000000000145497</c:v>
                </c:pt>
                <c:pt idx="7">
                  <c:v>-0.199999999949796</c:v>
                </c:pt>
                <c:pt idx="8">
                  <c:v>0.39999999989959201</c:v>
                </c:pt>
                <c:pt idx="9">
                  <c:v>-0.79999999991286996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-0.199999999949796</c:v>
                </c:pt>
                <c:pt idx="15">
                  <c:v>-0.25000000005093198</c:v>
                </c:pt>
                <c:pt idx="16">
                  <c:v>5.0000000044292399E-2</c:v>
                </c:pt>
                <c:pt idx="17">
                  <c:v>-0.100000000031741</c:v>
                </c:pt>
                <c:pt idx="18">
                  <c:v>0.55000000003246896</c:v>
                </c:pt>
                <c:pt idx="19">
                  <c:v>4.9999999987449001E-2</c:v>
                </c:pt>
                <c:pt idx="20">
                  <c:v>-0.55000000003246896</c:v>
                </c:pt>
                <c:pt idx="21">
                  <c:v>0.15000000001919001</c:v>
                </c:pt>
                <c:pt idx="22">
                  <c:v>4.2857142862625798E-2</c:v>
                </c:pt>
                <c:pt idx="23">
                  <c:v>4.2857142846384803E-2</c:v>
                </c:pt>
                <c:pt idx="24">
                  <c:v>5.5555555604769298E-3</c:v>
                </c:pt>
                <c:pt idx="25">
                  <c:v>-9.5238095268325093E-3</c:v>
                </c:pt>
                <c:pt idx="27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'zk79+202'!$H$4:$L$4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'zk79+202'!$A$6:$A$38</c:f>
              <c:numCache>
                <c:formatCode>m"月"d"日";@</c:formatCode>
                <c:ptCount val="33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'zk79+202'!$L$6:$L$35</c:f>
              <c:numCache>
                <c:formatCode>0.00_ </c:formatCode>
                <c:ptCount val="30"/>
                <c:pt idx="0">
                  <c:v>0</c:v>
                </c:pt>
                <c:pt idx="1">
                  <c:v>0.199999999949796</c:v>
                </c:pt>
                <c:pt idx="2">
                  <c:v>-0.199999999949796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-0.20000000006348301</c:v>
                </c:pt>
                <c:pt idx="10">
                  <c:v>-0.199999999949796</c:v>
                </c:pt>
                <c:pt idx="11">
                  <c:v>0.20000000006348301</c:v>
                </c:pt>
                <c:pt idx="12">
                  <c:v>-0.60000000007676102</c:v>
                </c:pt>
                <c:pt idx="13">
                  <c:v>-0.199999999949796</c:v>
                </c:pt>
                <c:pt idx="14">
                  <c:v>0.199999999949796</c:v>
                </c:pt>
                <c:pt idx="15">
                  <c:v>-0.29999999998153698</c:v>
                </c:pt>
                <c:pt idx="16">
                  <c:v>-0.100000000031741</c:v>
                </c:pt>
                <c:pt idx="17">
                  <c:v>5.0000000044292399E-2</c:v>
                </c:pt>
                <c:pt idx="18">
                  <c:v>-0.25000000005093198</c:v>
                </c:pt>
                <c:pt idx="19">
                  <c:v>-9.9999999974897905E-2</c:v>
                </c:pt>
                <c:pt idx="20">
                  <c:v>0.15000000001919001</c:v>
                </c:pt>
                <c:pt idx="21">
                  <c:v>9.9999999974897905E-2</c:v>
                </c:pt>
                <c:pt idx="22">
                  <c:v>2.85714285804975E-2</c:v>
                </c:pt>
                <c:pt idx="23">
                  <c:v>2.8571428564256599E-2</c:v>
                </c:pt>
                <c:pt idx="24">
                  <c:v>-1.1111111108322001E-2</c:v>
                </c:pt>
                <c:pt idx="25">
                  <c:v>-9.5238095268325093E-3</c:v>
                </c:pt>
              </c:numCache>
            </c:numRef>
          </c:val>
        </c:ser>
        <c:ser>
          <c:idx val="2"/>
          <c:order val="2"/>
          <c:tx>
            <c:strRef>
              <c:f>'zk79+202'!$M$4:$Q$4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'zk79+202'!$A$6:$A$38</c:f>
              <c:numCache>
                <c:formatCode>m"月"d"日";@</c:formatCode>
                <c:ptCount val="33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'zk79+202'!$Q$6:$Q$31</c:f>
              <c:numCache>
                <c:formatCode>0.00_ </c:formatCode>
                <c:ptCount val="26"/>
                <c:pt idx="0">
                  <c:v>0</c:v>
                </c:pt>
                <c:pt idx="1">
                  <c:v>-0.79999999991286996</c:v>
                </c:pt>
                <c:pt idx="2">
                  <c:v>-0.30000000003838101</c:v>
                </c:pt>
                <c:pt idx="3">
                  <c:v>-0.20000000006348301</c:v>
                </c:pt>
                <c:pt idx="4">
                  <c:v>0.70000000005165897</c:v>
                </c:pt>
                <c:pt idx="5">
                  <c:v>-0.199999999949796</c:v>
                </c:pt>
                <c:pt idx="6">
                  <c:v>-0.60000000007676102</c:v>
                </c:pt>
                <c:pt idx="7">
                  <c:v>0.20000000006348301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0.60000000007676102</c:v>
                </c:pt>
                <c:pt idx="14">
                  <c:v>-0.99999999997635303</c:v>
                </c:pt>
                <c:pt idx="15">
                  <c:v>-0.100000000031741</c:v>
                </c:pt>
                <c:pt idx="16">
                  <c:v>0.35000000002582998</c:v>
                </c:pt>
                <c:pt idx="17">
                  <c:v>-0.55000000003246896</c:v>
                </c:pt>
                <c:pt idx="18">
                  <c:v>-9.9999999974897905E-2</c:v>
                </c:pt>
                <c:pt idx="19">
                  <c:v>0</c:v>
                </c:pt>
                <c:pt idx="20">
                  <c:v>-0.20000000000663901</c:v>
                </c:pt>
                <c:pt idx="21">
                  <c:v>0.34999999996898601</c:v>
                </c:pt>
                <c:pt idx="22">
                  <c:v>0.10000000000738</c:v>
                </c:pt>
                <c:pt idx="23">
                  <c:v>0.10000000000738</c:v>
                </c:pt>
                <c:pt idx="24">
                  <c:v>-5.0000000000080799E-2</c:v>
                </c:pt>
                <c:pt idx="25">
                  <c:v>-9.5238095268325093E-3</c:v>
                </c:pt>
              </c:numCache>
            </c:numRef>
          </c:val>
        </c:ser>
        <c:dLbls/>
        <c:marker val="1"/>
        <c:axId val="383893888"/>
        <c:axId val="383895808"/>
      </c:lineChart>
      <c:dateAx>
        <c:axId val="3838938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895808"/>
        <c:crossesAt val="-50"/>
        <c:auto val="1"/>
        <c:lblOffset val="100"/>
        <c:baseTimeUnit val="days"/>
        <c:majorUnit val="8"/>
        <c:majorTimeUnit val="days"/>
      </c:dateAx>
      <c:valAx>
        <c:axId val="38389580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8938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9+202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'zk79+202'!$U$4:$W$4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'zk79+202'!$S$6:$S$41</c:f>
              <c:numCache>
                <c:formatCode>m"月"d"日";@</c:formatCode>
                <c:ptCount val="36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'zk79+202'!$W$6:$W$41</c:f>
              <c:numCache>
                <c:formatCode>0.00_ </c:formatCode>
                <c:ptCount val="36"/>
                <c:pt idx="0">
                  <c:v>0</c:v>
                </c:pt>
                <c:pt idx="1">
                  <c:v>-0.59999999999860198</c:v>
                </c:pt>
                <c:pt idx="2">
                  <c:v>1.2999999999987499</c:v>
                </c:pt>
                <c:pt idx="3">
                  <c:v>-0.29999999999930099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0.50000000000061096</c:v>
                </c:pt>
                <c:pt idx="8">
                  <c:v>0.19999999999953399</c:v>
                </c:pt>
                <c:pt idx="9">
                  <c:v>-0.70000000000014495</c:v>
                </c:pt>
                <c:pt idx="10">
                  <c:v>1.10000000000099</c:v>
                </c:pt>
                <c:pt idx="11">
                  <c:v>0.19999999999953399</c:v>
                </c:pt>
                <c:pt idx="12">
                  <c:v>-0.799999999999912</c:v>
                </c:pt>
                <c:pt idx="13">
                  <c:v>1.1999999999989801</c:v>
                </c:pt>
                <c:pt idx="14">
                  <c:v>0.20000000000130999</c:v>
                </c:pt>
                <c:pt idx="15">
                  <c:v>-0.44999999999983897</c:v>
                </c:pt>
                <c:pt idx="16">
                  <c:v>0.64999999999937297</c:v>
                </c:pt>
                <c:pt idx="17">
                  <c:v>0.100000000000655</c:v>
                </c:pt>
                <c:pt idx="18">
                  <c:v>9.99999999997669E-2</c:v>
                </c:pt>
                <c:pt idx="19">
                  <c:v>-0.35000000000007198</c:v>
                </c:pt>
                <c:pt idx="20">
                  <c:v>-4.9999999999883499E-2</c:v>
                </c:pt>
                <c:pt idx="21">
                  <c:v>9.99999999997669E-2</c:v>
                </c:pt>
                <c:pt idx="22">
                  <c:v>2.8571428571361999E-2</c:v>
                </c:pt>
                <c:pt idx="23">
                  <c:v>2.8571428571615699E-2</c:v>
                </c:pt>
                <c:pt idx="24">
                  <c:v>-5.5555555556412901E-3</c:v>
                </c:pt>
                <c:pt idx="25">
                  <c:v>-4.7619047618936601E-3</c:v>
                </c:pt>
                <c:pt idx="27">
                  <c:v>0.19999999999953399</c:v>
                </c:pt>
              </c:numCache>
            </c:numRef>
          </c:val>
        </c:ser>
        <c:ser>
          <c:idx val="1"/>
          <c:order val="1"/>
          <c:tx>
            <c:strRef>
              <c:f>'zk79+202'!$Y$4:$AA$4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'zk79+202'!$S$6:$S$41</c:f>
              <c:numCache>
                <c:formatCode>m"月"d"日";@</c:formatCode>
                <c:ptCount val="36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'zk79+202'!$AA$6:$AA$43</c:f>
              <c:numCache>
                <c:formatCode>0.00_ </c:formatCode>
                <c:ptCount val="38"/>
                <c:pt idx="0">
                  <c:v>0</c:v>
                </c:pt>
                <c:pt idx="1">
                  <c:v>0.60000000000215403</c:v>
                </c:pt>
                <c:pt idx="2">
                  <c:v>1.4000000000002899</c:v>
                </c:pt>
                <c:pt idx="3">
                  <c:v>-1.4000000000002899</c:v>
                </c:pt>
                <c:pt idx="4">
                  <c:v>0.99999999999766898</c:v>
                </c:pt>
                <c:pt idx="5">
                  <c:v>-0.59999999999860198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0</c:v>
                </c:pt>
                <c:pt idx="9">
                  <c:v>-0.40000000000261998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-0.49999999999883499</c:v>
                </c:pt>
                <c:pt idx="13">
                  <c:v>-0.19999999999953399</c:v>
                </c:pt>
                <c:pt idx="14">
                  <c:v>-0.39999999999906799</c:v>
                </c:pt>
                <c:pt idx="15">
                  <c:v>0</c:v>
                </c:pt>
                <c:pt idx="16">
                  <c:v>0.39999999999906799</c:v>
                </c:pt>
                <c:pt idx="17">
                  <c:v>-0.60000000000037801</c:v>
                </c:pt>
                <c:pt idx="18">
                  <c:v>-9.99999999997669E-2</c:v>
                </c:pt>
                <c:pt idx="19">
                  <c:v>-0.14999999999965</c:v>
                </c:pt>
                <c:pt idx="20">
                  <c:v>-4.9999999999883499E-2</c:v>
                </c:pt>
                <c:pt idx="21">
                  <c:v>-4.9999999999883499E-2</c:v>
                </c:pt>
                <c:pt idx="22">
                  <c:v>-1.4285714285680999E-2</c:v>
                </c:pt>
                <c:pt idx="23">
                  <c:v>-1.4285714285680999E-2</c:v>
                </c:pt>
                <c:pt idx="24">
                  <c:v>-1.6666666666627802E-2</c:v>
                </c:pt>
                <c:pt idx="25">
                  <c:v>4.7619047618936601E-3</c:v>
                </c:pt>
                <c:pt idx="27">
                  <c:v>6.66666666665113E-3</c:v>
                </c:pt>
              </c:numCache>
            </c:numRef>
          </c:val>
        </c:ser>
        <c:ser>
          <c:idx val="2"/>
          <c:order val="2"/>
          <c:tx>
            <c:strRef>
              <c:f>'zk79+202'!$AC$4:$AE$4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'zk79+202'!$S$6:$S$41</c:f>
              <c:numCache>
                <c:formatCode>m"月"d"日";@</c:formatCode>
                <c:ptCount val="36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0.49999999999883499</c:v>
                </c:pt>
                <c:pt idx="3">
                  <c:v>0.30000000000107702</c:v>
                </c:pt>
                <c:pt idx="4">
                  <c:v>-1.10000000000099</c:v>
                </c:pt>
                <c:pt idx="5">
                  <c:v>-9.99999999997669E-2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-0.50000000000061096</c:v>
                </c:pt>
                <c:pt idx="10">
                  <c:v>-0.19999999999953399</c:v>
                </c:pt>
                <c:pt idx="11">
                  <c:v>-0.19999999999953399</c:v>
                </c:pt>
                <c:pt idx="12">
                  <c:v>0.39999999999906799</c:v>
                </c:pt>
                <c:pt idx="13">
                  <c:v>-0.799999999999912</c:v>
                </c:pt>
                <c:pt idx="14">
                  <c:v>-0.19999999999953399</c:v>
                </c:pt>
                <c:pt idx="15">
                  <c:v>0.35000000000007198</c:v>
                </c:pt>
                <c:pt idx="16">
                  <c:v>-0.50000000000061096</c:v>
                </c:pt>
                <c:pt idx="17">
                  <c:v>-0.14999999999432101</c:v>
                </c:pt>
                <c:pt idx="18">
                  <c:v>-0.100000000000655</c:v>
                </c:pt>
                <c:pt idx="19">
                  <c:v>-0.100000000004208</c:v>
                </c:pt>
                <c:pt idx="20">
                  <c:v>4.9999999999883499E-2</c:v>
                </c:pt>
                <c:pt idx="21">
                  <c:v>9.99999999997669E-2</c:v>
                </c:pt>
                <c:pt idx="22">
                  <c:v>2.8571428571361999E-2</c:v>
                </c:pt>
                <c:pt idx="23">
                  <c:v>2.8571428571361999E-2</c:v>
                </c:pt>
                <c:pt idx="24">
                  <c:v>-1.11111111110852E-2</c:v>
                </c:pt>
                <c:pt idx="25">
                  <c:v>9.5238095237873306E-3</c:v>
                </c:pt>
              </c:numCache>
            </c:numRef>
          </c:val>
        </c:ser>
        <c:dLbls/>
        <c:marker val="1"/>
        <c:axId val="384148224"/>
        <c:axId val="384150528"/>
      </c:lineChart>
      <c:dateAx>
        <c:axId val="3841482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150528"/>
        <c:crossesAt val="-50"/>
        <c:auto val="1"/>
        <c:lblOffset val="100"/>
        <c:baseTimeUnit val="days"/>
        <c:majorUnit val="8"/>
        <c:majorTimeUnit val="days"/>
      </c:dateAx>
      <c:valAx>
        <c:axId val="38415052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14822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202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198798769785814"/>
          <c:y val="1.1487704164368001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'zk79+202'!$C$4:$G$4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'zk79+202'!$A$6:$A$44</c:f>
              <c:numCache>
                <c:formatCode>m"月"d"日";@</c:formatCode>
                <c:ptCount val="39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'zk79+202'!$F$6:$F$49</c:f>
              <c:numCache>
                <c:formatCode>0.00_ </c:formatCode>
                <c:ptCount val="44"/>
                <c:pt idx="0">
                  <c:v>0</c:v>
                </c:pt>
                <c:pt idx="1">
                  <c:v>-0.20000000006348301</c:v>
                </c:pt>
                <c:pt idx="2">
                  <c:v>0.40000000001327901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-0.30000000003838101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-1.00000000009004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-1.70000000002801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-3.30000000008113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-2.2999999999910901</c:v>
                </c:pt>
                <c:pt idx="19">
                  <c:v>-2.2000000000161899</c:v>
                </c:pt>
                <c:pt idx="20">
                  <c:v>-3.30000000008113</c:v>
                </c:pt>
                <c:pt idx="21">
                  <c:v>-3.0000000000427498</c:v>
                </c:pt>
                <c:pt idx="22">
                  <c:v>-2.70000000000437</c:v>
                </c:pt>
                <c:pt idx="23">
                  <c:v>-2.40000000007967</c:v>
                </c:pt>
                <c:pt idx="24">
                  <c:v>-2.2999999999910901</c:v>
                </c:pt>
                <c:pt idx="25">
                  <c:v>-2.5000000000545701</c:v>
                </c:pt>
                <c:pt idx="27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'zk79+202'!$H$4:$L$4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'zk79+202'!$A$6:$A$44</c:f>
              <c:numCache>
                <c:formatCode>m"月"d"日";@</c:formatCode>
                <c:ptCount val="39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'zk79+202'!$K$6:$K$40</c:f>
              <c:numCache>
                <c:formatCode>0.00_ </c:formatCode>
                <c:ptCount val="35"/>
                <c:pt idx="0">
                  <c:v>0</c:v>
                </c:pt>
                <c:pt idx="1">
                  <c:v>0.199999999949796</c:v>
                </c:pt>
                <c:pt idx="2">
                  <c:v>0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-0.40000000001327901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-1.30000000001473</c:v>
                </c:pt>
                <c:pt idx="9">
                  <c:v>-1.5000000000782201</c:v>
                </c:pt>
                <c:pt idx="10">
                  <c:v>-1.70000000002801</c:v>
                </c:pt>
                <c:pt idx="11">
                  <c:v>-1.4999999999645299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-2.1000000000412902</c:v>
                </c:pt>
                <c:pt idx="15">
                  <c:v>-2.70000000000437</c:v>
                </c:pt>
                <c:pt idx="16">
                  <c:v>-2.9000000000678501</c:v>
                </c:pt>
                <c:pt idx="17">
                  <c:v>-2.79999999997926</c:v>
                </c:pt>
                <c:pt idx="18">
                  <c:v>-3.30000000008113</c:v>
                </c:pt>
                <c:pt idx="19">
                  <c:v>-3.5000000000309202</c:v>
                </c:pt>
                <c:pt idx="20">
                  <c:v>-3.1999999999925399</c:v>
                </c:pt>
                <c:pt idx="21">
                  <c:v>-3.0000000000427498</c:v>
                </c:pt>
                <c:pt idx="22">
                  <c:v>-2.79999999997926</c:v>
                </c:pt>
                <c:pt idx="23">
                  <c:v>-2.6000000000294698</c:v>
                </c:pt>
                <c:pt idx="24">
                  <c:v>-2.79999999997926</c:v>
                </c:pt>
                <c:pt idx="25">
                  <c:v>-3.0000000000427498</c:v>
                </c:pt>
                <c:pt idx="27">
                  <c:v>-6.66666666878276E-3</c:v>
                </c:pt>
              </c:numCache>
            </c:numRef>
          </c:val>
        </c:ser>
        <c:ser>
          <c:idx val="2"/>
          <c:order val="2"/>
          <c:tx>
            <c:strRef>
              <c:f>'zk79+202'!$M$4:$Q$4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'zk79+202'!$A$6:$A$44</c:f>
              <c:numCache>
                <c:formatCode>m"月"d"日";@</c:formatCode>
                <c:ptCount val="39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'zk79+202'!$P$6:$P$48</c:f>
              <c:numCache>
                <c:formatCode>0.00_ </c:formatCode>
                <c:ptCount val="43"/>
                <c:pt idx="0">
                  <c:v>0</c:v>
                </c:pt>
                <c:pt idx="1">
                  <c:v>-0.79999999991286996</c:v>
                </c:pt>
                <c:pt idx="2">
                  <c:v>-1.09999999995125</c:v>
                </c:pt>
                <c:pt idx="3">
                  <c:v>-1.30000000001473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-1.39999999998963</c:v>
                </c:pt>
                <c:pt idx="7">
                  <c:v>-1.1999999999261499</c:v>
                </c:pt>
                <c:pt idx="8">
                  <c:v>-1.39999999998963</c:v>
                </c:pt>
                <c:pt idx="9">
                  <c:v>-1.5999999999394301</c:v>
                </c:pt>
                <c:pt idx="10">
                  <c:v>-1.4999999999645299</c:v>
                </c:pt>
                <c:pt idx="11">
                  <c:v>-1.9999999999527101</c:v>
                </c:pt>
                <c:pt idx="12">
                  <c:v>-2.2000000000161899</c:v>
                </c:pt>
                <c:pt idx="13">
                  <c:v>-1.5999999999394301</c:v>
                </c:pt>
                <c:pt idx="14">
                  <c:v>-2.5999999999157799</c:v>
                </c:pt>
                <c:pt idx="15">
                  <c:v>-2.79999999997926</c:v>
                </c:pt>
                <c:pt idx="16">
                  <c:v>-2.0999999999275998</c:v>
                </c:pt>
                <c:pt idx="17">
                  <c:v>-3.1999999999925399</c:v>
                </c:pt>
                <c:pt idx="18">
                  <c:v>-3.3999999999423398</c:v>
                </c:pt>
                <c:pt idx="19">
                  <c:v>-3.3999999999423398</c:v>
                </c:pt>
                <c:pt idx="20">
                  <c:v>-3.7999999999556202</c:v>
                </c:pt>
                <c:pt idx="21">
                  <c:v>-3.1000000000176402</c:v>
                </c:pt>
                <c:pt idx="22">
                  <c:v>-2.39999999996598</c:v>
                </c:pt>
                <c:pt idx="23">
                  <c:v>-1.69999999991433</c:v>
                </c:pt>
                <c:pt idx="24">
                  <c:v>-2.5999999999157799</c:v>
                </c:pt>
                <c:pt idx="25">
                  <c:v>-2.79999999997926</c:v>
                </c:pt>
              </c:numCache>
            </c:numRef>
          </c:val>
        </c:ser>
        <c:dLbls/>
        <c:marker val="1"/>
        <c:axId val="384177280"/>
        <c:axId val="384179584"/>
      </c:lineChart>
      <c:lineChart>
        <c:grouping val="standard"/>
        <c:ser>
          <c:idx val="3"/>
          <c:order val="3"/>
          <c:tx>
            <c:strRef>
              <c:f>'zk79+202'!$AG$3:$AG$5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'zk79+202'!$A$6:$A$44</c:f>
              <c:numCache>
                <c:formatCode>m"月"d"日";@</c:formatCode>
                <c:ptCount val="39"/>
                <c:pt idx="0">
                  <c:v>44521</c:v>
                </c:pt>
                <c:pt idx="1">
                  <c:v>44522</c:v>
                </c:pt>
                <c:pt idx="2">
                  <c:v>44523</c:v>
                </c:pt>
                <c:pt idx="3">
                  <c:v>44524</c:v>
                </c:pt>
                <c:pt idx="4">
                  <c:v>44525</c:v>
                </c:pt>
                <c:pt idx="5">
                  <c:v>44526</c:v>
                </c:pt>
                <c:pt idx="6">
                  <c:v>44527</c:v>
                </c:pt>
                <c:pt idx="7">
                  <c:v>44528</c:v>
                </c:pt>
                <c:pt idx="8">
                  <c:v>44529</c:v>
                </c:pt>
                <c:pt idx="9">
                  <c:v>44530</c:v>
                </c:pt>
                <c:pt idx="10">
                  <c:v>44531</c:v>
                </c:pt>
                <c:pt idx="11">
                  <c:v>44532</c:v>
                </c:pt>
                <c:pt idx="12">
                  <c:v>44533</c:v>
                </c:pt>
                <c:pt idx="13">
                  <c:v>44534</c:v>
                </c:pt>
                <c:pt idx="14">
                  <c:v>44535</c:v>
                </c:pt>
                <c:pt idx="15">
                  <c:v>44537</c:v>
                </c:pt>
                <c:pt idx="16">
                  <c:v>44539</c:v>
                </c:pt>
                <c:pt idx="17">
                  <c:v>44541</c:v>
                </c:pt>
                <c:pt idx="18">
                  <c:v>44543</c:v>
                </c:pt>
                <c:pt idx="19">
                  <c:v>44545</c:v>
                </c:pt>
                <c:pt idx="20">
                  <c:v>44547</c:v>
                </c:pt>
                <c:pt idx="21">
                  <c:v>44549</c:v>
                </c:pt>
                <c:pt idx="22">
                  <c:v>44556</c:v>
                </c:pt>
                <c:pt idx="23">
                  <c:v>44563</c:v>
                </c:pt>
                <c:pt idx="24">
                  <c:v>44581</c:v>
                </c:pt>
                <c:pt idx="25">
                  <c:v>44602</c:v>
                </c:pt>
              </c:numCache>
            </c:numRef>
          </c:cat>
          <c:val>
            <c:numRef>
              <c:f>'zk79+202'!$AG$6:$AG$41</c:f>
              <c:numCache>
                <c:formatCode>0.0_ </c:formatCode>
                <c:ptCount val="36"/>
                <c:pt idx="0">
                  <c:v>4</c:v>
                </c:pt>
                <c:pt idx="1">
                  <c:v>7.6000000000058199</c:v>
                </c:pt>
                <c:pt idx="2">
                  <c:v>11.1999999999971</c:v>
                </c:pt>
                <c:pt idx="3">
                  <c:v>14.8000000000029</c:v>
                </c:pt>
                <c:pt idx="4">
                  <c:v>18.399999999994201</c:v>
                </c:pt>
                <c:pt idx="5">
                  <c:v>22</c:v>
                </c:pt>
                <c:pt idx="6">
                  <c:v>25.600000000005799</c:v>
                </c:pt>
                <c:pt idx="7">
                  <c:v>29.1999999999971</c:v>
                </c:pt>
                <c:pt idx="8">
                  <c:v>32.800000000002903</c:v>
                </c:pt>
                <c:pt idx="9">
                  <c:v>36.400000000096</c:v>
                </c:pt>
                <c:pt idx="10">
                  <c:v>40.000000000101899</c:v>
                </c:pt>
                <c:pt idx="11">
                  <c:v>43.600000000093097</c:v>
                </c:pt>
                <c:pt idx="12">
                  <c:v>47.200000000099003</c:v>
                </c:pt>
                <c:pt idx="13">
                  <c:v>50.800000000104802</c:v>
                </c:pt>
                <c:pt idx="14">
                  <c:v>54.400000000096</c:v>
                </c:pt>
                <c:pt idx="15">
                  <c:v>58.000000000101899</c:v>
                </c:pt>
                <c:pt idx="16">
                  <c:v>61.600000000093097</c:v>
                </c:pt>
                <c:pt idx="17">
                  <c:v>65.200000000098996</c:v>
                </c:pt>
                <c:pt idx="18">
                  <c:v>68.800000000104802</c:v>
                </c:pt>
                <c:pt idx="19">
                  <c:v>72.400000000096</c:v>
                </c:pt>
                <c:pt idx="20">
                  <c:v>76.000000000101906</c:v>
                </c:pt>
                <c:pt idx="21">
                  <c:v>79.600000000093104</c:v>
                </c:pt>
                <c:pt idx="22">
                  <c:v>83.200000000098996</c:v>
                </c:pt>
                <c:pt idx="23">
                  <c:v>107</c:v>
                </c:pt>
                <c:pt idx="24">
                  <c:v>130.79999999990099</c:v>
                </c:pt>
                <c:pt idx="25">
                  <c:v>154.59999999980201</c:v>
                </c:pt>
              </c:numCache>
            </c:numRef>
          </c:val>
        </c:ser>
        <c:dLbls/>
        <c:marker val="1"/>
        <c:axId val="384181760"/>
        <c:axId val="384183296"/>
      </c:lineChart>
      <c:dateAx>
        <c:axId val="3841772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179584"/>
        <c:crossesAt val="-50"/>
        <c:auto val="1"/>
        <c:lblOffset val="100"/>
        <c:baseTimeUnit val="days"/>
        <c:majorUnit val="8"/>
        <c:majorTimeUnit val="days"/>
      </c:dateAx>
      <c:valAx>
        <c:axId val="384179584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177280"/>
        <c:crosses val="autoZero"/>
        <c:crossBetween val="midCat"/>
        <c:majorUnit val="1"/>
        <c:minorUnit val="0.5"/>
      </c:valAx>
      <c:dateAx>
        <c:axId val="38418176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183296"/>
        <c:crosses val="autoZero"/>
        <c:auto val="1"/>
        <c:lblOffset val="100"/>
        <c:baseTimeUnit val="days"/>
      </c:dateAx>
      <c:valAx>
        <c:axId val="384183296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181760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9+215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'zk79+215'!$U$4:$W$4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'zk79+215'!$S$6:$S$43</c:f>
              <c:numCache>
                <c:formatCode>m"月"d"日";@</c:formatCode>
                <c:ptCount val="38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'zk79+215'!$V$6:$V$43</c:f>
              <c:numCache>
                <c:formatCode>0.00_ </c:formatCode>
                <c:ptCount val="38"/>
                <c:pt idx="0">
                  <c:v>0</c:v>
                </c:pt>
                <c:pt idx="1">
                  <c:v>-0.19999999999953399</c:v>
                </c:pt>
                <c:pt idx="2">
                  <c:v>-0.60000000000037801</c:v>
                </c:pt>
                <c:pt idx="3">
                  <c:v>9.99999999997669E-2</c:v>
                </c:pt>
                <c:pt idx="4">
                  <c:v>-0.29999999999930099</c:v>
                </c:pt>
                <c:pt idx="5">
                  <c:v>-0.50000000000061096</c:v>
                </c:pt>
                <c:pt idx="6">
                  <c:v>-0.70000000000014495</c:v>
                </c:pt>
                <c:pt idx="7">
                  <c:v>-0.60000000000037801</c:v>
                </c:pt>
                <c:pt idx="8">
                  <c:v>-1.0999999999992101</c:v>
                </c:pt>
                <c:pt idx="9">
                  <c:v>-1.3000000000005201</c:v>
                </c:pt>
                <c:pt idx="10">
                  <c:v>-0.999999999999446</c:v>
                </c:pt>
                <c:pt idx="11">
                  <c:v>-1.6999999999995901</c:v>
                </c:pt>
                <c:pt idx="12">
                  <c:v>-1.9000000000009001</c:v>
                </c:pt>
                <c:pt idx="13">
                  <c:v>-2.2999999999999701</c:v>
                </c:pt>
                <c:pt idx="14">
                  <c:v>-2.2000000000002</c:v>
                </c:pt>
                <c:pt idx="15">
                  <c:v>-2.4999999999995</c:v>
                </c:pt>
                <c:pt idx="16">
                  <c:v>-2.59999999999927</c:v>
                </c:pt>
                <c:pt idx="17">
                  <c:v>-2.3999999999997401</c:v>
                </c:pt>
                <c:pt idx="18">
                  <c:v>-2.4999999999995</c:v>
                </c:pt>
                <c:pt idx="19">
                  <c:v>-2.2999999999999701</c:v>
                </c:pt>
                <c:pt idx="20">
                  <c:v>-2.59999999999927</c:v>
                </c:pt>
                <c:pt idx="21">
                  <c:v>-2.8000000000005798</c:v>
                </c:pt>
                <c:pt idx="22">
                  <c:v>-2.7000000000008102</c:v>
                </c:pt>
                <c:pt idx="23">
                  <c:v>-2.59999999999927</c:v>
                </c:pt>
                <c:pt idx="24">
                  <c:v>-2.8000000000005798</c:v>
                </c:pt>
                <c:pt idx="26">
                  <c:v>0.19999999999953399</c:v>
                </c:pt>
              </c:numCache>
            </c:numRef>
          </c:val>
        </c:ser>
        <c:ser>
          <c:idx val="1"/>
          <c:order val="1"/>
          <c:tx>
            <c:strRef>
              <c:f>'zk79+215'!$Y$4:$AA$4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'zk79+215'!$S$6:$S$44</c:f>
              <c:numCache>
                <c:formatCode>m"月"d"日";@</c:formatCode>
                <c:ptCount val="39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'zk79+215'!$Z$6:$Z$43</c:f>
              <c:numCache>
                <c:formatCode>0.00_ </c:formatCode>
                <c:ptCount val="38"/>
                <c:pt idx="0">
                  <c:v>0</c:v>
                </c:pt>
                <c:pt idx="1">
                  <c:v>-0.19999999999953399</c:v>
                </c:pt>
                <c:pt idx="2">
                  <c:v>0.79999999999813598</c:v>
                </c:pt>
                <c:pt idx="3">
                  <c:v>-0.60000000000215403</c:v>
                </c:pt>
                <c:pt idx="4">
                  <c:v>-0.80000000000168803</c:v>
                </c:pt>
                <c:pt idx="5">
                  <c:v>0.59999999999860198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-1.90000000000268</c:v>
                </c:pt>
                <c:pt idx="9">
                  <c:v>-1.7999999999993599</c:v>
                </c:pt>
                <c:pt idx="10">
                  <c:v>-2.0000000000024398</c:v>
                </c:pt>
                <c:pt idx="11">
                  <c:v>-1.90000000000268</c:v>
                </c:pt>
                <c:pt idx="12">
                  <c:v>-2.4000000000015098</c:v>
                </c:pt>
                <c:pt idx="13">
                  <c:v>-2.6000000000010499</c:v>
                </c:pt>
                <c:pt idx="14">
                  <c:v>-2.4000000000015098</c:v>
                </c:pt>
                <c:pt idx="15">
                  <c:v>-3.0000000000001101</c:v>
                </c:pt>
                <c:pt idx="16">
                  <c:v>-2.7000000000008102</c:v>
                </c:pt>
                <c:pt idx="17">
                  <c:v>-2.6000000000010499</c:v>
                </c:pt>
                <c:pt idx="18">
                  <c:v>-3.1999999999996498</c:v>
                </c:pt>
                <c:pt idx="19">
                  <c:v>-3.0000000000001101</c:v>
                </c:pt>
                <c:pt idx="20">
                  <c:v>-3.4000000000027302</c:v>
                </c:pt>
                <c:pt idx="21">
                  <c:v>-3.6000000000022698</c:v>
                </c:pt>
                <c:pt idx="22">
                  <c:v>-3.2999999999994101</c:v>
                </c:pt>
                <c:pt idx="23">
                  <c:v>-3.7000000000020301</c:v>
                </c:pt>
                <c:pt idx="24">
                  <c:v>-3.5000000000024998</c:v>
                </c:pt>
                <c:pt idx="26">
                  <c:v>-2.2999999999999701</c:v>
                </c:pt>
              </c:numCache>
            </c:numRef>
          </c:val>
        </c:ser>
        <c:ser>
          <c:idx val="2"/>
          <c:order val="2"/>
          <c:tx>
            <c:strRef>
              <c:f>'zk79+215'!$AC$4:$AE$4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'zk79+215'!$S$6:$S$46</c:f>
              <c:numCache>
                <c:formatCode>m"月"d"日";@</c:formatCode>
                <c:ptCount val="41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'zk79+215'!$AD$6:$AD$47</c:f>
              <c:numCache>
                <c:formatCode>0.00_ </c:formatCode>
                <c:ptCount val="42"/>
                <c:pt idx="0">
                  <c:v>0</c:v>
                </c:pt>
                <c:pt idx="1">
                  <c:v>0.59999999999860198</c:v>
                </c:pt>
                <c:pt idx="2">
                  <c:v>0.29999999999930099</c:v>
                </c:pt>
                <c:pt idx="3">
                  <c:v>9.99999999997669E-2</c:v>
                </c:pt>
                <c:pt idx="4">
                  <c:v>-0.10000000000154299</c:v>
                </c:pt>
                <c:pt idx="5">
                  <c:v>-0.20000000000130999</c:v>
                </c:pt>
                <c:pt idx="6">
                  <c:v>-0.50000000000061096</c:v>
                </c:pt>
                <c:pt idx="7">
                  <c:v>-0.70000000000014495</c:v>
                </c:pt>
                <c:pt idx="8">
                  <c:v>-0.40000000000084401</c:v>
                </c:pt>
                <c:pt idx="9">
                  <c:v>-1.10000000000099</c:v>
                </c:pt>
                <c:pt idx="10">
                  <c:v>-1.3000000000005201</c:v>
                </c:pt>
                <c:pt idx="11">
                  <c:v>-1.6000000000015999</c:v>
                </c:pt>
                <c:pt idx="12">
                  <c:v>-1.70000000000137</c:v>
                </c:pt>
                <c:pt idx="13">
                  <c:v>-1.8999999999902399</c:v>
                </c:pt>
                <c:pt idx="14">
                  <c:v>-2.09999999999155</c:v>
                </c:pt>
                <c:pt idx="15">
                  <c:v>-1.70000000000137</c:v>
                </c:pt>
                <c:pt idx="16">
                  <c:v>-2.2999999999999701</c:v>
                </c:pt>
                <c:pt idx="17">
                  <c:v>-2.10000000000043</c:v>
                </c:pt>
                <c:pt idx="18">
                  <c:v>-1.9000000000009001</c:v>
                </c:pt>
                <c:pt idx="19">
                  <c:v>-2.0000000000006701</c:v>
                </c:pt>
                <c:pt idx="20">
                  <c:v>-2.2000000000002</c:v>
                </c:pt>
                <c:pt idx="21">
                  <c:v>-2.4000000000015098</c:v>
                </c:pt>
                <c:pt idx="22">
                  <c:v>-2.2000000000002</c:v>
                </c:pt>
                <c:pt idx="23">
                  <c:v>-2.10000000000043</c:v>
                </c:pt>
                <c:pt idx="24">
                  <c:v>-2.2999999999999701</c:v>
                </c:pt>
              </c:numCache>
            </c:numRef>
          </c:val>
        </c:ser>
        <c:dLbls/>
        <c:marker val="1"/>
        <c:axId val="384365312"/>
        <c:axId val="384368000"/>
      </c:lineChart>
      <c:lineChart>
        <c:grouping val="standard"/>
        <c:ser>
          <c:idx val="3"/>
          <c:order val="3"/>
          <c:tx>
            <c:strRef>
              <c:f>'zk79+215'!$AG$3:$AG$5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'zk79+215'!$S$6:$S$47</c:f>
              <c:numCache>
                <c:formatCode>m"月"d"日";@</c:formatCode>
                <c:ptCount val="42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'zk79+215'!$AG$6:$AG$41</c:f>
              <c:numCache>
                <c:formatCode>0.0_ </c:formatCode>
                <c:ptCount val="36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15</c:v>
                </c:pt>
                <c:pt idx="6">
                  <c:v>17</c:v>
                </c:pt>
                <c:pt idx="7">
                  <c:v>19</c:v>
                </c:pt>
                <c:pt idx="8">
                  <c:v>21</c:v>
                </c:pt>
                <c:pt idx="9">
                  <c:v>23</c:v>
                </c:pt>
                <c:pt idx="10">
                  <c:v>25</c:v>
                </c:pt>
                <c:pt idx="11">
                  <c:v>27</c:v>
                </c:pt>
                <c:pt idx="12">
                  <c:v>29</c:v>
                </c:pt>
                <c:pt idx="13">
                  <c:v>31</c:v>
                </c:pt>
                <c:pt idx="14">
                  <c:v>33</c:v>
                </c:pt>
                <c:pt idx="15">
                  <c:v>35</c:v>
                </c:pt>
                <c:pt idx="16">
                  <c:v>37</c:v>
                </c:pt>
                <c:pt idx="17">
                  <c:v>39</c:v>
                </c:pt>
                <c:pt idx="18">
                  <c:v>42</c:v>
                </c:pt>
                <c:pt idx="19">
                  <c:v>46</c:v>
                </c:pt>
                <c:pt idx="20">
                  <c:v>58</c:v>
                </c:pt>
                <c:pt idx="21">
                  <c:v>70</c:v>
                </c:pt>
                <c:pt idx="22">
                  <c:v>112</c:v>
                </c:pt>
                <c:pt idx="23">
                  <c:v>135</c:v>
                </c:pt>
                <c:pt idx="24">
                  <c:v>168</c:v>
                </c:pt>
              </c:numCache>
            </c:numRef>
          </c:val>
        </c:ser>
        <c:dLbls/>
        <c:marker val="1"/>
        <c:axId val="384239104"/>
        <c:axId val="384240640"/>
      </c:lineChart>
      <c:dateAx>
        <c:axId val="3843653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368000"/>
        <c:crossesAt val="-50"/>
        <c:auto val="1"/>
        <c:lblOffset val="100"/>
        <c:baseTimeUnit val="days"/>
      </c:dateAx>
      <c:valAx>
        <c:axId val="38436800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365312"/>
        <c:crosses val="autoZero"/>
        <c:crossBetween val="midCat"/>
        <c:majorUnit val="1"/>
        <c:minorUnit val="0.1"/>
      </c:valAx>
      <c:dateAx>
        <c:axId val="3842391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240640"/>
        <c:crosses val="autoZero"/>
        <c:auto val="1"/>
        <c:lblOffset val="100"/>
        <c:baseTimeUnit val="days"/>
      </c:dateAx>
      <c:valAx>
        <c:axId val="384240640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239104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215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'zk79+215'!$C$4:$G$4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'zk79+215'!$A$6:$A$38</c:f>
              <c:numCache>
                <c:formatCode>m"月"d"日";@</c:formatCode>
                <c:ptCount val="33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'zk79+215'!$G$6:$G$34</c:f>
              <c:numCache>
                <c:formatCode>0.00_ </c:formatCode>
                <c:ptCount val="29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0.20000000006348301</c:v>
                </c:pt>
                <c:pt idx="4">
                  <c:v>-0.59999999996307496</c:v>
                </c:pt>
                <c:pt idx="5">
                  <c:v>-0.20000000006348301</c:v>
                </c:pt>
                <c:pt idx="6">
                  <c:v>-0.59999999996307496</c:v>
                </c:pt>
                <c:pt idx="7">
                  <c:v>0.199999999949796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0.10000000008858501</c:v>
                </c:pt>
                <c:pt idx="11">
                  <c:v>-0.50000000010186296</c:v>
                </c:pt>
                <c:pt idx="12">
                  <c:v>-0.199999999949796</c:v>
                </c:pt>
                <c:pt idx="13">
                  <c:v>0.80000000002655702</c:v>
                </c:pt>
                <c:pt idx="14">
                  <c:v>-1.2000000000398401</c:v>
                </c:pt>
                <c:pt idx="15">
                  <c:v>-0.149999999962347</c:v>
                </c:pt>
                <c:pt idx="16">
                  <c:v>-0.100000000031741</c:v>
                </c:pt>
                <c:pt idx="17">
                  <c:v>-9.9999999974897905E-2</c:v>
                </c:pt>
                <c:pt idx="18">
                  <c:v>-5.0000000044292399E-2</c:v>
                </c:pt>
                <c:pt idx="19">
                  <c:v>5.0000000044292399E-2</c:v>
                </c:pt>
                <c:pt idx="20">
                  <c:v>-0.30000000003838101</c:v>
                </c:pt>
                <c:pt idx="21">
                  <c:v>5.0000000044292399E-2</c:v>
                </c:pt>
                <c:pt idx="22">
                  <c:v>1.24999999968622E-2</c:v>
                </c:pt>
                <c:pt idx="23">
                  <c:v>-2.00000000025587E-2</c:v>
                </c:pt>
                <c:pt idx="24">
                  <c:v>9.5238095268325093E-3</c:v>
                </c:pt>
                <c:pt idx="26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'zk79+215'!$H$4:$L$4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'zk79+215'!$A$6:$A$38</c:f>
              <c:numCache>
                <c:formatCode>m"月"d"日";@</c:formatCode>
                <c:ptCount val="33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'zk79+215'!$L$6:$L$35</c:f>
              <c:numCache>
                <c:formatCode>0.00_ </c:formatCode>
                <c:ptCount val="30"/>
                <c:pt idx="0">
                  <c:v>0</c:v>
                </c:pt>
                <c:pt idx="1">
                  <c:v>-0.40000000001327901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-0.40000000001327901</c:v>
                </c:pt>
                <c:pt idx="5">
                  <c:v>0</c:v>
                </c:pt>
                <c:pt idx="6">
                  <c:v>-0.199999999949796</c:v>
                </c:pt>
                <c:pt idx="7">
                  <c:v>0.29999999992469401</c:v>
                </c:pt>
                <c:pt idx="8">
                  <c:v>-0.69999999993797202</c:v>
                </c:pt>
                <c:pt idx="9">
                  <c:v>-0.20000000006348301</c:v>
                </c:pt>
                <c:pt idx="10">
                  <c:v>0.60000000007676102</c:v>
                </c:pt>
                <c:pt idx="11">
                  <c:v>-1.00000000009004</c:v>
                </c:pt>
                <c:pt idx="12">
                  <c:v>-0.199999999949796</c:v>
                </c:pt>
                <c:pt idx="13">
                  <c:v>0.40000000001327901</c:v>
                </c:pt>
                <c:pt idx="14">
                  <c:v>-0.80000000002655702</c:v>
                </c:pt>
                <c:pt idx="15">
                  <c:v>-9.9999999974897905E-2</c:v>
                </c:pt>
                <c:pt idx="16">
                  <c:v>0.24999999999408801</c:v>
                </c:pt>
                <c:pt idx="17">
                  <c:v>9.9999999974897905E-2</c:v>
                </c:pt>
                <c:pt idx="18">
                  <c:v>0.100000000031741</c:v>
                </c:pt>
                <c:pt idx="19">
                  <c:v>4.9999999987449001E-2</c:v>
                </c:pt>
                <c:pt idx="20">
                  <c:v>-0.100000000031741</c:v>
                </c:pt>
                <c:pt idx="21">
                  <c:v>-4.9999999987449001E-2</c:v>
                </c:pt>
                <c:pt idx="22">
                  <c:v>2.50000000079353E-2</c:v>
                </c:pt>
                <c:pt idx="23">
                  <c:v>-6.6666666725723198E-3</c:v>
                </c:pt>
                <c:pt idx="24">
                  <c:v>-4.7619047607094303E-3</c:v>
                </c:pt>
              </c:numCache>
            </c:numRef>
          </c:val>
        </c:ser>
        <c:ser>
          <c:idx val="2"/>
          <c:order val="2"/>
          <c:tx>
            <c:strRef>
              <c:f>'zk79+215'!$M$4:$Q$4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'zk79+215'!$A$6:$A$38</c:f>
              <c:numCache>
                <c:formatCode>m"月"d"日";@</c:formatCode>
                <c:ptCount val="33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'zk79+215'!$Q$6:$Q$31</c:f>
              <c:numCache>
                <c:formatCode>0.00_ </c:formatCode>
                <c:ptCount val="26"/>
                <c:pt idx="0">
                  <c:v>0</c:v>
                </c:pt>
                <c:pt idx="1">
                  <c:v>0.49999999998817701</c:v>
                </c:pt>
                <c:pt idx="2">
                  <c:v>-0.70000000005165897</c:v>
                </c:pt>
                <c:pt idx="3">
                  <c:v>0.30000000003838101</c:v>
                </c:pt>
                <c:pt idx="4">
                  <c:v>-0.40000000001327901</c:v>
                </c:pt>
                <c:pt idx="5">
                  <c:v>-0.199999999949796</c:v>
                </c:pt>
                <c:pt idx="6">
                  <c:v>-0.40000000001327901</c:v>
                </c:pt>
                <c:pt idx="7">
                  <c:v>0</c:v>
                </c:pt>
                <c:pt idx="8">
                  <c:v>-0.20000000006348301</c:v>
                </c:pt>
                <c:pt idx="9">
                  <c:v>0.20000000006348301</c:v>
                </c:pt>
                <c:pt idx="10">
                  <c:v>-0.60000000007676102</c:v>
                </c:pt>
                <c:pt idx="11">
                  <c:v>-0.199999999949796</c:v>
                </c:pt>
                <c:pt idx="12">
                  <c:v>0.49999999998817701</c:v>
                </c:pt>
                <c:pt idx="13">
                  <c:v>-0.90000000000145497</c:v>
                </c:pt>
                <c:pt idx="14">
                  <c:v>-0.199999999949796</c:v>
                </c:pt>
                <c:pt idx="15">
                  <c:v>0.199999999949796</c:v>
                </c:pt>
                <c:pt idx="16">
                  <c:v>-0.39999999995643498</c:v>
                </c:pt>
                <c:pt idx="17">
                  <c:v>4.9999999987449001E-2</c:v>
                </c:pt>
                <c:pt idx="18">
                  <c:v>-0.100000000031741</c:v>
                </c:pt>
                <c:pt idx="19">
                  <c:v>-0.199999999949796</c:v>
                </c:pt>
                <c:pt idx="20">
                  <c:v>4.9999999987449001E-2</c:v>
                </c:pt>
                <c:pt idx="21">
                  <c:v>9.9999999974897905E-2</c:v>
                </c:pt>
                <c:pt idx="22">
                  <c:v>1.24999999968622E-2</c:v>
                </c:pt>
                <c:pt idx="23">
                  <c:v>-1.99999999949796E-2</c:v>
                </c:pt>
                <c:pt idx="24">
                  <c:v>-9.5238095268325093E-3</c:v>
                </c:pt>
              </c:numCache>
            </c:numRef>
          </c:val>
        </c:ser>
        <c:dLbls/>
        <c:marker val="1"/>
        <c:axId val="384369792"/>
        <c:axId val="384372096"/>
      </c:lineChart>
      <c:dateAx>
        <c:axId val="3843697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372096"/>
        <c:crossesAt val="-50"/>
        <c:auto val="1"/>
        <c:lblOffset val="100"/>
        <c:baseTimeUnit val="days"/>
      </c:dateAx>
      <c:valAx>
        <c:axId val="38437209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36979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9+215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'zk79+215'!$U$4:$W$4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'zk79+215'!$S$6:$S$47</c:f>
              <c:numCache>
                <c:formatCode>m"月"d"日";@</c:formatCode>
                <c:ptCount val="42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'zk79+215'!$W$6:$W$47</c:f>
              <c:numCache>
                <c:formatCode>0.00_ </c:formatCode>
                <c:ptCount val="42"/>
                <c:pt idx="0">
                  <c:v>0</c:v>
                </c:pt>
                <c:pt idx="1">
                  <c:v>0.19999999999953399</c:v>
                </c:pt>
                <c:pt idx="2">
                  <c:v>0.40000000000084401</c:v>
                </c:pt>
                <c:pt idx="3">
                  <c:v>-0.70000000000014495</c:v>
                </c:pt>
                <c:pt idx="4">
                  <c:v>0.39999999999906799</c:v>
                </c:pt>
                <c:pt idx="5">
                  <c:v>0.20000000000130999</c:v>
                </c:pt>
                <c:pt idx="6">
                  <c:v>0.19999999999953399</c:v>
                </c:pt>
                <c:pt idx="7">
                  <c:v>-9.99999999997669E-2</c:v>
                </c:pt>
                <c:pt idx="8">
                  <c:v>0.49999999999883499</c:v>
                </c:pt>
                <c:pt idx="9">
                  <c:v>0.20000000000130999</c:v>
                </c:pt>
                <c:pt idx="10">
                  <c:v>-0.30000000000107702</c:v>
                </c:pt>
                <c:pt idx="11">
                  <c:v>0.70000000000014495</c:v>
                </c:pt>
                <c:pt idx="12">
                  <c:v>0.20000000000130999</c:v>
                </c:pt>
                <c:pt idx="13">
                  <c:v>0.39999999999906799</c:v>
                </c:pt>
                <c:pt idx="14">
                  <c:v>-9.99999999997669E-2</c:v>
                </c:pt>
                <c:pt idx="15">
                  <c:v>0.14999999999965</c:v>
                </c:pt>
                <c:pt idx="16">
                  <c:v>4.9999999999883499E-2</c:v>
                </c:pt>
                <c:pt idx="17">
                  <c:v>-9.99999999997669E-2</c:v>
                </c:pt>
                <c:pt idx="18">
                  <c:v>4.9999999999883499E-2</c:v>
                </c:pt>
                <c:pt idx="19">
                  <c:v>-9.99999999997669E-2</c:v>
                </c:pt>
                <c:pt idx="20">
                  <c:v>0.14999999999965</c:v>
                </c:pt>
                <c:pt idx="21">
                  <c:v>0.100000000000655</c:v>
                </c:pt>
                <c:pt idx="22">
                  <c:v>-1.2499999999970901E-2</c:v>
                </c:pt>
                <c:pt idx="23">
                  <c:v>-6.6666666667695501E-3</c:v>
                </c:pt>
                <c:pt idx="24">
                  <c:v>9.5238095238719192E-3</c:v>
                </c:pt>
                <c:pt idx="26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'zk79+215'!$Y$4:$AA$4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'zk79+215'!$S$6:$S$47</c:f>
              <c:numCache>
                <c:formatCode>m"月"d"日";@</c:formatCode>
                <c:ptCount val="42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'zk79+215'!$AA$6:$AA$48</c:f>
              <c:numCache>
                <c:formatCode>0.00_ </c:formatCode>
                <c:ptCount val="43"/>
                <c:pt idx="0">
                  <c:v>0</c:v>
                </c:pt>
                <c:pt idx="1">
                  <c:v>-0.19999999999953399</c:v>
                </c:pt>
                <c:pt idx="2">
                  <c:v>0.99999999999766898</c:v>
                </c:pt>
                <c:pt idx="3">
                  <c:v>-1.4000000000002899</c:v>
                </c:pt>
                <c:pt idx="4">
                  <c:v>-0.19999999999953399</c:v>
                </c:pt>
                <c:pt idx="5">
                  <c:v>1.4000000000002899</c:v>
                </c:pt>
                <c:pt idx="6">
                  <c:v>-1.7999999999993599</c:v>
                </c:pt>
                <c:pt idx="7">
                  <c:v>-0.19999999999953399</c:v>
                </c:pt>
                <c:pt idx="8">
                  <c:v>-0.50000000000238698</c:v>
                </c:pt>
                <c:pt idx="9">
                  <c:v>0.10000000000332</c:v>
                </c:pt>
                <c:pt idx="10">
                  <c:v>-0.20000000000308699</c:v>
                </c:pt>
                <c:pt idx="11">
                  <c:v>9.99999999997669E-2</c:v>
                </c:pt>
                <c:pt idx="12">
                  <c:v>-0.49999999999883499</c:v>
                </c:pt>
                <c:pt idx="13">
                  <c:v>-0.19999999999953399</c:v>
                </c:pt>
                <c:pt idx="14">
                  <c:v>0.19999999999953399</c:v>
                </c:pt>
                <c:pt idx="15">
                  <c:v>-0.29999999999930099</c:v>
                </c:pt>
                <c:pt idx="16">
                  <c:v>0.14999999999965</c:v>
                </c:pt>
                <c:pt idx="17">
                  <c:v>4.9999999999883499E-2</c:v>
                </c:pt>
                <c:pt idx="18">
                  <c:v>-0.29999999999930099</c:v>
                </c:pt>
                <c:pt idx="19">
                  <c:v>9.99999999997669E-2</c:v>
                </c:pt>
                <c:pt idx="20">
                  <c:v>-0.20000000000130999</c:v>
                </c:pt>
                <c:pt idx="21">
                  <c:v>-9.99999999997669E-2</c:v>
                </c:pt>
                <c:pt idx="22">
                  <c:v>3.7500000000356699E-2</c:v>
                </c:pt>
                <c:pt idx="23">
                  <c:v>-2.66666666668414E-2</c:v>
                </c:pt>
                <c:pt idx="24">
                  <c:v>9.5238095237873306E-3</c:v>
                </c:pt>
                <c:pt idx="26">
                  <c:v>-6.66666666665113E-3</c:v>
                </c:pt>
              </c:numCache>
            </c:numRef>
          </c:val>
        </c:ser>
        <c:ser>
          <c:idx val="2"/>
          <c:order val="2"/>
          <c:tx>
            <c:strRef>
              <c:f>'zk79+215'!$AC$4:$AE$4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'zk79+215'!$S$6:$S$49</c:f>
              <c:numCache>
                <c:formatCode>m"月"d"日";@</c:formatCode>
                <c:ptCount val="44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'zk79+215'!$AE$6:$AE$48</c:f>
              <c:numCache>
                <c:formatCode>0.00_ </c:formatCode>
                <c:ptCount val="43"/>
                <c:pt idx="0">
                  <c:v>0</c:v>
                </c:pt>
                <c:pt idx="1">
                  <c:v>0.59999999999860198</c:v>
                </c:pt>
                <c:pt idx="2">
                  <c:v>-0.29999999999930099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-0.19999999999953399</c:v>
                </c:pt>
                <c:pt idx="8">
                  <c:v>0.29999999999930099</c:v>
                </c:pt>
                <c:pt idx="9">
                  <c:v>-0.70000000000014495</c:v>
                </c:pt>
                <c:pt idx="10">
                  <c:v>-0.19999999999953399</c:v>
                </c:pt>
                <c:pt idx="11">
                  <c:v>-0.30000000000107702</c:v>
                </c:pt>
                <c:pt idx="12">
                  <c:v>-9.99999999997669E-2</c:v>
                </c:pt>
                <c:pt idx="13">
                  <c:v>-0.19999999998887599</c:v>
                </c:pt>
                <c:pt idx="14">
                  <c:v>-0.20000000000130999</c:v>
                </c:pt>
                <c:pt idx="15">
                  <c:v>0.19999999999509299</c:v>
                </c:pt>
                <c:pt idx="16">
                  <c:v>-0.29999999999930099</c:v>
                </c:pt>
                <c:pt idx="17">
                  <c:v>9.99999999997669E-2</c:v>
                </c:pt>
                <c:pt idx="18">
                  <c:v>9.99999999997669E-2</c:v>
                </c:pt>
                <c:pt idx="19">
                  <c:v>-4.9999999999883499E-2</c:v>
                </c:pt>
                <c:pt idx="20">
                  <c:v>-9.99999999997669E-2</c:v>
                </c:pt>
                <c:pt idx="21">
                  <c:v>-0.100000000000655</c:v>
                </c:pt>
                <c:pt idx="22">
                  <c:v>2.5000000000163801E-2</c:v>
                </c:pt>
                <c:pt idx="23">
                  <c:v>6.66666666665113E-3</c:v>
                </c:pt>
                <c:pt idx="24">
                  <c:v>-9.5238095237873306E-3</c:v>
                </c:pt>
              </c:numCache>
            </c:numRef>
          </c:val>
        </c:ser>
        <c:dLbls/>
        <c:marker val="1"/>
        <c:axId val="384429440"/>
        <c:axId val="384432768"/>
      </c:lineChart>
      <c:dateAx>
        <c:axId val="3844294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432768"/>
        <c:crossesAt val="-50"/>
        <c:auto val="1"/>
        <c:lblOffset val="100"/>
        <c:baseTimeUnit val="days"/>
      </c:dateAx>
      <c:valAx>
        <c:axId val="38443276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42944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215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'zk79+215'!$C$4:$G$4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'zk79+215'!$A$6:$A$48</c:f>
              <c:numCache>
                <c:formatCode>m"月"d"日";@</c:formatCode>
                <c:ptCount val="43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'zk79+215'!$F$6:$F$48</c:f>
              <c:numCache>
                <c:formatCode>0.00_ </c:formatCode>
                <c:ptCount val="43"/>
                <c:pt idx="0">
                  <c:v>0</c:v>
                </c:pt>
                <c:pt idx="1">
                  <c:v>9.9999999974897905E-2</c:v>
                </c:pt>
                <c:pt idx="2">
                  <c:v>-0.10000000008858501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-0.70000000005165897</c:v>
                </c:pt>
                <c:pt idx="6">
                  <c:v>-1.30000000001473</c:v>
                </c:pt>
                <c:pt idx="7">
                  <c:v>-1.1000000000649399</c:v>
                </c:pt>
                <c:pt idx="8">
                  <c:v>-1.30000000001473</c:v>
                </c:pt>
                <c:pt idx="9">
                  <c:v>-1.5000000000782201</c:v>
                </c:pt>
                <c:pt idx="10">
                  <c:v>-1.39999999998963</c:v>
                </c:pt>
                <c:pt idx="11">
                  <c:v>-1.9000000000915001</c:v>
                </c:pt>
                <c:pt idx="12">
                  <c:v>-2.1000000000412902</c:v>
                </c:pt>
                <c:pt idx="13">
                  <c:v>-1.30000000001473</c:v>
                </c:pt>
                <c:pt idx="14">
                  <c:v>-2.5000000000545701</c:v>
                </c:pt>
                <c:pt idx="15">
                  <c:v>-2.79999999997926</c:v>
                </c:pt>
                <c:pt idx="16">
                  <c:v>-3.0000000000427498</c:v>
                </c:pt>
                <c:pt idx="17">
                  <c:v>-3.1999999999925399</c:v>
                </c:pt>
                <c:pt idx="18">
                  <c:v>-3.30000000008113</c:v>
                </c:pt>
                <c:pt idx="19">
                  <c:v>-3.1999999999925399</c:v>
                </c:pt>
                <c:pt idx="20">
                  <c:v>-3.8000000000692999</c:v>
                </c:pt>
                <c:pt idx="21">
                  <c:v>-3.69999999998072</c:v>
                </c:pt>
                <c:pt idx="22">
                  <c:v>-3.6000000000058199</c:v>
                </c:pt>
                <c:pt idx="23">
                  <c:v>-3.9000000000442001</c:v>
                </c:pt>
                <c:pt idx="24">
                  <c:v>-3.69999999998072</c:v>
                </c:pt>
                <c:pt idx="26">
                  <c:v>-9.9999999974897905E-2</c:v>
                </c:pt>
              </c:numCache>
            </c:numRef>
          </c:val>
        </c:ser>
        <c:ser>
          <c:idx val="1"/>
          <c:order val="1"/>
          <c:tx>
            <c:strRef>
              <c:f>'zk79+215'!$H$4:$L$4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'zk79+215'!$A$6:$A$47</c:f>
              <c:numCache>
                <c:formatCode>m"月"d"日";@</c:formatCode>
                <c:ptCount val="42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'zk79+215'!$K$6:$K$49</c:f>
              <c:numCache>
                <c:formatCode>0.00_ </c:formatCode>
                <c:ptCount val="44"/>
                <c:pt idx="0">
                  <c:v>0</c:v>
                </c:pt>
                <c:pt idx="1">
                  <c:v>-0.40000000001327901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-0.90000000000145497</c:v>
                </c:pt>
                <c:pt idx="5">
                  <c:v>-0.90000000000145497</c:v>
                </c:pt>
                <c:pt idx="6">
                  <c:v>-1.09999999995125</c:v>
                </c:pt>
                <c:pt idx="7">
                  <c:v>-0.80000000002655702</c:v>
                </c:pt>
                <c:pt idx="8">
                  <c:v>-1.4999999999645299</c:v>
                </c:pt>
                <c:pt idx="9">
                  <c:v>-1.70000000002801</c:v>
                </c:pt>
                <c:pt idx="10">
                  <c:v>-1.09999999995125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-1.8999999999778101</c:v>
                </c:pt>
                <c:pt idx="14">
                  <c:v>-2.70000000000437</c:v>
                </c:pt>
                <c:pt idx="15">
                  <c:v>-2.8999999999541601</c:v>
                </c:pt>
                <c:pt idx="16">
                  <c:v>-2.39999999996598</c:v>
                </c:pt>
                <c:pt idx="17">
                  <c:v>-2.2000000000161899</c:v>
                </c:pt>
                <c:pt idx="18">
                  <c:v>-1.9999999999527101</c:v>
                </c:pt>
                <c:pt idx="19">
                  <c:v>-1.8999999999778101</c:v>
                </c:pt>
                <c:pt idx="20">
                  <c:v>-2.1000000000412902</c:v>
                </c:pt>
                <c:pt idx="21">
                  <c:v>-2.2000000000161899</c:v>
                </c:pt>
                <c:pt idx="22">
                  <c:v>-1.9999999999527101</c:v>
                </c:pt>
                <c:pt idx="23">
                  <c:v>-2.1000000000412902</c:v>
                </c:pt>
                <c:pt idx="24">
                  <c:v>-2.2000000000161899</c:v>
                </c:pt>
                <c:pt idx="26">
                  <c:v>-6.66666666878276E-3</c:v>
                </c:pt>
              </c:numCache>
            </c:numRef>
          </c:val>
        </c:ser>
        <c:ser>
          <c:idx val="2"/>
          <c:order val="2"/>
          <c:tx>
            <c:strRef>
              <c:f>'zk79+215'!$M$4:$Q$4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'zk79+215'!$A$6:$A$48</c:f>
              <c:numCache>
                <c:formatCode>m"月"d"日";@</c:formatCode>
                <c:ptCount val="43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'zk79+215'!$P$6:$P$46</c:f>
              <c:numCache>
                <c:formatCode>0.00_ </c:formatCode>
                <c:ptCount val="41"/>
                <c:pt idx="0">
                  <c:v>0</c:v>
                </c:pt>
                <c:pt idx="1">
                  <c:v>0.49999999998817701</c:v>
                </c:pt>
                <c:pt idx="2">
                  <c:v>-0.20000000006348301</c:v>
                </c:pt>
                <c:pt idx="3">
                  <c:v>9.9999999974897905E-2</c:v>
                </c:pt>
                <c:pt idx="4">
                  <c:v>-0.30000000003838101</c:v>
                </c:pt>
                <c:pt idx="5">
                  <c:v>-0.49999999998817701</c:v>
                </c:pt>
                <c:pt idx="6">
                  <c:v>-0.90000000000145497</c:v>
                </c:pt>
                <c:pt idx="7">
                  <c:v>-0.90000000000145497</c:v>
                </c:pt>
                <c:pt idx="8">
                  <c:v>-1.1000000000649399</c:v>
                </c:pt>
                <c:pt idx="9">
                  <c:v>-0.90000000000145497</c:v>
                </c:pt>
                <c:pt idx="10">
                  <c:v>-1.5000000000782201</c:v>
                </c:pt>
                <c:pt idx="11">
                  <c:v>-1.70000000002801</c:v>
                </c:pt>
                <c:pt idx="12">
                  <c:v>-1.2000000000398401</c:v>
                </c:pt>
                <c:pt idx="13">
                  <c:v>-2.1000000000412902</c:v>
                </c:pt>
                <c:pt idx="14">
                  <c:v>-2.2999999999910901</c:v>
                </c:pt>
                <c:pt idx="15">
                  <c:v>-1.9000000000915001</c:v>
                </c:pt>
                <c:pt idx="16">
                  <c:v>-2.70000000000437</c:v>
                </c:pt>
                <c:pt idx="17">
                  <c:v>-2.6000000000294698</c:v>
                </c:pt>
                <c:pt idx="18">
                  <c:v>-2.8000000000929499</c:v>
                </c:pt>
                <c:pt idx="19">
                  <c:v>-3.1999999999925399</c:v>
                </c:pt>
                <c:pt idx="20">
                  <c:v>-3.1000000000176402</c:v>
                </c:pt>
                <c:pt idx="21">
                  <c:v>-2.9000000000678501</c:v>
                </c:pt>
                <c:pt idx="22">
                  <c:v>-2.8000000000929499</c:v>
                </c:pt>
                <c:pt idx="23">
                  <c:v>-3.1000000000176402</c:v>
                </c:pt>
                <c:pt idx="24">
                  <c:v>-3.30000000008113</c:v>
                </c:pt>
              </c:numCache>
            </c:numRef>
          </c:val>
        </c:ser>
        <c:dLbls/>
        <c:marker val="1"/>
        <c:axId val="384592128"/>
        <c:axId val="384606976"/>
      </c:lineChart>
      <c:lineChart>
        <c:grouping val="standard"/>
        <c:ser>
          <c:idx val="3"/>
          <c:order val="3"/>
          <c:tx>
            <c:strRef>
              <c:f>'zk79+215'!$AG$3:$AG$5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'zk79+215'!$A$6:$A$44</c:f>
              <c:numCache>
                <c:formatCode>m"月"d"日";@</c:formatCode>
                <c:ptCount val="39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  <c:pt idx="14">
                  <c:v>44544</c:v>
                </c:pt>
                <c:pt idx="15">
                  <c:v>44546</c:v>
                </c:pt>
                <c:pt idx="16">
                  <c:v>44548</c:v>
                </c:pt>
                <c:pt idx="17">
                  <c:v>44550</c:v>
                </c:pt>
                <c:pt idx="18">
                  <c:v>44552</c:v>
                </c:pt>
                <c:pt idx="19">
                  <c:v>44554</c:v>
                </c:pt>
                <c:pt idx="20">
                  <c:v>44556</c:v>
                </c:pt>
                <c:pt idx="21">
                  <c:v>44558</c:v>
                </c:pt>
                <c:pt idx="22">
                  <c:v>44566</c:v>
                </c:pt>
                <c:pt idx="23">
                  <c:v>44581</c:v>
                </c:pt>
                <c:pt idx="24">
                  <c:v>44602</c:v>
                </c:pt>
              </c:numCache>
            </c:numRef>
          </c:cat>
          <c:val>
            <c:numRef>
              <c:f>'zk79+215'!$AG$6:$AG$41</c:f>
              <c:numCache>
                <c:formatCode>0.0_ </c:formatCode>
                <c:ptCount val="36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15</c:v>
                </c:pt>
                <c:pt idx="6">
                  <c:v>17</c:v>
                </c:pt>
                <c:pt idx="7">
                  <c:v>19</c:v>
                </c:pt>
                <c:pt idx="8">
                  <c:v>21</c:v>
                </c:pt>
                <c:pt idx="9">
                  <c:v>23</c:v>
                </c:pt>
                <c:pt idx="10">
                  <c:v>25</c:v>
                </c:pt>
                <c:pt idx="11">
                  <c:v>27</c:v>
                </c:pt>
                <c:pt idx="12">
                  <c:v>29</c:v>
                </c:pt>
                <c:pt idx="13">
                  <c:v>31</c:v>
                </c:pt>
                <c:pt idx="14">
                  <c:v>33</c:v>
                </c:pt>
                <c:pt idx="15">
                  <c:v>35</c:v>
                </c:pt>
                <c:pt idx="16">
                  <c:v>37</c:v>
                </c:pt>
                <c:pt idx="17">
                  <c:v>39</c:v>
                </c:pt>
                <c:pt idx="18">
                  <c:v>42</c:v>
                </c:pt>
                <c:pt idx="19">
                  <c:v>46</c:v>
                </c:pt>
                <c:pt idx="20">
                  <c:v>58</c:v>
                </c:pt>
                <c:pt idx="21">
                  <c:v>70</c:v>
                </c:pt>
                <c:pt idx="22">
                  <c:v>112</c:v>
                </c:pt>
                <c:pt idx="23">
                  <c:v>135</c:v>
                </c:pt>
                <c:pt idx="24">
                  <c:v>168</c:v>
                </c:pt>
              </c:numCache>
            </c:numRef>
          </c:val>
        </c:ser>
        <c:dLbls/>
        <c:marker val="1"/>
        <c:axId val="384608896"/>
        <c:axId val="384614784"/>
      </c:lineChart>
      <c:dateAx>
        <c:axId val="3845921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606976"/>
        <c:crossesAt val="-50"/>
        <c:auto val="1"/>
        <c:lblOffset val="100"/>
        <c:baseTimeUnit val="days"/>
      </c:dateAx>
      <c:valAx>
        <c:axId val="38460697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592128"/>
        <c:crosses val="autoZero"/>
        <c:crossBetween val="midCat"/>
        <c:majorUnit val="1"/>
        <c:minorUnit val="0.5"/>
      </c:valAx>
      <c:dateAx>
        <c:axId val="38460889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614784"/>
        <c:crosses val="autoZero"/>
        <c:auto val="1"/>
        <c:lblOffset val="100"/>
        <c:baseTimeUnit val="days"/>
      </c:dateAx>
      <c:valAx>
        <c:axId val="384614784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608896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'zk79+225'!$U$4:$W$4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'zk79+225'!$S$6:$S$31</c:f>
              <c:numCache>
                <c:formatCode>m"月"d"日";@</c:formatCode>
                <c:ptCount val="2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'zk79+225'!$V$6:$V$35</c:f>
              <c:numCache>
                <c:formatCode>0.00_ </c:formatCode>
                <c:ptCount val="30"/>
                <c:pt idx="0">
                  <c:v>0</c:v>
                </c:pt>
                <c:pt idx="1">
                  <c:v>-0.39999999999906799</c:v>
                </c:pt>
                <c:pt idx="2">
                  <c:v>-0.89999999999967895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-0.39999999999906799</c:v>
                </c:pt>
                <c:pt idx="7">
                  <c:v>-1.0999999999992101</c:v>
                </c:pt>
                <c:pt idx="8">
                  <c:v>-1.1999999999989801</c:v>
                </c:pt>
                <c:pt idx="9">
                  <c:v>-1.59999999999982</c:v>
                </c:pt>
                <c:pt idx="10">
                  <c:v>-1.39999999999851</c:v>
                </c:pt>
                <c:pt idx="11">
                  <c:v>-1.6999999999995901</c:v>
                </c:pt>
                <c:pt idx="12">
                  <c:v>-1.59999999999982</c:v>
                </c:pt>
                <c:pt idx="13">
                  <c:v>-1.6999999999995901</c:v>
                </c:pt>
                <c:pt idx="14">
                  <c:v>-1.8999999999991199</c:v>
                </c:pt>
                <c:pt idx="15">
                  <c:v>-1.7999999999993599</c:v>
                </c:pt>
                <c:pt idx="16">
                  <c:v>-1.8999999999991199</c:v>
                </c:pt>
                <c:pt idx="17">
                  <c:v>-2.0999999999986598</c:v>
                </c:pt>
                <c:pt idx="18">
                  <c:v>-2.59999999999927</c:v>
                </c:pt>
                <c:pt idx="19">
                  <c:v>-3.2999999999994101</c:v>
                </c:pt>
                <c:pt idx="20">
                  <c:v>-3.0999999999998802</c:v>
                </c:pt>
                <c:pt idx="21">
                  <c:v>-3.3999999999991801</c:v>
                </c:pt>
                <c:pt idx="22">
                  <c:v>-3.1999999999996498</c:v>
                </c:pt>
                <c:pt idx="23">
                  <c:v>-3.0999999999998802</c:v>
                </c:pt>
                <c:pt idx="24">
                  <c:v>-2.8999999999985699</c:v>
                </c:pt>
                <c:pt idx="25">
                  <c:v>-2.6999999999990401</c:v>
                </c:pt>
                <c:pt idx="27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'zk79+225'!$Y$4:$AA$4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'zk79+225'!$S$6:$S$31</c:f>
              <c:numCache>
                <c:formatCode>m"月"d"日";@</c:formatCode>
                <c:ptCount val="2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'zk79+225'!$Z$6:$Z$36</c:f>
              <c:numCache>
                <c:formatCode>0.00_ </c:formatCode>
                <c:ptCount val="31"/>
                <c:pt idx="0">
                  <c:v>0</c:v>
                </c:pt>
                <c:pt idx="1">
                  <c:v>-0.40000000000261998</c:v>
                </c:pt>
                <c:pt idx="2">
                  <c:v>-0.60000000000215403</c:v>
                </c:pt>
                <c:pt idx="3">
                  <c:v>-0.50000000000238698</c:v>
                </c:pt>
                <c:pt idx="4">
                  <c:v>-1.0000000000012199</c:v>
                </c:pt>
                <c:pt idx="5">
                  <c:v>-1.10000000000099</c:v>
                </c:pt>
                <c:pt idx="6">
                  <c:v>-1.4000000000002899</c:v>
                </c:pt>
                <c:pt idx="7">
                  <c:v>-1.59999999999982</c:v>
                </c:pt>
                <c:pt idx="8">
                  <c:v>-1.3000000000005201</c:v>
                </c:pt>
                <c:pt idx="9">
                  <c:v>-2.0000000000024398</c:v>
                </c:pt>
                <c:pt idx="10">
                  <c:v>-2.2000000000019799</c:v>
                </c:pt>
                <c:pt idx="11">
                  <c:v>-2.1000000000022099</c:v>
                </c:pt>
                <c:pt idx="12">
                  <c:v>-2.6000000000010499</c:v>
                </c:pt>
                <c:pt idx="13">
                  <c:v>-2.8000000000005798</c:v>
                </c:pt>
                <c:pt idx="14">
                  <c:v>-3.3000000000029699</c:v>
                </c:pt>
                <c:pt idx="15">
                  <c:v>-3.0999999999998802</c:v>
                </c:pt>
                <c:pt idx="16">
                  <c:v>-2.9000000000003499</c:v>
                </c:pt>
                <c:pt idx="17">
                  <c:v>-3.3000000000029699</c:v>
                </c:pt>
                <c:pt idx="18">
                  <c:v>-3.6000000000022698</c:v>
                </c:pt>
                <c:pt idx="19">
                  <c:v>-3.4000000000027302</c:v>
                </c:pt>
                <c:pt idx="20">
                  <c:v>-3.7000000000020301</c:v>
                </c:pt>
                <c:pt idx="21">
                  <c:v>-3.6000000000022698</c:v>
                </c:pt>
                <c:pt idx="22">
                  <c:v>-3.4000000000027302</c:v>
                </c:pt>
                <c:pt idx="23">
                  <c:v>-3.5000000000024998</c:v>
                </c:pt>
                <c:pt idx="24">
                  <c:v>-3.6000000000022698</c:v>
                </c:pt>
                <c:pt idx="25">
                  <c:v>-3.7000000000020301</c:v>
                </c:pt>
                <c:pt idx="27">
                  <c:v>-3.80000000000003</c:v>
                </c:pt>
              </c:numCache>
            </c:numRef>
          </c:val>
        </c:ser>
        <c:ser>
          <c:idx val="2"/>
          <c:order val="2"/>
          <c:tx>
            <c:strRef>
              <c:f>'zk79+225'!$AC$4:$AE$4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'zk79+225'!$S$6:$S$31</c:f>
              <c:numCache>
                <c:formatCode>m"月"d"日";@</c:formatCode>
                <c:ptCount val="2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'zk79+225'!$AD$6:$AD$40</c:f>
              <c:numCache>
                <c:formatCode>0.00_ </c:formatCode>
                <c:ptCount val="35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-0.39999999999906799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-1.2999999999987499</c:v>
                </c:pt>
                <c:pt idx="8">
                  <c:v>-0.799999999999912</c:v>
                </c:pt>
                <c:pt idx="9">
                  <c:v>-1.6999999999995901</c:v>
                </c:pt>
                <c:pt idx="10">
                  <c:v>-1.2999999999987499</c:v>
                </c:pt>
                <c:pt idx="11">
                  <c:v>-2.0999999999986598</c:v>
                </c:pt>
                <c:pt idx="12">
                  <c:v>-1.8999999999991199</c:v>
                </c:pt>
                <c:pt idx="13">
                  <c:v>-2.4999999999995</c:v>
                </c:pt>
                <c:pt idx="14">
                  <c:v>-2.3999999999997401</c:v>
                </c:pt>
                <c:pt idx="15">
                  <c:v>-2.59999999999927</c:v>
                </c:pt>
                <c:pt idx="16">
                  <c:v>-2.7999999999987999</c:v>
                </c:pt>
                <c:pt idx="17">
                  <c:v>-2.99999999999834</c:v>
                </c:pt>
                <c:pt idx="18">
                  <c:v>-3.6999999999984801</c:v>
                </c:pt>
                <c:pt idx="19">
                  <c:v>-4.09999999999933</c:v>
                </c:pt>
                <c:pt idx="20">
                  <c:v>-4.3999999999986299</c:v>
                </c:pt>
                <c:pt idx="21">
                  <c:v>-4.4999999999983897</c:v>
                </c:pt>
                <c:pt idx="22">
                  <c:v>-4.1999999999990898</c:v>
                </c:pt>
                <c:pt idx="23">
                  <c:v>-3.9999999999995599</c:v>
                </c:pt>
                <c:pt idx="24">
                  <c:v>-3.8999999999997899</c:v>
                </c:pt>
                <c:pt idx="25">
                  <c:v>-3.80000000000003</c:v>
                </c:pt>
              </c:numCache>
            </c:numRef>
          </c:val>
        </c:ser>
        <c:dLbls/>
        <c:marker val="1"/>
        <c:axId val="384756352"/>
        <c:axId val="384643456"/>
      </c:lineChart>
      <c:lineChart>
        <c:grouping val="standard"/>
        <c:ser>
          <c:idx val="3"/>
          <c:order val="3"/>
          <c:tx>
            <c:strRef>
              <c:f>'zk79+225'!$AG$3:$AG$5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'zk79+225'!$S$6:$S$50</c:f>
              <c:numCache>
                <c:formatCode>m"月"d"日";@</c:formatCode>
                <c:ptCount val="45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'zk79+225'!$AG$6:$AG$43</c:f>
              <c:numCache>
                <c:formatCode>0.0_ </c:formatCode>
                <c:ptCount val="38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33</c:v>
                </c:pt>
                <c:pt idx="16">
                  <c:v>35</c:v>
                </c:pt>
                <c:pt idx="17">
                  <c:v>37</c:v>
                </c:pt>
                <c:pt idx="18">
                  <c:v>48</c:v>
                </c:pt>
                <c:pt idx="19">
                  <c:v>60</c:v>
                </c:pt>
                <c:pt idx="20">
                  <c:v>72</c:v>
                </c:pt>
                <c:pt idx="21">
                  <c:v>84</c:v>
                </c:pt>
                <c:pt idx="22">
                  <c:v>96</c:v>
                </c:pt>
                <c:pt idx="23">
                  <c:v>102</c:v>
                </c:pt>
                <c:pt idx="24">
                  <c:v>139</c:v>
                </c:pt>
                <c:pt idx="25">
                  <c:v>176</c:v>
                </c:pt>
              </c:numCache>
            </c:numRef>
          </c:val>
        </c:ser>
        <c:dLbls/>
        <c:marker val="1"/>
        <c:axId val="384645376"/>
        <c:axId val="384659456"/>
      </c:lineChart>
      <c:dateAx>
        <c:axId val="3847563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643456"/>
        <c:crossesAt val="-50"/>
        <c:auto val="1"/>
        <c:lblOffset val="100"/>
        <c:baseTimeUnit val="days"/>
        <c:majorUnit val="8"/>
        <c:majorTimeUnit val="days"/>
      </c:dateAx>
      <c:valAx>
        <c:axId val="38464345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756352"/>
        <c:crosses val="autoZero"/>
        <c:crossBetween val="midCat"/>
        <c:majorUnit val="2"/>
        <c:minorUnit val="0.1"/>
      </c:valAx>
      <c:dateAx>
        <c:axId val="3846453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659456"/>
        <c:crosses val="autoZero"/>
        <c:auto val="1"/>
        <c:lblOffset val="100"/>
        <c:baseTimeUnit val="days"/>
      </c:dateAx>
      <c:valAx>
        <c:axId val="384659456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645376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'zk79+225'!$C$4:$G$4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'zk79+225'!$A$6:$A$41</c:f>
              <c:numCache>
                <c:formatCode>m"月"d"日";@</c:formatCode>
                <c:ptCount val="3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'zk79+225'!$G$6:$G$37</c:f>
              <c:numCache>
                <c:formatCode>0.00_ </c:formatCode>
                <c:ptCount val="32"/>
                <c:pt idx="0">
                  <c:v>0</c:v>
                </c:pt>
                <c:pt idx="1">
                  <c:v>0.39999999989959201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-0.20000000006348301</c:v>
                </c:pt>
                <c:pt idx="5">
                  <c:v>-0.49999999998817701</c:v>
                </c:pt>
                <c:pt idx="6">
                  <c:v>9.9999999974897905E-2</c:v>
                </c:pt>
                <c:pt idx="7">
                  <c:v>-0.199999999949796</c:v>
                </c:pt>
                <c:pt idx="8">
                  <c:v>0.40000000001327901</c:v>
                </c:pt>
                <c:pt idx="9">
                  <c:v>-0.80000000002655702</c:v>
                </c:pt>
                <c:pt idx="10">
                  <c:v>-0.199999999949796</c:v>
                </c:pt>
                <c:pt idx="11">
                  <c:v>0.29999999992469401</c:v>
                </c:pt>
                <c:pt idx="12">
                  <c:v>-0.69999999993797202</c:v>
                </c:pt>
                <c:pt idx="13">
                  <c:v>-0.20000000006348301</c:v>
                </c:pt>
                <c:pt idx="14">
                  <c:v>0.30000000003838101</c:v>
                </c:pt>
                <c:pt idx="15">
                  <c:v>-4.9999999987449001E-2</c:v>
                </c:pt>
                <c:pt idx="16">
                  <c:v>-4.9999999987449001E-2</c:v>
                </c:pt>
                <c:pt idx="17">
                  <c:v>4.9999999987449001E-2</c:v>
                </c:pt>
                <c:pt idx="18">
                  <c:v>4.9999999987449001E-2</c:v>
                </c:pt>
                <c:pt idx="19">
                  <c:v>-0.15000000001919001</c:v>
                </c:pt>
                <c:pt idx="20">
                  <c:v>0.100000000031741</c:v>
                </c:pt>
                <c:pt idx="21">
                  <c:v>-0.15000000001919001</c:v>
                </c:pt>
                <c:pt idx="22">
                  <c:v>-4.9999999987449001E-2</c:v>
                </c:pt>
                <c:pt idx="23">
                  <c:v>6.0000000007676101E-2</c:v>
                </c:pt>
                <c:pt idx="24">
                  <c:v>-2.85714285804975E-2</c:v>
                </c:pt>
                <c:pt idx="25">
                  <c:v>-7.4074074055480001E-3</c:v>
                </c:pt>
                <c:pt idx="27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'zk79+225'!$H$4:$L$4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'zk79+225'!$A$6:$A$41</c:f>
              <c:numCache>
                <c:formatCode>m"月"d"日";@</c:formatCode>
                <c:ptCount val="3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'zk79+225'!$L$6:$L$38</c:f>
              <c:numCache>
                <c:formatCode>0.00_ </c:formatCode>
                <c:ptCount val="33"/>
                <c:pt idx="0">
                  <c:v>0</c:v>
                </c:pt>
                <c:pt idx="1">
                  <c:v>0.59999999996307496</c:v>
                </c:pt>
                <c:pt idx="2">
                  <c:v>-0.30000000003838101</c:v>
                </c:pt>
                <c:pt idx="3">
                  <c:v>-9.9999999974897905E-2</c:v>
                </c:pt>
                <c:pt idx="4">
                  <c:v>-0.199999999949796</c:v>
                </c:pt>
                <c:pt idx="5">
                  <c:v>0.29999999992469401</c:v>
                </c:pt>
                <c:pt idx="6">
                  <c:v>-0.69999999993797202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-0.199999999949796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0.29999999992469401</c:v>
                </c:pt>
                <c:pt idx="13">
                  <c:v>-0.69999999993797202</c:v>
                </c:pt>
                <c:pt idx="14">
                  <c:v>-0.20000000006348301</c:v>
                </c:pt>
                <c:pt idx="15">
                  <c:v>0.15000000001919001</c:v>
                </c:pt>
                <c:pt idx="16">
                  <c:v>4.9999999987449001E-2</c:v>
                </c:pt>
                <c:pt idx="17">
                  <c:v>-9.9999999974897905E-2</c:v>
                </c:pt>
                <c:pt idx="18">
                  <c:v>-0.100000000031741</c:v>
                </c:pt>
                <c:pt idx="19">
                  <c:v>5.0000000044292399E-2</c:v>
                </c:pt>
                <c:pt idx="20">
                  <c:v>9.9999999974897905E-2</c:v>
                </c:pt>
                <c:pt idx="21">
                  <c:v>-0.20000000000663901</c:v>
                </c:pt>
                <c:pt idx="22">
                  <c:v>-4.9999999987449001E-2</c:v>
                </c:pt>
                <c:pt idx="23">
                  <c:v>8.0000000002655697E-2</c:v>
                </c:pt>
                <c:pt idx="24">
                  <c:v>-2.85714285804975E-2</c:v>
                </c:pt>
                <c:pt idx="25">
                  <c:v>-7.4074074055480001E-3</c:v>
                </c:pt>
              </c:numCache>
            </c:numRef>
          </c:val>
        </c:ser>
        <c:ser>
          <c:idx val="2"/>
          <c:order val="2"/>
          <c:tx>
            <c:strRef>
              <c:f>'zk79+225'!$M$4:$Q$4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'zk79+225'!$A$6:$A$41</c:f>
              <c:numCache>
                <c:formatCode>m"月"d"日";@</c:formatCode>
                <c:ptCount val="36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'zk79+225'!$Q$6:$Q$34</c:f>
              <c:numCache>
                <c:formatCode>0.00_ </c:formatCode>
                <c:ptCount val="29"/>
                <c:pt idx="0">
                  <c:v>0</c:v>
                </c:pt>
                <c:pt idx="1">
                  <c:v>-0.59999999996307496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-9.9999999974897905E-2</c:v>
                </c:pt>
                <c:pt idx="5">
                  <c:v>-0.30000000003838101</c:v>
                </c:pt>
                <c:pt idx="6">
                  <c:v>0.30000000003838101</c:v>
                </c:pt>
                <c:pt idx="7">
                  <c:v>-0.70000000005165897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0.199999999949796</c:v>
                </c:pt>
                <c:pt idx="13">
                  <c:v>-0.59999999996307496</c:v>
                </c:pt>
                <c:pt idx="14">
                  <c:v>-0.20000000006348301</c:v>
                </c:pt>
                <c:pt idx="15">
                  <c:v>5.0000000044292399E-2</c:v>
                </c:pt>
                <c:pt idx="16">
                  <c:v>4.9999999987449001E-2</c:v>
                </c:pt>
                <c:pt idx="17">
                  <c:v>-0.20000000000663901</c:v>
                </c:pt>
                <c:pt idx="18">
                  <c:v>4.9999999987449001E-2</c:v>
                </c:pt>
                <c:pt idx="19">
                  <c:v>-0.149999999962347</c:v>
                </c:pt>
                <c:pt idx="20">
                  <c:v>-0.100000000031741</c:v>
                </c:pt>
                <c:pt idx="21">
                  <c:v>4.9999999987449001E-2</c:v>
                </c:pt>
                <c:pt idx="22">
                  <c:v>0.15000000001919001</c:v>
                </c:pt>
                <c:pt idx="23">
                  <c:v>-1.99999999949796E-2</c:v>
                </c:pt>
                <c:pt idx="24">
                  <c:v>1.42857142821283E-2</c:v>
                </c:pt>
                <c:pt idx="25">
                  <c:v>3.703703702774E-3</c:v>
                </c:pt>
              </c:numCache>
            </c:numRef>
          </c:val>
        </c:ser>
        <c:dLbls/>
        <c:marker val="1"/>
        <c:axId val="384726912"/>
        <c:axId val="384831872"/>
      </c:lineChart>
      <c:dateAx>
        <c:axId val="3847269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831872"/>
        <c:crossesAt val="-50"/>
        <c:auto val="1"/>
        <c:lblOffset val="100"/>
        <c:baseTimeUnit val="days"/>
        <c:majorUnit val="8"/>
        <c:majorTimeUnit val="days"/>
      </c:dateAx>
      <c:valAx>
        <c:axId val="38483187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72691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'zk79+225'!$U$4:$W$4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'zk79+225'!$S$6:$S$44</c:f>
              <c:numCache>
                <c:formatCode>m"月"d"日";@</c:formatCode>
                <c:ptCount val="39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'zk79+225'!$W$6:$W$35</c:f>
              <c:numCache>
                <c:formatCode>0.00_ </c:formatCode>
                <c:ptCount val="30"/>
                <c:pt idx="0">
                  <c:v>0</c:v>
                </c:pt>
                <c:pt idx="1">
                  <c:v>0.39999999999906799</c:v>
                </c:pt>
                <c:pt idx="2">
                  <c:v>0.50000000000061096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9.99999999997669E-2</c:v>
                </c:pt>
                <c:pt idx="6">
                  <c:v>-0.50000000000061096</c:v>
                </c:pt>
                <c:pt idx="7">
                  <c:v>0.70000000000014495</c:v>
                </c:pt>
                <c:pt idx="8">
                  <c:v>9.99999999997669E-2</c:v>
                </c:pt>
                <c:pt idx="9">
                  <c:v>0.40000000000084401</c:v>
                </c:pt>
                <c:pt idx="10">
                  <c:v>-0.20000000000130999</c:v>
                </c:pt>
                <c:pt idx="11">
                  <c:v>0.30000000000107702</c:v>
                </c:pt>
                <c:pt idx="12">
                  <c:v>-9.99999999997669E-2</c:v>
                </c:pt>
                <c:pt idx="13">
                  <c:v>9.99999999997669E-2</c:v>
                </c:pt>
                <c:pt idx="14">
                  <c:v>0.19999999999953399</c:v>
                </c:pt>
                <c:pt idx="15">
                  <c:v>-4.9999999999883499E-2</c:v>
                </c:pt>
                <c:pt idx="16">
                  <c:v>4.9999999999883499E-2</c:v>
                </c:pt>
                <c:pt idx="17">
                  <c:v>9.99999999997669E-2</c:v>
                </c:pt>
                <c:pt idx="18">
                  <c:v>0.25000000000030598</c:v>
                </c:pt>
                <c:pt idx="19">
                  <c:v>0.35000000000007198</c:v>
                </c:pt>
                <c:pt idx="20">
                  <c:v>-9.99999999997669E-2</c:v>
                </c:pt>
                <c:pt idx="21">
                  <c:v>0.14999999999965</c:v>
                </c:pt>
                <c:pt idx="22">
                  <c:v>-9.99999999997669E-2</c:v>
                </c:pt>
                <c:pt idx="23">
                  <c:v>-1.9999999999953399E-2</c:v>
                </c:pt>
                <c:pt idx="24">
                  <c:v>-2.8571428571615699E-2</c:v>
                </c:pt>
                <c:pt idx="25">
                  <c:v>-7.4074074073901403E-3</c:v>
                </c:pt>
                <c:pt idx="27">
                  <c:v>9.99999999997669E-2</c:v>
                </c:pt>
              </c:numCache>
            </c:numRef>
          </c:val>
        </c:ser>
        <c:ser>
          <c:idx val="1"/>
          <c:order val="1"/>
          <c:tx>
            <c:strRef>
              <c:f>'zk79+225'!$Y$4:$AA$4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'zk79+225'!$S$6:$S$44</c:f>
              <c:numCache>
                <c:formatCode>m"月"d"日";@</c:formatCode>
                <c:ptCount val="39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'zk79+225'!$AA$6:$AA$34</c:f>
              <c:numCache>
                <c:formatCode>0.00_ </c:formatCode>
                <c:ptCount val="29"/>
                <c:pt idx="0">
                  <c:v>0</c:v>
                </c:pt>
                <c:pt idx="1">
                  <c:v>-0.40000000000261998</c:v>
                </c:pt>
                <c:pt idx="2">
                  <c:v>-0.19999999999953399</c:v>
                </c:pt>
                <c:pt idx="3">
                  <c:v>9.99999999997669E-2</c:v>
                </c:pt>
                <c:pt idx="4">
                  <c:v>-0.49999999999883499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-0.19999999999953399</c:v>
                </c:pt>
                <c:pt idx="8">
                  <c:v>0.29999999999930099</c:v>
                </c:pt>
                <c:pt idx="9">
                  <c:v>-0.70000000000192097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-0.49999999999883499</c:v>
                </c:pt>
                <c:pt idx="13">
                  <c:v>-0.19999999999953399</c:v>
                </c:pt>
                <c:pt idx="14">
                  <c:v>-0.50000000000238698</c:v>
                </c:pt>
                <c:pt idx="15">
                  <c:v>0.10000000000154299</c:v>
                </c:pt>
                <c:pt idx="16">
                  <c:v>9.99999999997669E-2</c:v>
                </c:pt>
                <c:pt idx="17">
                  <c:v>-0.20000000000130999</c:v>
                </c:pt>
                <c:pt idx="18">
                  <c:v>-0.14999999999965</c:v>
                </c:pt>
                <c:pt idx="19">
                  <c:v>9.99999999997669E-2</c:v>
                </c:pt>
                <c:pt idx="20">
                  <c:v>-0.14999999999965</c:v>
                </c:pt>
                <c:pt idx="21">
                  <c:v>4.9999999999883499E-2</c:v>
                </c:pt>
                <c:pt idx="22">
                  <c:v>9.99999999997669E-2</c:v>
                </c:pt>
                <c:pt idx="23">
                  <c:v>-1.9999999999953399E-2</c:v>
                </c:pt>
                <c:pt idx="24">
                  <c:v>-1.4285714285680999E-2</c:v>
                </c:pt>
                <c:pt idx="25">
                  <c:v>-3.7037037036950701E-3</c:v>
                </c:pt>
                <c:pt idx="27">
                  <c:v>6.66666666665113E-3</c:v>
                </c:pt>
              </c:numCache>
            </c:numRef>
          </c:val>
        </c:ser>
        <c:ser>
          <c:idx val="2"/>
          <c:order val="2"/>
          <c:tx>
            <c:strRef>
              <c:f>'zk79+225'!$AC$4:$AE$4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'zk79+225'!$S$6:$S$44</c:f>
              <c:numCache>
                <c:formatCode>m"月"d"日";@</c:formatCode>
                <c:ptCount val="39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'zk79+225'!$AE$6:$AE$41</c:f>
              <c:numCache>
                <c:formatCode>0.00_ </c:formatCode>
                <c:ptCount val="36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-0.50000000000061096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0.49999999999883499</c:v>
                </c:pt>
                <c:pt idx="9">
                  <c:v>-0.89999999999967895</c:v>
                </c:pt>
                <c:pt idx="10">
                  <c:v>0.40000000000084401</c:v>
                </c:pt>
                <c:pt idx="11">
                  <c:v>-0.799999999999912</c:v>
                </c:pt>
                <c:pt idx="12">
                  <c:v>0.19999999999953399</c:v>
                </c:pt>
                <c:pt idx="13">
                  <c:v>-0.60000000000037801</c:v>
                </c:pt>
                <c:pt idx="14">
                  <c:v>9.99999999997669E-2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-0.35000000000007198</c:v>
                </c:pt>
                <c:pt idx="19">
                  <c:v>-0.20000000000042201</c:v>
                </c:pt>
                <c:pt idx="20">
                  <c:v>-0.14999999999965</c:v>
                </c:pt>
                <c:pt idx="21">
                  <c:v>-4.9999999999883499E-2</c:v>
                </c:pt>
                <c:pt idx="22">
                  <c:v>0.14999999999965</c:v>
                </c:pt>
                <c:pt idx="23">
                  <c:v>3.9999999999906798E-2</c:v>
                </c:pt>
                <c:pt idx="24">
                  <c:v>1.4285714285680999E-2</c:v>
                </c:pt>
                <c:pt idx="25">
                  <c:v>3.7037037036950701E-3</c:v>
                </c:pt>
              </c:numCache>
            </c:numRef>
          </c:val>
        </c:ser>
        <c:dLbls/>
        <c:marker val="1"/>
        <c:axId val="384770048"/>
        <c:axId val="384771200"/>
      </c:lineChart>
      <c:dateAx>
        <c:axId val="3847700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771200"/>
        <c:crossesAt val="-50"/>
        <c:auto val="1"/>
        <c:lblOffset val="100"/>
        <c:baseTimeUnit val="days"/>
        <c:majorUnit val="8"/>
        <c:majorTimeUnit val="days"/>
      </c:dateAx>
      <c:valAx>
        <c:axId val="38477120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77004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'zk79+225'!$C$4:$G$4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'zk79+225'!$A$6:$A$37</c:f>
              <c:numCache>
                <c:formatCode>m"月"d"日";@</c:formatCode>
                <c:ptCount val="32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'zk79+225'!$F$6:$F$32</c:f>
              <c:numCache>
                <c:formatCode>0.00_ </c:formatCode>
                <c:ptCount val="27"/>
                <c:pt idx="0">
                  <c:v>0</c:v>
                </c:pt>
                <c:pt idx="1">
                  <c:v>0.39999999989959201</c:v>
                </c:pt>
                <c:pt idx="2">
                  <c:v>0.199999999949796</c:v>
                </c:pt>
                <c:pt idx="3">
                  <c:v>9.9999999974897905E-2</c:v>
                </c:pt>
                <c:pt idx="4">
                  <c:v>-0.10000000008858501</c:v>
                </c:pt>
                <c:pt idx="5">
                  <c:v>-0.60000000007676102</c:v>
                </c:pt>
                <c:pt idx="6">
                  <c:v>-0.50000000010186296</c:v>
                </c:pt>
                <c:pt idx="7">
                  <c:v>-0.70000000005165897</c:v>
                </c:pt>
                <c:pt idx="8">
                  <c:v>-0.30000000003838101</c:v>
                </c:pt>
                <c:pt idx="9">
                  <c:v>-1.1000000000649399</c:v>
                </c:pt>
                <c:pt idx="10">
                  <c:v>-1.30000000001473</c:v>
                </c:pt>
                <c:pt idx="11">
                  <c:v>-1.00000000009004</c:v>
                </c:pt>
                <c:pt idx="12">
                  <c:v>-1.70000000002801</c:v>
                </c:pt>
                <c:pt idx="13">
                  <c:v>-1.9000000000915001</c:v>
                </c:pt>
                <c:pt idx="14">
                  <c:v>-1.60000000005311</c:v>
                </c:pt>
                <c:pt idx="15">
                  <c:v>-1.70000000002801</c:v>
                </c:pt>
                <c:pt idx="16">
                  <c:v>-1.8000000000029099</c:v>
                </c:pt>
                <c:pt idx="17">
                  <c:v>-1.70000000002801</c:v>
                </c:pt>
                <c:pt idx="18">
                  <c:v>-1.60000000005311</c:v>
                </c:pt>
                <c:pt idx="19">
                  <c:v>-1.9000000000915001</c:v>
                </c:pt>
                <c:pt idx="20">
                  <c:v>-1.70000000002801</c:v>
                </c:pt>
                <c:pt idx="21">
                  <c:v>-2.00000000006639</c:v>
                </c:pt>
                <c:pt idx="22">
                  <c:v>-2.1000000000412902</c:v>
                </c:pt>
                <c:pt idx="23">
                  <c:v>-1.8000000000029099</c:v>
                </c:pt>
                <c:pt idx="24">
                  <c:v>-2.00000000006639</c:v>
                </c:pt>
                <c:pt idx="25">
                  <c:v>-2.2000000000161899</c:v>
                </c:pt>
              </c:numCache>
            </c:numRef>
          </c:val>
        </c:ser>
        <c:ser>
          <c:idx val="1"/>
          <c:order val="1"/>
          <c:tx>
            <c:strRef>
              <c:f>'zk79+225'!$H$4:$L$4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'zk79+225'!$A$6:$A$37</c:f>
              <c:numCache>
                <c:formatCode>m"月"d"日";@</c:formatCode>
                <c:ptCount val="32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'zk79+225'!$K$6:$K$33</c:f>
              <c:numCache>
                <c:formatCode>0.00_ </c:formatCode>
                <c:ptCount val="28"/>
                <c:pt idx="0">
                  <c:v>0</c:v>
                </c:pt>
                <c:pt idx="1">
                  <c:v>0.59999999996307496</c:v>
                </c:pt>
                <c:pt idx="2">
                  <c:v>0.29999999992469401</c:v>
                </c:pt>
                <c:pt idx="3">
                  <c:v>0.199999999949796</c:v>
                </c:pt>
                <c:pt idx="4">
                  <c:v>0</c:v>
                </c:pt>
                <c:pt idx="5">
                  <c:v>0.29999999992469401</c:v>
                </c:pt>
                <c:pt idx="6">
                  <c:v>-0.40000000001327901</c:v>
                </c:pt>
                <c:pt idx="7">
                  <c:v>-0.60000000007676102</c:v>
                </c:pt>
                <c:pt idx="8">
                  <c:v>-0.80000000002655702</c:v>
                </c:pt>
                <c:pt idx="9">
                  <c:v>-0.99999999997635303</c:v>
                </c:pt>
                <c:pt idx="10">
                  <c:v>-1.2000000000398401</c:v>
                </c:pt>
                <c:pt idx="11">
                  <c:v>-1.39999999998963</c:v>
                </c:pt>
                <c:pt idx="12">
                  <c:v>-1.1000000000649399</c:v>
                </c:pt>
                <c:pt idx="13">
                  <c:v>-1.8000000000029099</c:v>
                </c:pt>
                <c:pt idx="14">
                  <c:v>-2.00000000006639</c:v>
                </c:pt>
                <c:pt idx="15">
                  <c:v>-1.70000000002801</c:v>
                </c:pt>
                <c:pt idx="16">
                  <c:v>-1.60000000005311</c:v>
                </c:pt>
                <c:pt idx="17">
                  <c:v>-1.8000000000029099</c:v>
                </c:pt>
                <c:pt idx="18">
                  <c:v>-2.00000000006639</c:v>
                </c:pt>
                <c:pt idx="19">
                  <c:v>-1.8999999999778101</c:v>
                </c:pt>
                <c:pt idx="20">
                  <c:v>-1.70000000002801</c:v>
                </c:pt>
                <c:pt idx="21">
                  <c:v>-2.1000000000412902</c:v>
                </c:pt>
                <c:pt idx="22">
                  <c:v>-2.2000000000161899</c:v>
                </c:pt>
                <c:pt idx="23">
                  <c:v>-1.8000000000029099</c:v>
                </c:pt>
                <c:pt idx="24">
                  <c:v>-2.00000000006639</c:v>
                </c:pt>
                <c:pt idx="25">
                  <c:v>-2.2000000000161899</c:v>
                </c:pt>
                <c:pt idx="27">
                  <c:v>-6.6666666649932002E-3</c:v>
                </c:pt>
              </c:numCache>
            </c:numRef>
          </c:val>
        </c:ser>
        <c:ser>
          <c:idx val="2"/>
          <c:order val="2"/>
          <c:tx>
            <c:strRef>
              <c:f>'zk79+225'!$M$4:$Q$4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'zk79+225'!$A$6:$A$37</c:f>
              <c:numCache>
                <c:formatCode>m"月"d"日";@</c:formatCode>
                <c:ptCount val="32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'zk79+225'!$P$6:$P$31</c:f>
              <c:numCache>
                <c:formatCode>0.00_ </c:formatCode>
                <c:ptCount val="26"/>
                <c:pt idx="0">
                  <c:v>0</c:v>
                </c:pt>
                <c:pt idx="1">
                  <c:v>-0.59999999996307496</c:v>
                </c:pt>
                <c:pt idx="2">
                  <c:v>-0.79999999991286996</c:v>
                </c:pt>
                <c:pt idx="3">
                  <c:v>-0.99999999997635303</c:v>
                </c:pt>
                <c:pt idx="4">
                  <c:v>-1.09999999995125</c:v>
                </c:pt>
                <c:pt idx="5">
                  <c:v>-1.39999999998963</c:v>
                </c:pt>
                <c:pt idx="6">
                  <c:v>-1.09999999995125</c:v>
                </c:pt>
                <c:pt idx="7">
                  <c:v>-1.8000000000029099</c:v>
                </c:pt>
                <c:pt idx="8">
                  <c:v>-1.9999999999527101</c:v>
                </c:pt>
                <c:pt idx="9">
                  <c:v>-1.8999999999778101</c:v>
                </c:pt>
                <c:pt idx="10">
                  <c:v>-2.39999999996598</c:v>
                </c:pt>
                <c:pt idx="11">
                  <c:v>-2.5999999999157799</c:v>
                </c:pt>
                <c:pt idx="12">
                  <c:v>-2.39999999996598</c:v>
                </c:pt>
                <c:pt idx="13">
                  <c:v>-2.9999999999290599</c:v>
                </c:pt>
                <c:pt idx="14">
                  <c:v>-3.1999999999925399</c:v>
                </c:pt>
                <c:pt idx="15">
                  <c:v>-3.09999999990396</c:v>
                </c:pt>
                <c:pt idx="16">
                  <c:v>-2.9999999999290599</c:v>
                </c:pt>
                <c:pt idx="17">
                  <c:v>-3.3999999999423398</c:v>
                </c:pt>
                <c:pt idx="18">
                  <c:v>-3.2999999999674401</c:v>
                </c:pt>
                <c:pt idx="19">
                  <c:v>-3.5999999998921299</c:v>
                </c:pt>
                <c:pt idx="20">
                  <c:v>-3.7999999999556202</c:v>
                </c:pt>
                <c:pt idx="21">
                  <c:v>-3.69999999998072</c:v>
                </c:pt>
                <c:pt idx="22">
                  <c:v>-3.3999999999423398</c:v>
                </c:pt>
                <c:pt idx="23">
                  <c:v>-3.49999999991724</c:v>
                </c:pt>
                <c:pt idx="24">
                  <c:v>-3.3999999999423398</c:v>
                </c:pt>
                <c:pt idx="25">
                  <c:v>-3.2999999999674401</c:v>
                </c:pt>
              </c:numCache>
            </c:numRef>
          </c:val>
        </c:ser>
        <c:dLbls/>
        <c:marker val="1"/>
        <c:axId val="384977152"/>
        <c:axId val="384992384"/>
      </c:lineChart>
      <c:lineChart>
        <c:grouping val="standard"/>
        <c:ser>
          <c:idx val="3"/>
          <c:order val="3"/>
          <c:tx>
            <c:strRef>
              <c:f>'zk79+225'!$AG$3:$AG$5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'zk79+225'!$A$6:$A$47</c:f>
              <c:numCache>
                <c:formatCode>m"月"d"日";@</c:formatCode>
                <c:ptCount val="42"/>
                <c:pt idx="0">
                  <c:v>44533</c:v>
                </c:pt>
                <c:pt idx="1">
                  <c:v>44534</c:v>
                </c:pt>
                <c:pt idx="2">
                  <c:v>44535</c:v>
                </c:pt>
                <c:pt idx="3">
                  <c:v>44536</c:v>
                </c:pt>
                <c:pt idx="4">
                  <c:v>44537</c:v>
                </c:pt>
                <c:pt idx="5">
                  <c:v>44538</c:v>
                </c:pt>
                <c:pt idx="6">
                  <c:v>44539</c:v>
                </c:pt>
                <c:pt idx="7">
                  <c:v>44540</c:v>
                </c:pt>
                <c:pt idx="8">
                  <c:v>44541</c:v>
                </c:pt>
                <c:pt idx="9">
                  <c:v>44542</c:v>
                </c:pt>
                <c:pt idx="10">
                  <c:v>44543</c:v>
                </c:pt>
                <c:pt idx="11">
                  <c:v>44544</c:v>
                </c:pt>
                <c:pt idx="12">
                  <c:v>44545</c:v>
                </c:pt>
                <c:pt idx="13">
                  <c:v>44546</c:v>
                </c:pt>
                <c:pt idx="14">
                  <c:v>44547</c:v>
                </c:pt>
                <c:pt idx="15">
                  <c:v>44549</c:v>
                </c:pt>
                <c:pt idx="16">
                  <c:v>44551</c:v>
                </c:pt>
                <c:pt idx="17">
                  <c:v>44553</c:v>
                </c:pt>
                <c:pt idx="18">
                  <c:v>44555</c:v>
                </c:pt>
                <c:pt idx="19">
                  <c:v>44557</c:v>
                </c:pt>
                <c:pt idx="20">
                  <c:v>44559</c:v>
                </c:pt>
                <c:pt idx="21">
                  <c:v>44561</c:v>
                </c:pt>
                <c:pt idx="22">
                  <c:v>44563</c:v>
                </c:pt>
                <c:pt idx="23">
                  <c:v>44568</c:v>
                </c:pt>
                <c:pt idx="24">
                  <c:v>44575</c:v>
                </c:pt>
                <c:pt idx="25">
                  <c:v>44602</c:v>
                </c:pt>
              </c:numCache>
            </c:numRef>
          </c:cat>
          <c:val>
            <c:numRef>
              <c:f>'zk79+225'!$AG$6:$AG$44</c:f>
              <c:numCache>
                <c:formatCode>0.0_ </c:formatCode>
                <c:ptCount val="39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33</c:v>
                </c:pt>
                <c:pt idx="16">
                  <c:v>35</c:v>
                </c:pt>
                <c:pt idx="17">
                  <c:v>37</c:v>
                </c:pt>
                <c:pt idx="18">
                  <c:v>48</c:v>
                </c:pt>
                <c:pt idx="19">
                  <c:v>60</c:v>
                </c:pt>
                <c:pt idx="20">
                  <c:v>72</c:v>
                </c:pt>
                <c:pt idx="21">
                  <c:v>84</c:v>
                </c:pt>
                <c:pt idx="22">
                  <c:v>96</c:v>
                </c:pt>
                <c:pt idx="23">
                  <c:v>102</c:v>
                </c:pt>
                <c:pt idx="24">
                  <c:v>139</c:v>
                </c:pt>
                <c:pt idx="25">
                  <c:v>176</c:v>
                </c:pt>
              </c:numCache>
            </c:numRef>
          </c:val>
        </c:ser>
        <c:dLbls/>
        <c:marker val="1"/>
        <c:axId val="384994304"/>
        <c:axId val="384996096"/>
      </c:lineChart>
      <c:dateAx>
        <c:axId val="3849771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992384"/>
        <c:crossesAt val="-50"/>
        <c:auto val="1"/>
        <c:lblOffset val="100"/>
        <c:baseTimeUnit val="days"/>
        <c:majorUnit val="8"/>
        <c:majorTimeUnit val="days"/>
      </c:dateAx>
      <c:valAx>
        <c:axId val="384992384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977152"/>
        <c:crosses val="autoZero"/>
        <c:crossBetween val="midCat"/>
        <c:majorUnit val="1"/>
        <c:minorUnit val="0.5"/>
      </c:valAx>
      <c:dateAx>
        <c:axId val="3849943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4996096"/>
        <c:crosses val="autoZero"/>
        <c:auto val="1"/>
        <c:lblOffset val="100"/>
        <c:baseTimeUnit val="days"/>
      </c:dateAx>
      <c:valAx>
        <c:axId val="384996096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994304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'zk79+238'!$U$4:$W$4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'zk79+238'!$S$6:$S$34</c:f>
              <c:numCache>
                <c:formatCode>m"月"d"日";@</c:formatCode>
                <c:ptCount val="29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'zk79+238'!$V$6:$V$36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-9.99999999997669E-2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-1.20000000000076</c:v>
                </c:pt>
                <c:pt idx="9">
                  <c:v>-1.4000000000002899</c:v>
                </c:pt>
                <c:pt idx="10">
                  <c:v>-2.0000000000006701</c:v>
                </c:pt>
                <c:pt idx="11">
                  <c:v>-1.9000000000009001</c:v>
                </c:pt>
                <c:pt idx="12">
                  <c:v>-2.3999999999997401</c:v>
                </c:pt>
                <c:pt idx="13">
                  <c:v>-2.0000000000006701</c:v>
                </c:pt>
                <c:pt idx="14">
                  <c:v>-2.3999999999997401</c:v>
                </c:pt>
                <c:pt idx="15">
                  <c:v>-2.6000000000010499</c:v>
                </c:pt>
                <c:pt idx="16">
                  <c:v>-2.4999999999995</c:v>
                </c:pt>
                <c:pt idx="17">
                  <c:v>-3.0000000000001101</c:v>
                </c:pt>
                <c:pt idx="18">
                  <c:v>-3.1999999999996498</c:v>
                </c:pt>
                <c:pt idx="19">
                  <c:v>-3.0999999999998802</c:v>
                </c:pt>
                <c:pt idx="20">
                  <c:v>-3.6000000000004899</c:v>
                </c:pt>
                <c:pt idx="21">
                  <c:v>-3.70000000000026</c:v>
                </c:pt>
                <c:pt idx="22">
                  <c:v>-3.80000000000003</c:v>
                </c:pt>
                <c:pt idx="23">
                  <c:v>-3.5000000000007199</c:v>
                </c:pt>
                <c:pt idx="24">
                  <c:v>-3.40000000000096</c:v>
                </c:pt>
                <c:pt idx="25">
                  <c:v>-3.1999999999996498</c:v>
                </c:pt>
                <c:pt idx="26">
                  <c:v>-3.5000000000007199</c:v>
                </c:pt>
                <c:pt idx="27">
                  <c:v>-3.2999999999994101</c:v>
                </c:pt>
                <c:pt idx="29">
                  <c:v>0.20000000000308699</c:v>
                </c:pt>
              </c:numCache>
            </c:numRef>
          </c:val>
        </c:ser>
        <c:ser>
          <c:idx val="1"/>
          <c:order val="1"/>
          <c:tx>
            <c:strRef>
              <c:f>'zk79+238'!$Y$4:$AA$4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'zk79+238'!$S$6:$S$33</c:f>
              <c:numCache>
                <c:formatCode>m"月"d"日";@</c:formatCode>
                <c:ptCount val="28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'zk79+238'!$Z$6:$Z$37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0.19999999999953399</c:v>
                </c:pt>
                <c:pt idx="3">
                  <c:v>-0.59999999999860198</c:v>
                </c:pt>
                <c:pt idx="4">
                  <c:v>-0.79999999999813598</c:v>
                </c:pt>
                <c:pt idx="5">
                  <c:v>-1.3000000000005201</c:v>
                </c:pt>
                <c:pt idx="6">
                  <c:v>-1.1999999999972</c:v>
                </c:pt>
                <c:pt idx="7">
                  <c:v>-0.89999999999790203</c:v>
                </c:pt>
                <c:pt idx="8">
                  <c:v>-1.0999999999974399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-1.7999999999993599</c:v>
                </c:pt>
                <c:pt idx="12">
                  <c:v>-2.0999999999986598</c:v>
                </c:pt>
                <c:pt idx="13">
                  <c:v>-1.8999999999991199</c:v>
                </c:pt>
                <c:pt idx="14">
                  <c:v>-2.0999999999986598</c:v>
                </c:pt>
                <c:pt idx="15">
                  <c:v>-2.3999999999979602</c:v>
                </c:pt>
                <c:pt idx="16">
                  <c:v>-2.5999999999974901</c:v>
                </c:pt>
                <c:pt idx="17">
                  <c:v>-2.8000000000005798</c:v>
                </c:pt>
                <c:pt idx="18">
                  <c:v>-2.6999999999972601</c:v>
                </c:pt>
                <c:pt idx="19">
                  <c:v>-3.1999999999996498</c:v>
                </c:pt>
                <c:pt idx="20">
                  <c:v>-3.3999999999991801</c:v>
                </c:pt>
                <c:pt idx="21">
                  <c:v>-3.5999999999987198</c:v>
                </c:pt>
                <c:pt idx="22">
                  <c:v>-3.2999999999994101</c:v>
                </c:pt>
                <c:pt idx="23">
                  <c:v>-3.0999999999998802</c:v>
                </c:pt>
                <c:pt idx="24">
                  <c:v>-2.8000000000005798</c:v>
                </c:pt>
                <c:pt idx="25">
                  <c:v>-2.9000000000003499</c:v>
                </c:pt>
                <c:pt idx="26">
                  <c:v>-2.8000000000005798</c:v>
                </c:pt>
                <c:pt idx="27">
                  <c:v>-2.5999999999974901</c:v>
                </c:pt>
                <c:pt idx="29">
                  <c:v>-2.8999999999896899</c:v>
                </c:pt>
              </c:numCache>
            </c:numRef>
          </c:val>
        </c:ser>
        <c:ser>
          <c:idx val="2"/>
          <c:order val="2"/>
          <c:tx>
            <c:strRef>
              <c:f>'zk79+238'!$AC$4:$AE$4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'zk79+238'!$S$6:$S$33</c:f>
              <c:numCache>
                <c:formatCode>m"月"d"日";@</c:formatCode>
                <c:ptCount val="28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'zk79+238'!$AD$6:$AD$41</c:f>
              <c:numCache>
                <c:formatCode>0.00_ </c:formatCode>
                <c:ptCount val="36"/>
                <c:pt idx="0">
                  <c:v>0</c:v>
                </c:pt>
                <c:pt idx="1">
                  <c:v>-0.19999999999953399</c:v>
                </c:pt>
                <c:pt idx="2">
                  <c:v>0.200000000010192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-0.29999999998864302</c:v>
                </c:pt>
                <c:pt idx="6">
                  <c:v>-1.1999999999989801</c:v>
                </c:pt>
                <c:pt idx="7">
                  <c:v>-1.4000000000091699</c:v>
                </c:pt>
                <c:pt idx="8">
                  <c:v>-1.2999999999898599</c:v>
                </c:pt>
                <c:pt idx="9">
                  <c:v>-1.80000000001002</c:v>
                </c:pt>
                <c:pt idx="10">
                  <c:v>-2.0000000000095501</c:v>
                </c:pt>
                <c:pt idx="11">
                  <c:v>-1.8999999999902399</c:v>
                </c:pt>
                <c:pt idx="12">
                  <c:v>-1.5999999999891701</c:v>
                </c:pt>
                <c:pt idx="13">
                  <c:v>-1.4999999999894</c:v>
                </c:pt>
                <c:pt idx="14">
                  <c:v>-1.39999999998963</c:v>
                </c:pt>
                <c:pt idx="15">
                  <c:v>-1.5999999999891701</c:v>
                </c:pt>
                <c:pt idx="16">
                  <c:v>-1.7999999999887</c:v>
                </c:pt>
                <c:pt idx="17">
                  <c:v>-1.6999999999889299</c:v>
                </c:pt>
                <c:pt idx="18">
                  <c:v>-1.4999999999894</c:v>
                </c:pt>
                <c:pt idx="19">
                  <c:v>-1.8999999999902399</c:v>
                </c:pt>
                <c:pt idx="20">
                  <c:v>-2.49999999998884</c:v>
                </c:pt>
                <c:pt idx="21">
                  <c:v>-2.6999999999901498</c:v>
                </c:pt>
                <c:pt idx="22">
                  <c:v>-2.3999999999890802</c:v>
                </c:pt>
                <c:pt idx="23">
                  <c:v>-2.5999999999886101</c:v>
                </c:pt>
                <c:pt idx="24">
                  <c:v>-2.6999999999901498</c:v>
                </c:pt>
                <c:pt idx="25">
                  <c:v>-2.7999999999899199</c:v>
                </c:pt>
                <c:pt idx="26">
                  <c:v>-2.99999999998946</c:v>
                </c:pt>
                <c:pt idx="27">
                  <c:v>-2.8999999999896899</c:v>
                </c:pt>
              </c:numCache>
            </c:numRef>
          </c:val>
        </c:ser>
        <c:dLbls/>
        <c:marker val="1"/>
        <c:axId val="385189760"/>
        <c:axId val="385213184"/>
      </c:lineChart>
      <c:lineChart>
        <c:grouping val="standard"/>
        <c:ser>
          <c:idx val="3"/>
          <c:order val="3"/>
          <c:tx>
            <c:strRef>
              <c:f>'zk79+238'!$AG$3:$AG$5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'zk79+238'!$S$6:$S$51</c:f>
              <c:numCache>
                <c:formatCode>m"月"d"日";@</c:formatCode>
                <c:ptCount val="46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'zk79+238'!$AG$6:$AG$45</c:f>
              <c:numCache>
                <c:formatCode>0.0_ </c:formatCode>
                <c:ptCount val="40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34</c:v>
                </c:pt>
                <c:pt idx="13">
                  <c:v>40</c:v>
                </c:pt>
                <c:pt idx="14">
                  <c:v>46</c:v>
                </c:pt>
                <c:pt idx="15">
                  <c:v>52</c:v>
                </c:pt>
                <c:pt idx="16">
                  <c:v>58</c:v>
                </c:pt>
                <c:pt idx="17">
                  <c:v>64</c:v>
                </c:pt>
                <c:pt idx="18">
                  <c:v>70</c:v>
                </c:pt>
                <c:pt idx="19">
                  <c:v>76</c:v>
                </c:pt>
                <c:pt idx="20">
                  <c:v>84</c:v>
                </c:pt>
                <c:pt idx="21">
                  <c:v>92</c:v>
                </c:pt>
                <c:pt idx="22">
                  <c:v>100</c:v>
                </c:pt>
                <c:pt idx="23">
                  <c:v>121</c:v>
                </c:pt>
                <c:pt idx="24">
                  <c:v>126</c:v>
                </c:pt>
                <c:pt idx="25">
                  <c:v>135</c:v>
                </c:pt>
                <c:pt idx="26">
                  <c:v>158</c:v>
                </c:pt>
                <c:pt idx="27">
                  <c:v>171</c:v>
                </c:pt>
              </c:numCache>
            </c:numRef>
          </c:val>
        </c:ser>
        <c:dLbls/>
        <c:marker val="1"/>
        <c:axId val="385215104"/>
        <c:axId val="385032576"/>
      </c:lineChart>
      <c:dateAx>
        <c:axId val="3851897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213184"/>
        <c:crossesAt val="-50"/>
        <c:auto val="1"/>
        <c:lblOffset val="100"/>
        <c:baseTimeUnit val="days"/>
        <c:majorUnit val="7"/>
        <c:majorTimeUnit val="days"/>
      </c:dateAx>
      <c:valAx>
        <c:axId val="38521318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189760"/>
        <c:crosses val="autoZero"/>
        <c:crossBetween val="midCat"/>
        <c:majorUnit val="1"/>
        <c:minorUnit val="0.1"/>
      </c:valAx>
      <c:dateAx>
        <c:axId val="3852151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5032576"/>
        <c:crosses val="autoZero"/>
        <c:auto val="1"/>
        <c:lblOffset val="100"/>
        <c:baseTimeUnit val="days"/>
      </c:dateAx>
      <c:valAx>
        <c:axId val="385032576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215104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'zk79+238'!$C$4:$G$4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'zk79+238'!$A$6:$A$42</c:f>
              <c:numCache>
                <c:formatCode>m"月"d"日";@</c:formatCode>
                <c:ptCount val="37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'zk79+238'!$G$6:$G$38</c:f>
              <c:numCache>
                <c:formatCode>0.00_ </c:formatCode>
                <c:ptCount val="33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0.199999999949796</c:v>
                </c:pt>
                <c:pt idx="4">
                  <c:v>-0.59999999996307496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-0.199999999949796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9.9999999974897905E-2</c:v>
                </c:pt>
                <c:pt idx="15">
                  <c:v>-9.9999999974897905E-2</c:v>
                </c:pt>
                <c:pt idx="16">
                  <c:v>-5.0000000044292399E-2</c:v>
                </c:pt>
                <c:pt idx="17">
                  <c:v>-9.9999999974897905E-2</c:v>
                </c:pt>
                <c:pt idx="18">
                  <c:v>-4.9999999987449001E-2</c:v>
                </c:pt>
                <c:pt idx="19">
                  <c:v>-0.30000000003838101</c:v>
                </c:pt>
                <c:pt idx="20">
                  <c:v>0.20000000000663901</c:v>
                </c:pt>
                <c:pt idx="21">
                  <c:v>-0.149999999962347</c:v>
                </c:pt>
                <c:pt idx="22">
                  <c:v>-5.0000000044292399E-2</c:v>
                </c:pt>
                <c:pt idx="23">
                  <c:v>0.10000000001279399</c:v>
                </c:pt>
                <c:pt idx="24">
                  <c:v>-1.42857142821283E-2</c:v>
                </c:pt>
                <c:pt idx="25">
                  <c:v>-2.85714285804975E-2</c:v>
                </c:pt>
                <c:pt idx="26">
                  <c:v>-7.6923076903767703E-3</c:v>
                </c:pt>
                <c:pt idx="27">
                  <c:v>1.3333333337565499E-2</c:v>
                </c:pt>
                <c:pt idx="29">
                  <c:v>-0.199999999949796</c:v>
                </c:pt>
              </c:numCache>
            </c:numRef>
          </c:val>
        </c:ser>
        <c:ser>
          <c:idx val="1"/>
          <c:order val="1"/>
          <c:tx>
            <c:strRef>
              <c:f>'zk79+238'!$H$4:$L$4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'zk79+238'!$A$6:$A$42</c:f>
              <c:numCache>
                <c:formatCode>m"月"d"日";@</c:formatCode>
                <c:ptCount val="37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'zk79+238'!$L$6:$L$39</c:f>
              <c:numCache>
                <c:formatCode>0.00_ </c:formatCode>
                <c:ptCount val="34"/>
                <c:pt idx="0">
                  <c:v>0</c:v>
                </c:pt>
                <c:pt idx="1">
                  <c:v>0.20000000006348301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0.29999999992469401</c:v>
                </c:pt>
                <c:pt idx="5">
                  <c:v>-0.69999999993797202</c:v>
                </c:pt>
                <c:pt idx="6">
                  <c:v>-0.20000000006348301</c:v>
                </c:pt>
                <c:pt idx="7">
                  <c:v>0.60000000007676102</c:v>
                </c:pt>
                <c:pt idx="8">
                  <c:v>-0.99999999997635303</c:v>
                </c:pt>
                <c:pt idx="9">
                  <c:v>0.49999999998817701</c:v>
                </c:pt>
                <c:pt idx="10">
                  <c:v>-0.90000000000145497</c:v>
                </c:pt>
                <c:pt idx="11">
                  <c:v>-0.20000000006348301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-0.29999999992469401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-0.100000000031741</c:v>
                </c:pt>
                <c:pt idx="19">
                  <c:v>4.9999999987449001E-2</c:v>
                </c:pt>
                <c:pt idx="20">
                  <c:v>-0.149999999962347</c:v>
                </c:pt>
                <c:pt idx="21">
                  <c:v>-5.0000000044292399E-2</c:v>
                </c:pt>
                <c:pt idx="22">
                  <c:v>-9.9999999974897905E-2</c:v>
                </c:pt>
                <c:pt idx="23">
                  <c:v>0.13333333333776001</c:v>
                </c:pt>
                <c:pt idx="24">
                  <c:v>1.42857142821283E-2</c:v>
                </c:pt>
                <c:pt idx="25">
                  <c:v>4.2857142862625798E-2</c:v>
                </c:pt>
                <c:pt idx="26">
                  <c:v>-2.3076923079875401E-2</c:v>
                </c:pt>
                <c:pt idx="27">
                  <c:v>6.6666666649932002E-3</c:v>
                </c:pt>
              </c:numCache>
            </c:numRef>
          </c:val>
        </c:ser>
        <c:ser>
          <c:idx val="2"/>
          <c:order val="2"/>
          <c:tx>
            <c:strRef>
              <c:f>'zk79+238'!$M$4:$Q$4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'zk79+238'!$A$6:$A$42</c:f>
              <c:numCache>
                <c:formatCode>m"月"d"日";@</c:formatCode>
                <c:ptCount val="37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'zk79+238'!$Q$6:$Q$35</c:f>
              <c:numCache>
                <c:formatCode>0.00_ </c:formatCode>
                <c:ptCount val="30"/>
                <c:pt idx="0">
                  <c:v>0</c:v>
                </c:pt>
                <c:pt idx="1">
                  <c:v>-0.69999999993797202</c:v>
                </c:pt>
                <c:pt idx="2">
                  <c:v>0.29999999992469401</c:v>
                </c:pt>
                <c:pt idx="3">
                  <c:v>-0.199999999949796</c:v>
                </c:pt>
                <c:pt idx="4">
                  <c:v>0.199999999949796</c:v>
                </c:pt>
                <c:pt idx="5">
                  <c:v>-0.59999999996307496</c:v>
                </c:pt>
                <c:pt idx="6">
                  <c:v>-0.199999999949796</c:v>
                </c:pt>
                <c:pt idx="7">
                  <c:v>0.49999999998817701</c:v>
                </c:pt>
                <c:pt idx="8">
                  <c:v>-0.90000000000145497</c:v>
                </c:pt>
                <c:pt idx="9">
                  <c:v>-0.20000000006348301</c:v>
                </c:pt>
                <c:pt idx="10">
                  <c:v>0.30000000003838101</c:v>
                </c:pt>
                <c:pt idx="11">
                  <c:v>-0.70000000005165897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9.9999999974897905E-2</c:v>
                </c:pt>
                <c:pt idx="15">
                  <c:v>0</c:v>
                </c:pt>
                <c:pt idx="16">
                  <c:v>-9.9999999974897905E-2</c:v>
                </c:pt>
                <c:pt idx="17">
                  <c:v>-0.15000000001919001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4.9999999987449001E-2</c:v>
                </c:pt>
                <c:pt idx="21">
                  <c:v>5.0000000044292399E-2</c:v>
                </c:pt>
                <c:pt idx="22">
                  <c:v>-0.20000000000663901</c:v>
                </c:pt>
                <c:pt idx="23">
                  <c:v>3.3333333324965998E-2</c:v>
                </c:pt>
                <c:pt idx="24">
                  <c:v>-2.85714285804975E-2</c:v>
                </c:pt>
                <c:pt idx="25">
                  <c:v>-2.8571428564256599E-2</c:v>
                </c:pt>
                <c:pt idx="26">
                  <c:v>-2.3076923079875401E-2</c:v>
                </c:pt>
                <c:pt idx="27">
                  <c:v>2.00000000025587E-2</c:v>
                </c:pt>
              </c:numCache>
            </c:numRef>
          </c:val>
        </c:ser>
        <c:dLbls/>
        <c:marker val="1"/>
        <c:axId val="384973056"/>
        <c:axId val="385086208"/>
      </c:lineChart>
      <c:dateAx>
        <c:axId val="3849730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086208"/>
        <c:crossesAt val="-50"/>
        <c:auto val="1"/>
        <c:lblOffset val="100"/>
        <c:baseTimeUnit val="days"/>
        <c:majorUnit val="7"/>
        <c:majorTimeUnit val="days"/>
      </c:dateAx>
      <c:valAx>
        <c:axId val="38508620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97305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'zk79+238'!$U$4:$W$4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'zk79+238'!$S$6:$S$45</c:f>
              <c:numCache>
                <c:formatCode>m"月"d"日";@</c:formatCode>
                <c:ptCount val="40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'zk79+238'!$W$6:$W$36</c:f>
              <c:numCache>
                <c:formatCode>0.00_ </c:formatCode>
                <c:ptCount val="31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0.50000000000061096</c:v>
                </c:pt>
                <c:pt idx="4">
                  <c:v>0.19999999999953399</c:v>
                </c:pt>
                <c:pt idx="5">
                  <c:v>-0.70000000000014495</c:v>
                </c:pt>
                <c:pt idx="6">
                  <c:v>1.10000000000099</c:v>
                </c:pt>
                <c:pt idx="7">
                  <c:v>0.19999999999953399</c:v>
                </c:pt>
                <c:pt idx="8">
                  <c:v>-0.19999999999953399</c:v>
                </c:pt>
                <c:pt idx="9">
                  <c:v>0.19999999999953399</c:v>
                </c:pt>
                <c:pt idx="10">
                  <c:v>0.60000000000037801</c:v>
                </c:pt>
                <c:pt idx="11">
                  <c:v>-9.99999999997669E-2</c:v>
                </c:pt>
                <c:pt idx="12">
                  <c:v>0.49999999999883499</c:v>
                </c:pt>
                <c:pt idx="13">
                  <c:v>-0.39999999999906799</c:v>
                </c:pt>
                <c:pt idx="14">
                  <c:v>0.39999999999906799</c:v>
                </c:pt>
                <c:pt idx="15">
                  <c:v>0.100000000000655</c:v>
                </c:pt>
                <c:pt idx="16">
                  <c:v>-5.0000000000771601E-2</c:v>
                </c:pt>
                <c:pt idx="17">
                  <c:v>0.25000000000030598</c:v>
                </c:pt>
                <c:pt idx="18">
                  <c:v>9.99999999997669E-2</c:v>
                </c:pt>
                <c:pt idx="19">
                  <c:v>-4.9999999999883499E-2</c:v>
                </c:pt>
                <c:pt idx="20">
                  <c:v>0.25000000000030598</c:v>
                </c:pt>
                <c:pt idx="21">
                  <c:v>4.9999999999883499E-2</c:v>
                </c:pt>
                <c:pt idx="22">
                  <c:v>4.9999999999883499E-2</c:v>
                </c:pt>
                <c:pt idx="23">
                  <c:v>-9.99999999997669E-2</c:v>
                </c:pt>
                <c:pt idx="24">
                  <c:v>-1.4285714285680999E-2</c:v>
                </c:pt>
                <c:pt idx="25">
                  <c:v>-2.8571428571615699E-2</c:v>
                </c:pt>
                <c:pt idx="26">
                  <c:v>2.3076923077005901E-2</c:v>
                </c:pt>
                <c:pt idx="27">
                  <c:v>-1.33333333334207E-2</c:v>
                </c:pt>
                <c:pt idx="29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'zk79+238'!$Y$4:$AA$4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'zk79+238'!$S$6:$S$45</c:f>
              <c:numCache>
                <c:formatCode>m"月"d"日";@</c:formatCode>
                <c:ptCount val="40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'zk79+238'!$AA$6:$AA$35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-0.19999999999953399</c:v>
                </c:pt>
                <c:pt idx="2">
                  <c:v>0.39999999999906799</c:v>
                </c:pt>
                <c:pt idx="3">
                  <c:v>-0.79999999999813598</c:v>
                </c:pt>
                <c:pt idx="4">
                  <c:v>-0.19999999999953399</c:v>
                </c:pt>
                <c:pt idx="5">
                  <c:v>-0.50000000000238698</c:v>
                </c:pt>
                <c:pt idx="6">
                  <c:v>0.10000000000332</c:v>
                </c:pt>
                <c:pt idx="7">
                  <c:v>0.29999999999930099</c:v>
                </c:pt>
                <c:pt idx="8">
                  <c:v>-0.19999999999953399</c:v>
                </c:pt>
                <c:pt idx="9">
                  <c:v>-0.70000000000192097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-0.29999999999930099</c:v>
                </c:pt>
                <c:pt idx="13">
                  <c:v>0.19999999999953399</c:v>
                </c:pt>
                <c:pt idx="14">
                  <c:v>-0.19999999999953399</c:v>
                </c:pt>
                <c:pt idx="15">
                  <c:v>-0.14999999999965</c:v>
                </c:pt>
                <c:pt idx="16">
                  <c:v>-9.99999999997669E-2</c:v>
                </c:pt>
                <c:pt idx="17">
                  <c:v>-0.10000000000154299</c:v>
                </c:pt>
                <c:pt idx="18">
                  <c:v>5.00000000016598E-2</c:v>
                </c:pt>
                <c:pt idx="19">
                  <c:v>-0.25000000000119399</c:v>
                </c:pt>
                <c:pt idx="20">
                  <c:v>-9.99999999997669E-2</c:v>
                </c:pt>
                <c:pt idx="21">
                  <c:v>-9.99999999997669E-2</c:v>
                </c:pt>
                <c:pt idx="22">
                  <c:v>0.14999999999965</c:v>
                </c:pt>
                <c:pt idx="23">
                  <c:v>6.6666666666511304E-2</c:v>
                </c:pt>
                <c:pt idx="24">
                  <c:v>4.2857142857043E-2</c:v>
                </c:pt>
                <c:pt idx="25">
                  <c:v>-1.4285714285680999E-2</c:v>
                </c:pt>
                <c:pt idx="26">
                  <c:v>7.69230769228976E-3</c:v>
                </c:pt>
                <c:pt idx="27">
                  <c:v>1.33333333335391E-2</c:v>
                </c:pt>
                <c:pt idx="29">
                  <c:v>-6.66666666665113E-3</c:v>
                </c:pt>
              </c:numCache>
            </c:numRef>
          </c:val>
        </c:ser>
        <c:ser>
          <c:idx val="2"/>
          <c:order val="2"/>
          <c:tx>
            <c:strRef>
              <c:f>'zk79+238'!$AC$4:$AE$4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'zk79+238'!$S$6:$S$45</c:f>
              <c:numCache>
                <c:formatCode>m"月"d"日";@</c:formatCode>
                <c:ptCount val="40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'zk79+238'!$AE$6:$AE$42</c:f>
              <c:numCache>
                <c:formatCode>0.00_ </c:formatCode>
                <c:ptCount val="37"/>
                <c:pt idx="0">
                  <c:v>0</c:v>
                </c:pt>
                <c:pt idx="1">
                  <c:v>-0.19999999999953399</c:v>
                </c:pt>
                <c:pt idx="2">
                  <c:v>0.40000000000972602</c:v>
                </c:pt>
                <c:pt idx="3">
                  <c:v>-0.80000000000879401</c:v>
                </c:pt>
                <c:pt idx="4">
                  <c:v>-0.20000000000130999</c:v>
                </c:pt>
                <c:pt idx="5">
                  <c:v>0.50000000001126899</c:v>
                </c:pt>
                <c:pt idx="6">
                  <c:v>-0.90000000001033698</c:v>
                </c:pt>
                <c:pt idx="7">
                  <c:v>-0.200000000010192</c:v>
                </c:pt>
                <c:pt idx="8">
                  <c:v>0.10000000001930701</c:v>
                </c:pt>
                <c:pt idx="9">
                  <c:v>-0.50000000002015099</c:v>
                </c:pt>
                <c:pt idx="10">
                  <c:v>-0.19999999999953399</c:v>
                </c:pt>
                <c:pt idx="11">
                  <c:v>0.10000000001930701</c:v>
                </c:pt>
                <c:pt idx="12">
                  <c:v>0.30000000000107702</c:v>
                </c:pt>
                <c:pt idx="13">
                  <c:v>9.99999999997669E-2</c:v>
                </c:pt>
                <c:pt idx="14">
                  <c:v>9.99999999997669E-2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9.99999999997669E-2</c:v>
                </c:pt>
                <c:pt idx="19">
                  <c:v>-0.20000000000042201</c:v>
                </c:pt>
                <c:pt idx="20">
                  <c:v>-0.29999999999930099</c:v>
                </c:pt>
                <c:pt idx="21">
                  <c:v>-0.100000000000655</c:v>
                </c:pt>
                <c:pt idx="22">
                  <c:v>0.15000000000053901</c:v>
                </c:pt>
                <c:pt idx="23">
                  <c:v>-6.6666666666511304E-2</c:v>
                </c:pt>
                <c:pt idx="24">
                  <c:v>-1.42857142859348E-2</c:v>
                </c:pt>
                <c:pt idx="25">
                  <c:v>-1.4285714285680999E-2</c:v>
                </c:pt>
                <c:pt idx="26">
                  <c:v>-1.5384615384579499E-2</c:v>
                </c:pt>
                <c:pt idx="27">
                  <c:v>6.66666666665113E-3</c:v>
                </c:pt>
              </c:numCache>
            </c:numRef>
          </c:val>
        </c:ser>
        <c:dLbls/>
        <c:marker val="1"/>
        <c:axId val="385068032"/>
        <c:axId val="385263104"/>
      </c:lineChart>
      <c:dateAx>
        <c:axId val="3850680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263104"/>
        <c:crossesAt val="-50"/>
        <c:auto val="1"/>
        <c:lblOffset val="100"/>
        <c:baseTimeUnit val="days"/>
        <c:majorUnit val="7"/>
        <c:majorTimeUnit val="days"/>
      </c:dateAx>
      <c:valAx>
        <c:axId val="38526310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06803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'zk79+238'!$C$4:$G$4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'zk79+238'!$A$6:$A$38</c:f>
              <c:numCache>
                <c:formatCode>m"月"d"日";@</c:formatCode>
                <c:ptCount val="33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'zk79+238'!$F$6:$F$37</c:f>
              <c:numCache>
                <c:formatCode>0.00_ </c:formatCode>
                <c:ptCount val="32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-0.10000000008858501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-1.2000000000398401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-1.60000000005311</c:v>
                </c:pt>
                <c:pt idx="10">
                  <c:v>-1.9000000000915001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-2.2000000000161899</c:v>
                </c:pt>
                <c:pt idx="14">
                  <c:v>-2.1000000000412902</c:v>
                </c:pt>
                <c:pt idx="15">
                  <c:v>-2.2999999999910901</c:v>
                </c:pt>
                <c:pt idx="16">
                  <c:v>-2.40000000007967</c:v>
                </c:pt>
                <c:pt idx="17">
                  <c:v>-2.6000000000294698</c:v>
                </c:pt>
                <c:pt idx="18">
                  <c:v>-2.70000000000437</c:v>
                </c:pt>
                <c:pt idx="19">
                  <c:v>-3.30000000008113</c:v>
                </c:pt>
                <c:pt idx="20">
                  <c:v>-2.9000000000678501</c:v>
                </c:pt>
                <c:pt idx="21">
                  <c:v>-3.1999999999925399</c:v>
                </c:pt>
                <c:pt idx="22">
                  <c:v>-3.30000000008113</c:v>
                </c:pt>
                <c:pt idx="23">
                  <c:v>-3.0000000000427498</c:v>
                </c:pt>
                <c:pt idx="24">
                  <c:v>-3.1000000000176402</c:v>
                </c:pt>
                <c:pt idx="25">
                  <c:v>-3.30000000008113</c:v>
                </c:pt>
                <c:pt idx="26">
                  <c:v>-3.40000000005602</c:v>
                </c:pt>
                <c:pt idx="27">
                  <c:v>-3.1999999999925399</c:v>
                </c:pt>
                <c:pt idx="29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'zk79+238'!$H$4:$L$4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'zk79+238'!$A$6:$A$38</c:f>
              <c:numCache>
                <c:formatCode>m"月"d"日";@</c:formatCode>
                <c:ptCount val="33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'zk79+238'!$K$6:$K$34</c:f>
              <c:numCache>
                <c:formatCode>0.00_ </c:formatCode>
                <c:ptCount val="29"/>
                <c:pt idx="0">
                  <c:v>0</c:v>
                </c:pt>
                <c:pt idx="1">
                  <c:v>0.20000000006348301</c:v>
                </c:pt>
                <c:pt idx="2">
                  <c:v>-9.9999999974897905E-2</c:v>
                </c:pt>
                <c:pt idx="3">
                  <c:v>-0.29999999992469401</c:v>
                </c:pt>
                <c:pt idx="4">
                  <c:v>0</c:v>
                </c:pt>
                <c:pt idx="5">
                  <c:v>-0.69999999993797202</c:v>
                </c:pt>
                <c:pt idx="6">
                  <c:v>-0.90000000000145497</c:v>
                </c:pt>
                <c:pt idx="7">
                  <c:v>-0.29999999992469401</c:v>
                </c:pt>
                <c:pt idx="8">
                  <c:v>-1.2999999999010501</c:v>
                </c:pt>
                <c:pt idx="9">
                  <c:v>-0.79999999991286996</c:v>
                </c:pt>
                <c:pt idx="10">
                  <c:v>-1.69999999991433</c:v>
                </c:pt>
                <c:pt idx="11">
                  <c:v>-1.8999999999778101</c:v>
                </c:pt>
                <c:pt idx="12">
                  <c:v>-1.9999999999527101</c:v>
                </c:pt>
                <c:pt idx="13">
                  <c:v>-2.2999999999910901</c:v>
                </c:pt>
                <c:pt idx="14">
                  <c:v>-2.5999999999157799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-3.09999999990396</c:v>
                </c:pt>
                <c:pt idx="18">
                  <c:v>-3.2999999999674401</c:v>
                </c:pt>
                <c:pt idx="19">
                  <c:v>-3.1999999999925399</c:v>
                </c:pt>
                <c:pt idx="20">
                  <c:v>-3.49999999991724</c:v>
                </c:pt>
                <c:pt idx="21">
                  <c:v>-3.6000000000058199</c:v>
                </c:pt>
                <c:pt idx="22">
                  <c:v>-3.7999999999556202</c:v>
                </c:pt>
                <c:pt idx="23">
                  <c:v>-3.3999999999423398</c:v>
                </c:pt>
                <c:pt idx="24">
                  <c:v>-3.2999999999674401</c:v>
                </c:pt>
                <c:pt idx="25">
                  <c:v>-2.9999999999290599</c:v>
                </c:pt>
                <c:pt idx="26">
                  <c:v>-3.2999999999674401</c:v>
                </c:pt>
                <c:pt idx="27">
                  <c:v>-3.1999999999925399</c:v>
                </c:pt>
              </c:numCache>
            </c:numRef>
          </c:val>
        </c:ser>
        <c:ser>
          <c:idx val="2"/>
          <c:order val="2"/>
          <c:tx>
            <c:strRef>
              <c:f>'zk79+238'!$M$4:$Q$4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'zk79+238'!$A$6:$A$38</c:f>
              <c:numCache>
                <c:formatCode>m"月"d"日";@</c:formatCode>
                <c:ptCount val="33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'zk79+238'!$P$6:$P$30</c:f>
              <c:numCache>
                <c:formatCode>0.00_ </c:formatCode>
                <c:ptCount val="25"/>
                <c:pt idx="0">
                  <c:v>0</c:v>
                </c:pt>
                <c:pt idx="1">
                  <c:v>-0.69999999993797202</c:v>
                </c:pt>
                <c:pt idx="2">
                  <c:v>-0.40000000001327901</c:v>
                </c:pt>
                <c:pt idx="3">
                  <c:v>-0.59999999996307496</c:v>
                </c:pt>
                <c:pt idx="4">
                  <c:v>-0.40000000001327901</c:v>
                </c:pt>
                <c:pt idx="5">
                  <c:v>-0.99999999997635303</c:v>
                </c:pt>
                <c:pt idx="6">
                  <c:v>-1.1999999999261499</c:v>
                </c:pt>
                <c:pt idx="7">
                  <c:v>-0.69999999993797202</c:v>
                </c:pt>
                <c:pt idx="8">
                  <c:v>-1.5999999999394301</c:v>
                </c:pt>
                <c:pt idx="9">
                  <c:v>-1.8000000000029099</c:v>
                </c:pt>
                <c:pt idx="10">
                  <c:v>-1.4999999999645299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-2.2999999999910901</c:v>
                </c:pt>
                <c:pt idx="14">
                  <c:v>-2.2000000000161899</c:v>
                </c:pt>
                <c:pt idx="15">
                  <c:v>-2.2000000000161899</c:v>
                </c:pt>
                <c:pt idx="16">
                  <c:v>-2.39999999996598</c:v>
                </c:pt>
                <c:pt idx="17">
                  <c:v>-2.70000000000437</c:v>
                </c:pt>
                <c:pt idx="18">
                  <c:v>-2.8999999999541601</c:v>
                </c:pt>
                <c:pt idx="19">
                  <c:v>-2.79999999997926</c:v>
                </c:pt>
                <c:pt idx="20">
                  <c:v>-2.70000000000437</c:v>
                </c:pt>
                <c:pt idx="21">
                  <c:v>-2.5999999999157799</c:v>
                </c:pt>
                <c:pt idx="22">
                  <c:v>-2.9999999999290599</c:v>
                </c:pt>
                <c:pt idx="23">
                  <c:v>-2.8999999999541601</c:v>
                </c:pt>
                <c:pt idx="24">
                  <c:v>-3.1000000000176402</c:v>
                </c:pt>
              </c:numCache>
            </c:numRef>
          </c:val>
        </c:ser>
        <c:dLbls/>
        <c:marker val="1"/>
        <c:axId val="385346176"/>
        <c:axId val="385361408"/>
      </c:lineChart>
      <c:lineChart>
        <c:grouping val="standard"/>
        <c:ser>
          <c:idx val="3"/>
          <c:order val="3"/>
          <c:tx>
            <c:strRef>
              <c:f>'zk79+238'!$AG$3:$AG$5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'zk79+238'!$A$6:$A$48</c:f>
              <c:numCache>
                <c:formatCode>m"月"d"日";@</c:formatCode>
                <c:ptCount val="43"/>
                <c:pt idx="0">
                  <c:v>44537</c:v>
                </c:pt>
                <c:pt idx="1">
                  <c:v>44538</c:v>
                </c:pt>
                <c:pt idx="2">
                  <c:v>44539</c:v>
                </c:pt>
                <c:pt idx="3">
                  <c:v>44540</c:v>
                </c:pt>
                <c:pt idx="4">
                  <c:v>44541</c:v>
                </c:pt>
                <c:pt idx="5">
                  <c:v>44542</c:v>
                </c:pt>
                <c:pt idx="6">
                  <c:v>44543</c:v>
                </c:pt>
                <c:pt idx="7">
                  <c:v>44544</c:v>
                </c:pt>
                <c:pt idx="8">
                  <c:v>44545</c:v>
                </c:pt>
                <c:pt idx="9">
                  <c:v>44546</c:v>
                </c:pt>
                <c:pt idx="10">
                  <c:v>44547</c:v>
                </c:pt>
                <c:pt idx="11">
                  <c:v>44548</c:v>
                </c:pt>
                <c:pt idx="12">
                  <c:v>44549</c:v>
                </c:pt>
                <c:pt idx="13">
                  <c:v>44550</c:v>
                </c:pt>
                <c:pt idx="14">
                  <c:v>44551</c:v>
                </c:pt>
                <c:pt idx="15">
                  <c:v>44553</c:v>
                </c:pt>
                <c:pt idx="16">
                  <c:v>44555</c:v>
                </c:pt>
                <c:pt idx="17">
                  <c:v>44557</c:v>
                </c:pt>
                <c:pt idx="18">
                  <c:v>44559</c:v>
                </c:pt>
                <c:pt idx="19">
                  <c:v>44561</c:v>
                </c:pt>
                <c:pt idx="20">
                  <c:v>44563</c:v>
                </c:pt>
                <c:pt idx="21">
                  <c:v>44565</c:v>
                </c:pt>
                <c:pt idx="22">
                  <c:v>44567</c:v>
                </c:pt>
                <c:pt idx="23">
                  <c:v>44570</c:v>
                </c:pt>
                <c:pt idx="24">
                  <c:v>44577</c:v>
                </c:pt>
                <c:pt idx="25">
                  <c:v>44584</c:v>
                </c:pt>
                <c:pt idx="26">
                  <c:v>44597</c:v>
                </c:pt>
                <c:pt idx="27">
                  <c:v>44612</c:v>
                </c:pt>
              </c:numCache>
            </c:numRef>
          </c:cat>
          <c:val>
            <c:numRef>
              <c:f>'zk79+238'!$AG$6:$AG$45</c:f>
              <c:numCache>
                <c:formatCode>0.0_ </c:formatCode>
                <c:ptCount val="40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34</c:v>
                </c:pt>
                <c:pt idx="13">
                  <c:v>40</c:v>
                </c:pt>
                <c:pt idx="14">
                  <c:v>46</c:v>
                </c:pt>
                <c:pt idx="15">
                  <c:v>52</c:v>
                </c:pt>
                <c:pt idx="16">
                  <c:v>58</c:v>
                </c:pt>
                <c:pt idx="17">
                  <c:v>64</c:v>
                </c:pt>
                <c:pt idx="18">
                  <c:v>70</c:v>
                </c:pt>
                <c:pt idx="19">
                  <c:v>76</c:v>
                </c:pt>
                <c:pt idx="20">
                  <c:v>84</c:v>
                </c:pt>
                <c:pt idx="21">
                  <c:v>92</c:v>
                </c:pt>
                <c:pt idx="22">
                  <c:v>100</c:v>
                </c:pt>
                <c:pt idx="23">
                  <c:v>121</c:v>
                </c:pt>
                <c:pt idx="24">
                  <c:v>126</c:v>
                </c:pt>
                <c:pt idx="25">
                  <c:v>135</c:v>
                </c:pt>
                <c:pt idx="26">
                  <c:v>158</c:v>
                </c:pt>
                <c:pt idx="27">
                  <c:v>171</c:v>
                </c:pt>
              </c:numCache>
            </c:numRef>
          </c:val>
        </c:ser>
        <c:dLbls/>
        <c:marker val="1"/>
        <c:axId val="385363328"/>
        <c:axId val="385377408"/>
      </c:lineChart>
      <c:dateAx>
        <c:axId val="385346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361408"/>
        <c:crossesAt val="-50"/>
        <c:auto val="1"/>
        <c:lblOffset val="100"/>
        <c:baseTimeUnit val="days"/>
        <c:majorUnit val="7"/>
        <c:majorTimeUnit val="days"/>
      </c:dateAx>
      <c:valAx>
        <c:axId val="385361408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346176"/>
        <c:crosses val="autoZero"/>
        <c:crossBetween val="midCat"/>
        <c:majorUnit val="1.2"/>
        <c:minorUnit val="0.5"/>
      </c:valAx>
      <c:dateAx>
        <c:axId val="38536332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5377408"/>
        <c:crosses val="autoZero"/>
        <c:auto val="1"/>
        <c:lblOffset val="100"/>
        <c:baseTimeUnit val="days"/>
      </c:dateAx>
      <c:valAx>
        <c:axId val="385377408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363328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'zk79+251'!$S$6:$S$33</c:f>
              <c:numCache>
                <c:formatCode>m"月"d"日";@</c:formatCode>
                <c:ptCount val="2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'zk79+251'!$V$6:$V$37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0.40000000000084401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-1.1999999999989801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-1.3000000000005201</c:v>
                </c:pt>
                <c:pt idx="9">
                  <c:v>-2.10000000000043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-2.3999999999997401</c:v>
                </c:pt>
                <c:pt idx="13">
                  <c:v>-2.2999999999999701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-2.9000000000003499</c:v>
                </c:pt>
                <c:pt idx="18">
                  <c:v>-3.6000000000004899</c:v>
                </c:pt>
                <c:pt idx="19">
                  <c:v>-3.3999999999991801</c:v>
                </c:pt>
                <c:pt idx="20">
                  <c:v>-3.70000000000026</c:v>
                </c:pt>
                <c:pt idx="21">
                  <c:v>-3.6000000000004899</c:v>
                </c:pt>
                <c:pt idx="22">
                  <c:v>-3.1999999999996498</c:v>
                </c:pt>
                <c:pt idx="23">
                  <c:v>-3.0000000000001101</c:v>
                </c:pt>
                <c:pt idx="24">
                  <c:v>-3.0999999999998802</c:v>
                </c:pt>
                <c:pt idx="25">
                  <c:v>-3.1999999999996498</c:v>
                </c:pt>
                <c:pt idx="26">
                  <c:v>-3.0000000000001101</c:v>
                </c:pt>
                <c:pt idx="27">
                  <c:v>-2.8000000000005798</c:v>
                </c:pt>
                <c:pt idx="29">
                  <c:v>9.99999999997669E-2</c:v>
                </c:pt>
              </c:numCache>
            </c:numRef>
          </c:val>
        </c:ser>
        <c:ser>
          <c:idx val="1"/>
          <c:order val="1"/>
          <c:tx>
            <c:strRef>
              <c:f>'zk79+251'!$Y$4:$AA$4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'zk79+251'!$S$6:$S$33</c:f>
              <c:numCache>
                <c:formatCode>m"月"d"日";@</c:formatCode>
                <c:ptCount val="2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'zk79+251'!$Z$6:$Z$38</c:f>
              <c:numCache>
                <c:formatCode>0.00_ </c:formatCode>
                <c:ptCount val="33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-0.29999999999930099</c:v>
                </c:pt>
                <c:pt idx="4">
                  <c:v>-0.49999999999883499</c:v>
                </c:pt>
                <c:pt idx="5">
                  <c:v>-1.0000000000012199</c:v>
                </c:pt>
                <c:pt idx="6">
                  <c:v>-0.90000000000145497</c:v>
                </c:pt>
                <c:pt idx="7">
                  <c:v>-1.0000000000012199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-1.50000000000006</c:v>
                </c:pt>
                <c:pt idx="12">
                  <c:v>-2.1000000000022099</c:v>
                </c:pt>
                <c:pt idx="13">
                  <c:v>-2.3000000000017402</c:v>
                </c:pt>
                <c:pt idx="14">
                  <c:v>-2.5000000000012799</c:v>
                </c:pt>
                <c:pt idx="15">
                  <c:v>-1.99999999999889</c:v>
                </c:pt>
                <c:pt idx="16">
                  <c:v>-2.9000000000003499</c:v>
                </c:pt>
                <c:pt idx="17">
                  <c:v>-3.0999999999998802</c:v>
                </c:pt>
                <c:pt idx="18">
                  <c:v>-2.5000000000012799</c:v>
                </c:pt>
                <c:pt idx="19">
                  <c:v>-2.4000000000015098</c:v>
                </c:pt>
                <c:pt idx="20">
                  <c:v>-2.5000000000012799</c:v>
                </c:pt>
                <c:pt idx="21">
                  <c:v>-2.7000000000008102</c:v>
                </c:pt>
                <c:pt idx="22">
                  <c:v>-2.3000000000017402</c:v>
                </c:pt>
                <c:pt idx="23">
                  <c:v>-2.2000000000019799</c:v>
                </c:pt>
                <c:pt idx="24">
                  <c:v>-2.4000000000015098</c:v>
                </c:pt>
                <c:pt idx="25">
                  <c:v>-2.3000000000017402</c:v>
                </c:pt>
                <c:pt idx="26">
                  <c:v>-2.4000000000015098</c:v>
                </c:pt>
                <c:pt idx="27">
                  <c:v>-2.1000000000022099</c:v>
                </c:pt>
                <c:pt idx="29">
                  <c:v>-2.2999999999999701</c:v>
                </c:pt>
              </c:numCache>
            </c:numRef>
          </c:val>
        </c:ser>
        <c:ser>
          <c:idx val="2"/>
          <c:order val="2"/>
          <c:tx>
            <c:strRef>
              <c:f>'zk79+251'!$AC$4:$AE$4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'zk79+251'!$S$6:$S$33</c:f>
              <c:numCache>
                <c:formatCode>m"月"d"日";@</c:formatCode>
                <c:ptCount val="2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'zk79+251'!$AD$6:$AD$42</c:f>
              <c:numCache>
                <c:formatCode>0.00_ </c:formatCode>
                <c:ptCount val="37"/>
                <c:pt idx="0">
                  <c:v>0</c:v>
                </c:pt>
                <c:pt idx="1">
                  <c:v>-0.19999999999953399</c:v>
                </c:pt>
                <c:pt idx="2">
                  <c:v>0.60000000000037801</c:v>
                </c:pt>
                <c:pt idx="3">
                  <c:v>0</c:v>
                </c:pt>
                <c:pt idx="4">
                  <c:v>-9.99999999997669E-2</c:v>
                </c:pt>
                <c:pt idx="5">
                  <c:v>-0.19999999999953399</c:v>
                </c:pt>
                <c:pt idx="6">
                  <c:v>-0.29999999999930099</c:v>
                </c:pt>
                <c:pt idx="7">
                  <c:v>9.99999999997669E-2</c:v>
                </c:pt>
                <c:pt idx="8">
                  <c:v>-0.49999999999883499</c:v>
                </c:pt>
                <c:pt idx="9">
                  <c:v>-0.59999999999860198</c:v>
                </c:pt>
                <c:pt idx="10">
                  <c:v>-0.19999999999953399</c:v>
                </c:pt>
                <c:pt idx="11">
                  <c:v>-0.799999999999912</c:v>
                </c:pt>
                <c:pt idx="12">
                  <c:v>-0.89999999999967895</c:v>
                </c:pt>
                <c:pt idx="13">
                  <c:v>-1.1999999999989801</c:v>
                </c:pt>
                <c:pt idx="14">
                  <c:v>-1.2999999999987499</c:v>
                </c:pt>
                <c:pt idx="15">
                  <c:v>-1.1999999999989801</c:v>
                </c:pt>
                <c:pt idx="16">
                  <c:v>-1.2999999999987499</c:v>
                </c:pt>
                <c:pt idx="17">
                  <c:v>-0.999999999999446</c:v>
                </c:pt>
                <c:pt idx="18">
                  <c:v>-1.50000000000006</c:v>
                </c:pt>
                <c:pt idx="19">
                  <c:v>-1.6999999999995901</c:v>
                </c:pt>
                <c:pt idx="20">
                  <c:v>-1.99999999999889</c:v>
                </c:pt>
                <c:pt idx="21">
                  <c:v>-2.2000000000002</c:v>
                </c:pt>
                <c:pt idx="22">
                  <c:v>-1.8999999999991199</c:v>
                </c:pt>
                <c:pt idx="23">
                  <c:v>-2.0999999999986598</c:v>
                </c:pt>
                <c:pt idx="24">
                  <c:v>-2.2000000000002</c:v>
                </c:pt>
                <c:pt idx="25">
                  <c:v>-1.99999999999889</c:v>
                </c:pt>
                <c:pt idx="26">
                  <c:v>-2.0999999999986598</c:v>
                </c:pt>
                <c:pt idx="27">
                  <c:v>-2.2999999999999701</c:v>
                </c:pt>
              </c:numCache>
            </c:numRef>
          </c:val>
        </c:ser>
        <c:dLbls/>
        <c:marker val="1"/>
        <c:axId val="385591936"/>
        <c:axId val="385598592"/>
      </c:lineChart>
      <c:lineChart>
        <c:grouping val="standard"/>
        <c:ser>
          <c:idx val="3"/>
          <c:order val="3"/>
          <c:tx>
            <c:strRef>
              <c:f>'zk79+251'!$AG$3:$AG$5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'zk79+251'!$S$6:$S$29</c:f>
              <c:numCache>
                <c:formatCode>m"月"d"日";@</c:formatCode>
                <c:ptCount val="24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</c:numCache>
            </c:numRef>
          </c:cat>
          <c:val>
            <c:numRef>
              <c:f>'zk79+251'!$AG$6:$AG$33</c:f>
              <c:numCache>
                <c:formatCode>0.0_ </c:formatCode>
                <c:ptCount val="28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30</c:v>
                </c:pt>
                <c:pt idx="8">
                  <c:v>33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48</c:v>
                </c:pt>
                <c:pt idx="14">
                  <c:v>51</c:v>
                </c:pt>
                <c:pt idx="15">
                  <c:v>54</c:v>
                </c:pt>
                <c:pt idx="16">
                  <c:v>64</c:v>
                </c:pt>
                <c:pt idx="17">
                  <c:v>76</c:v>
                </c:pt>
                <c:pt idx="18">
                  <c:v>88</c:v>
                </c:pt>
                <c:pt idx="19">
                  <c:v>95</c:v>
                </c:pt>
                <c:pt idx="20">
                  <c:v>102</c:v>
                </c:pt>
                <c:pt idx="21">
                  <c:v>109</c:v>
                </c:pt>
                <c:pt idx="22">
                  <c:v>114.800000000003</c:v>
                </c:pt>
                <c:pt idx="23">
                  <c:v>134.199999999997</c:v>
                </c:pt>
                <c:pt idx="24">
                  <c:v>134.199999999997</c:v>
                </c:pt>
                <c:pt idx="25">
                  <c:v>134.199999999997</c:v>
                </c:pt>
                <c:pt idx="26">
                  <c:v>142</c:v>
                </c:pt>
                <c:pt idx="27">
                  <c:v>153.60000000000599</c:v>
                </c:pt>
              </c:numCache>
            </c:numRef>
          </c:val>
        </c:ser>
        <c:dLbls/>
        <c:marker val="1"/>
        <c:axId val="385600512"/>
        <c:axId val="385417984"/>
      </c:lineChart>
      <c:dateAx>
        <c:axId val="3855919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598592"/>
        <c:crossesAt val="-50"/>
        <c:auto val="1"/>
        <c:lblOffset val="100"/>
        <c:baseTimeUnit val="days"/>
      </c:dateAx>
      <c:valAx>
        <c:axId val="38559859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591936"/>
        <c:crosses val="autoZero"/>
        <c:crossBetween val="midCat"/>
        <c:majorUnit val="1"/>
        <c:minorUnit val="0.1"/>
      </c:valAx>
      <c:dateAx>
        <c:axId val="38560051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5417984"/>
        <c:crosses val="autoZero"/>
        <c:auto val="1"/>
        <c:lblOffset val="100"/>
        <c:baseTimeUnit val="days"/>
      </c:dateAx>
      <c:valAx>
        <c:axId val="385417984"/>
        <c:scaling>
          <c:orientation val="minMax"/>
          <c:max val="2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600512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'zk79+251'!$A$6:$A$43</c:f>
              <c:numCache>
                <c:formatCode>m"月"d"日";@</c:formatCode>
                <c:ptCount val="3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'zk79+251'!$G$6:$G$39</c:f>
              <c:numCache>
                <c:formatCode>0.00_ </c:formatCode>
                <c:ptCount val="34"/>
                <c:pt idx="0">
                  <c:v>0</c:v>
                </c:pt>
                <c:pt idx="1">
                  <c:v>-0.49999999998817701</c:v>
                </c:pt>
                <c:pt idx="2">
                  <c:v>9.9999999974897905E-2</c:v>
                </c:pt>
                <c:pt idx="3">
                  <c:v>-0.29999999992469401</c:v>
                </c:pt>
                <c:pt idx="4">
                  <c:v>-0.20000000006348301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0.40000000001327901</c:v>
                </c:pt>
                <c:pt idx="15">
                  <c:v>-0.40000000001327901</c:v>
                </c:pt>
                <c:pt idx="16">
                  <c:v>-9.9999999974897905E-2</c:v>
                </c:pt>
                <c:pt idx="17">
                  <c:v>0.29999999998153698</c:v>
                </c:pt>
                <c:pt idx="18">
                  <c:v>-0.149999999962347</c:v>
                </c:pt>
                <c:pt idx="19">
                  <c:v>9.9999999974897905E-2</c:v>
                </c:pt>
                <c:pt idx="20">
                  <c:v>-9.9999999974897905E-2</c:v>
                </c:pt>
                <c:pt idx="21">
                  <c:v>4.9999999987449001E-2</c:v>
                </c:pt>
                <c:pt idx="22">
                  <c:v>0.149999999962347</c:v>
                </c:pt>
                <c:pt idx="23">
                  <c:v>4.0000000012696497E-2</c:v>
                </c:pt>
                <c:pt idx="24">
                  <c:v>-1.99999999949796E-2</c:v>
                </c:pt>
                <c:pt idx="25">
                  <c:v>-1.8181818187589301E-2</c:v>
                </c:pt>
                <c:pt idx="26">
                  <c:v>4.0000000012696497E-2</c:v>
                </c:pt>
                <c:pt idx="27">
                  <c:v>2.9999999992469401E-2</c:v>
                </c:pt>
                <c:pt idx="29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'zk79+251'!$H$4:$L$4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'zk79+251'!$A$6:$A$43</c:f>
              <c:numCache>
                <c:formatCode>m"月"d"日";@</c:formatCode>
                <c:ptCount val="3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'zk79+251'!$L$6:$L$40</c:f>
              <c:numCache>
                <c:formatCode>0.00_ </c:formatCode>
                <c:ptCount val="35"/>
                <c:pt idx="0">
                  <c:v>0</c:v>
                </c:pt>
                <c:pt idx="1">
                  <c:v>0.30000000003838101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-0.29999999992469401</c:v>
                </c:pt>
                <c:pt idx="5">
                  <c:v>-0.30000000003838101</c:v>
                </c:pt>
                <c:pt idx="6">
                  <c:v>-9.9999999974897905E-2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-0.199999999949796</c:v>
                </c:pt>
                <c:pt idx="12">
                  <c:v>0.29999999992469401</c:v>
                </c:pt>
                <c:pt idx="13">
                  <c:v>-0.69999999993797202</c:v>
                </c:pt>
                <c:pt idx="14">
                  <c:v>-0.20000000006348301</c:v>
                </c:pt>
                <c:pt idx="15">
                  <c:v>0.24999999999408801</c:v>
                </c:pt>
                <c:pt idx="16">
                  <c:v>-0.45000000000072798</c:v>
                </c:pt>
                <c:pt idx="17">
                  <c:v>-9.9999999974897905E-2</c:v>
                </c:pt>
                <c:pt idx="18">
                  <c:v>0.15000000001919001</c:v>
                </c:pt>
                <c:pt idx="19">
                  <c:v>-5.0000000044292399E-2</c:v>
                </c:pt>
                <c:pt idx="20">
                  <c:v>-9.9999999974897905E-2</c:v>
                </c:pt>
                <c:pt idx="21">
                  <c:v>-4.9999999987449001E-2</c:v>
                </c:pt>
                <c:pt idx="22">
                  <c:v>9.9999999974897905E-2</c:v>
                </c:pt>
                <c:pt idx="23">
                  <c:v>-1.99999999949796E-2</c:v>
                </c:pt>
                <c:pt idx="24">
                  <c:v>-4.0000000012696497E-2</c:v>
                </c:pt>
                <c:pt idx="25">
                  <c:v>-9.0909090886270895E-3</c:v>
                </c:pt>
                <c:pt idx="26">
                  <c:v>-1.99999999949796E-2</c:v>
                </c:pt>
                <c:pt idx="27">
                  <c:v>3.0000000003838099E-2</c:v>
                </c:pt>
              </c:numCache>
            </c:numRef>
          </c:val>
        </c:ser>
        <c:ser>
          <c:idx val="2"/>
          <c:order val="2"/>
          <c:tx>
            <c:strRef>
              <c:f>'zk79+251'!$M$4:$Q$4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'zk79+251'!$A$6:$A$43</c:f>
              <c:numCache>
                <c:formatCode>m"月"d"日";@</c:formatCode>
                <c:ptCount val="38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'zk79+251'!$Q$6:$Q$36</c:f>
              <c:numCache>
                <c:formatCode>0.00_ </c:formatCode>
                <c:ptCount val="31"/>
                <c:pt idx="0">
                  <c:v>0</c:v>
                </c:pt>
                <c:pt idx="1">
                  <c:v>-0.49999999998817701</c:v>
                </c:pt>
                <c:pt idx="2">
                  <c:v>-0.199999999949796</c:v>
                </c:pt>
                <c:pt idx="3">
                  <c:v>-0.80000000002655702</c:v>
                </c:pt>
                <c:pt idx="4">
                  <c:v>0.199999999949796</c:v>
                </c:pt>
                <c:pt idx="5">
                  <c:v>0.20000000006348301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-0.10000000008858501</c:v>
                </c:pt>
                <c:pt idx="10">
                  <c:v>-0.29999999992469401</c:v>
                </c:pt>
                <c:pt idx="11">
                  <c:v>9.9999999974897905E-2</c:v>
                </c:pt>
                <c:pt idx="12">
                  <c:v>-9.9999999974897905E-2</c:v>
                </c:pt>
                <c:pt idx="13">
                  <c:v>-0.40000000001327901</c:v>
                </c:pt>
                <c:pt idx="14">
                  <c:v>0.199999999949796</c:v>
                </c:pt>
                <c:pt idx="15">
                  <c:v>-4.9999999987449001E-2</c:v>
                </c:pt>
                <c:pt idx="16">
                  <c:v>0.20000000000663901</c:v>
                </c:pt>
                <c:pt idx="17">
                  <c:v>-0.29999999998153698</c:v>
                </c:pt>
                <c:pt idx="18">
                  <c:v>-0.100000000031741</c:v>
                </c:pt>
                <c:pt idx="19">
                  <c:v>4.9999999987449001E-2</c:v>
                </c:pt>
                <c:pt idx="20">
                  <c:v>0.100000000031741</c:v>
                </c:pt>
                <c:pt idx="21">
                  <c:v>4.9999999987449001E-2</c:v>
                </c:pt>
                <c:pt idx="22">
                  <c:v>-9.9999999974897905E-2</c:v>
                </c:pt>
                <c:pt idx="23">
                  <c:v>1.99999999949796E-2</c:v>
                </c:pt>
                <c:pt idx="24">
                  <c:v>1.99999999949796E-2</c:v>
                </c:pt>
                <c:pt idx="25">
                  <c:v>9.0909090886270895E-3</c:v>
                </c:pt>
                <c:pt idx="26">
                  <c:v>-5.9999999984938802E-2</c:v>
                </c:pt>
                <c:pt idx="27">
                  <c:v>1.99999999949796E-2</c:v>
                </c:pt>
              </c:numCache>
            </c:numRef>
          </c:val>
        </c:ser>
        <c:dLbls/>
        <c:marker val="1"/>
        <c:axId val="385456768"/>
        <c:axId val="385475328"/>
      </c:lineChart>
      <c:dateAx>
        <c:axId val="3854567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475328"/>
        <c:crossesAt val="-50"/>
        <c:auto val="1"/>
        <c:lblOffset val="100"/>
        <c:baseTimeUnit val="days"/>
      </c:dateAx>
      <c:valAx>
        <c:axId val="38547532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45676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'zk79+251'!$S$6:$S$46</c:f>
              <c:numCache>
                <c:formatCode>m"月"d"日";@</c:formatCode>
                <c:ptCount val="41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'zk79+251'!$W$6:$W$37</c:f>
              <c:numCache>
                <c:formatCode>0.00_ </c:formatCode>
                <c:ptCount val="32"/>
                <c:pt idx="0">
                  <c:v>0</c:v>
                </c:pt>
                <c:pt idx="1">
                  <c:v>0.19999999999953399</c:v>
                </c:pt>
                <c:pt idx="2">
                  <c:v>-0.60000000000037801</c:v>
                </c:pt>
                <c:pt idx="3">
                  <c:v>1.0000000000012199</c:v>
                </c:pt>
                <c:pt idx="4">
                  <c:v>0.19999999999953399</c:v>
                </c:pt>
                <c:pt idx="5">
                  <c:v>0.39999999999906799</c:v>
                </c:pt>
                <c:pt idx="6">
                  <c:v>0</c:v>
                </c:pt>
                <c:pt idx="7">
                  <c:v>0.20000000000130999</c:v>
                </c:pt>
                <c:pt idx="8">
                  <c:v>-9.99999999997669E-2</c:v>
                </c:pt>
                <c:pt idx="9">
                  <c:v>0.799999999999912</c:v>
                </c:pt>
                <c:pt idx="10">
                  <c:v>-0.10000000000154299</c:v>
                </c:pt>
                <c:pt idx="11">
                  <c:v>0.20000000000130999</c:v>
                </c:pt>
                <c:pt idx="12">
                  <c:v>0.19999999999953399</c:v>
                </c:pt>
                <c:pt idx="13">
                  <c:v>-9.99999999997669E-2</c:v>
                </c:pt>
                <c:pt idx="14">
                  <c:v>0.50000000000061096</c:v>
                </c:pt>
                <c:pt idx="15">
                  <c:v>9.99999999997669E-2</c:v>
                </c:pt>
                <c:pt idx="16">
                  <c:v>9.99999999997669E-2</c:v>
                </c:pt>
                <c:pt idx="17">
                  <c:v>-0.14999999999965</c:v>
                </c:pt>
                <c:pt idx="18">
                  <c:v>0.35000000000007198</c:v>
                </c:pt>
                <c:pt idx="19">
                  <c:v>-0.100000000000655</c:v>
                </c:pt>
                <c:pt idx="20">
                  <c:v>0.15000000000053901</c:v>
                </c:pt>
                <c:pt idx="21">
                  <c:v>-4.9999999999883499E-2</c:v>
                </c:pt>
                <c:pt idx="22">
                  <c:v>-0.20000000000042201</c:v>
                </c:pt>
                <c:pt idx="23">
                  <c:v>-3.9999999999906798E-2</c:v>
                </c:pt>
                <c:pt idx="24">
                  <c:v>1.9999999999953399E-2</c:v>
                </c:pt>
                <c:pt idx="25">
                  <c:v>9.0909090908879008E-3</c:v>
                </c:pt>
                <c:pt idx="26">
                  <c:v>-3.9999999999906798E-2</c:v>
                </c:pt>
                <c:pt idx="27">
                  <c:v>-1.9999999999953399E-2</c:v>
                </c:pt>
                <c:pt idx="29">
                  <c:v>-0.20000000000130999</c:v>
                </c:pt>
              </c:numCache>
            </c:numRef>
          </c:val>
        </c:ser>
        <c:ser>
          <c:idx val="1"/>
          <c:order val="1"/>
          <c:tx>
            <c:strRef>
              <c:f>'zk79+251'!$Y$4:$AA$4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'zk79+251'!$S$6:$S$46</c:f>
              <c:numCache>
                <c:formatCode>m"月"d"日";@</c:formatCode>
                <c:ptCount val="41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'zk79+251'!$AA$6:$AA$36</c:f>
              <c:numCache>
                <c:formatCode>0.00_ </c:formatCode>
                <c:ptCount val="31"/>
                <c:pt idx="0">
                  <c:v>0</c:v>
                </c:pt>
                <c:pt idx="1">
                  <c:v>-9.99999999997669E-2</c:v>
                </c:pt>
                <c:pt idx="2">
                  <c:v>-9.99999999997669E-2</c:v>
                </c:pt>
                <c:pt idx="3">
                  <c:v>-9.99999999997669E-2</c:v>
                </c:pt>
                <c:pt idx="4">
                  <c:v>-0.19999999999953399</c:v>
                </c:pt>
                <c:pt idx="5">
                  <c:v>-0.50000000000238698</c:v>
                </c:pt>
                <c:pt idx="6">
                  <c:v>9.99999999997669E-2</c:v>
                </c:pt>
                <c:pt idx="7">
                  <c:v>-9.99999999997669E-2</c:v>
                </c:pt>
                <c:pt idx="8">
                  <c:v>-0.29999999999930099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-0.60000000000215403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0.25000000000119399</c:v>
                </c:pt>
                <c:pt idx="16">
                  <c:v>-0.45000000000072798</c:v>
                </c:pt>
                <c:pt idx="17">
                  <c:v>-9.99999999997669E-2</c:v>
                </c:pt>
                <c:pt idx="18">
                  <c:v>0.29999999999930099</c:v>
                </c:pt>
                <c:pt idx="19">
                  <c:v>4.9999999999883499E-2</c:v>
                </c:pt>
                <c:pt idx="20">
                  <c:v>-4.9999999999883499E-2</c:v>
                </c:pt>
                <c:pt idx="21">
                  <c:v>-9.99999999997669E-2</c:v>
                </c:pt>
                <c:pt idx="22">
                  <c:v>0.19999999999953399</c:v>
                </c:pt>
                <c:pt idx="23">
                  <c:v>1.9999999999953399E-2</c:v>
                </c:pt>
                <c:pt idx="24">
                  <c:v>-3.9999999999906798E-2</c:v>
                </c:pt>
                <c:pt idx="25">
                  <c:v>9.0909090908879008E-3</c:v>
                </c:pt>
                <c:pt idx="26">
                  <c:v>-1.9999999999953399E-2</c:v>
                </c:pt>
                <c:pt idx="27">
                  <c:v>2.99999999999301E-2</c:v>
                </c:pt>
                <c:pt idx="29">
                  <c:v>-6.6666666667103396E-3</c:v>
                </c:pt>
              </c:numCache>
            </c:numRef>
          </c:val>
        </c:ser>
        <c:ser>
          <c:idx val="2"/>
          <c:order val="2"/>
          <c:tx>
            <c:strRef>
              <c:f>'zk79+251'!$AC$4:$AE$4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'zk79+251'!$S$6:$S$46</c:f>
              <c:numCache>
                <c:formatCode>m"月"d"日";@</c:formatCode>
                <c:ptCount val="41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'zk79+251'!$AE$6:$AE$43</c:f>
              <c:numCache>
                <c:formatCode>0.00_ </c:formatCode>
                <c:ptCount val="38"/>
                <c:pt idx="0">
                  <c:v>0</c:v>
                </c:pt>
                <c:pt idx="1">
                  <c:v>-0.19999999999953399</c:v>
                </c:pt>
                <c:pt idx="2">
                  <c:v>0.799999999999912</c:v>
                </c:pt>
                <c:pt idx="3">
                  <c:v>-0.60000000000037801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-9.99999999997669E-2</c:v>
                </c:pt>
                <c:pt idx="7">
                  <c:v>0.39999999999906799</c:v>
                </c:pt>
                <c:pt idx="8">
                  <c:v>-0.59999999999860198</c:v>
                </c:pt>
                <c:pt idx="9">
                  <c:v>-9.99999999997669E-2</c:v>
                </c:pt>
                <c:pt idx="10">
                  <c:v>0.39999999999906799</c:v>
                </c:pt>
                <c:pt idx="11">
                  <c:v>-0.60000000000037801</c:v>
                </c:pt>
                <c:pt idx="12">
                  <c:v>-9.99999999997669E-2</c:v>
                </c:pt>
                <c:pt idx="13">
                  <c:v>-0.29999999999930099</c:v>
                </c:pt>
                <c:pt idx="14">
                  <c:v>-9.99999999997669E-2</c:v>
                </c:pt>
                <c:pt idx="15">
                  <c:v>4.9999999999883499E-2</c:v>
                </c:pt>
                <c:pt idx="16">
                  <c:v>-4.9999999999883499E-2</c:v>
                </c:pt>
                <c:pt idx="17">
                  <c:v>0.14999999999965</c:v>
                </c:pt>
                <c:pt idx="18">
                  <c:v>-0.25000000000030598</c:v>
                </c:pt>
                <c:pt idx="19">
                  <c:v>-9.99999999997669E-2</c:v>
                </c:pt>
                <c:pt idx="20">
                  <c:v>-0.14999999999965</c:v>
                </c:pt>
                <c:pt idx="21">
                  <c:v>-0.100000000000655</c:v>
                </c:pt>
                <c:pt idx="22">
                  <c:v>0.15000000000053901</c:v>
                </c:pt>
                <c:pt idx="23">
                  <c:v>-3.9999999999906798E-2</c:v>
                </c:pt>
                <c:pt idx="24">
                  <c:v>-2.0000000000308701E-2</c:v>
                </c:pt>
                <c:pt idx="25">
                  <c:v>1.8181818181937301E-2</c:v>
                </c:pt>
                <c:pt idx="26">
                  <c:v>-1.9999999999953399E-2</c:v>
                </c:pt>
                <c:pt idx="27">
                  <c:v>-2.0000000000131E-2</c:v>
                </c:pt>
              </c:numCache>
            </c:numRef>
          </c:val>
        </c:ser>
        <c:dLbls/>
        <c:marker val="1"/>
        <c:axId val="385662976"/>
        <c:axId val="385665664"/>
      </c:lineChart>
      <c:dateAx>
        <c:axId val="3856629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665664"/>
        <c:crossesAt val="-50"/>
        <c:auto val="1"/>
        <c:lblOffset val="100"/>
        <c:baseTimeUnit val="days"/>
      </c:dateAx>
      <c:valAx>
        <c:axId val="38566566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66297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'zk79+251'!$A$6:$A$39</c:f>
              <c:numCache>
                <c:formatCode>m"月"d"日";@</c:formatCode>
                <c:ptCount val="34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'zk79+251'!$F$6:$F$34</c:f>
              <c:numCache>
                <c:formatCode>0.00_ </c:formatCode>
                <c:ptCount val="29"/>
                <c:pt idx="0">
                  <c:v>0</c:v>
                </c:pt>
                <c:pt idx="1">
                  <c:v>-0.49999999998817701</c:v>
                </c:pt>
                <c:pt idx="2">
                  <c:v>-0.40000000001327901</c:v>
                </c:pt>
                <c:pt idx="3">
                  <c:v>-0.69999999993797202</c:v>
                </c:pt>
                <c:pt idx="4">
                  <c:v>-0.90000000000145497</c:v>
                </c:pt>
                <c:pt idx="5">
                  <c:v>-0.80000000002655702</c:v>
                </c:pt>
                <c:pt idx="6">
                  <c:v>-1.30000000001473</c:v>
                </c:pt>
                <c:pt idx="7">
                  <c:v>-1.4999999999645299</c:v>
                </c:pt>
                <c:pt idx="8">
                  <c:v>-1.39999999998963</c:v>
                </c:pt>
                <c:pt idx="9">
                  <c:v>-1.8999999999778101</c:v>
                </c:pt>
                <c:pt idx="10">
                  <c:v>-2.0999999999275998</c:v>
                </c:pt>
                <c:pt idx="11">
                  <c:v>-1.9999999999527101</c:v>
                </c:pt>
                <c:pt idx="12">
                  <c:v>-2.4999999999408802</c:v>
                </c:pt>
                <c:pt idx="13">
                  <c:v>-2.70000000000437</c:v>
                </c:pt>
                <c:pt idx="14">
                  <c:v>-2.2999999999910901</c:v>
                </c:pt>
                <c:pt idx="15">
                  <c:v>-3.1000000000176402</c:v>
                </c:pt>
                <c:pt idx="16">
                  <c:v>-3.2999999999674401</c:v>
                </c:pt>
                <c:pt idx="17">
                  <c:v>-2.70000000000437</c:v>
                </c:pt>
                <c:pt idx="18">
                  <c:v>-2.9999999999290599</c:v>
                </c:pt>
                <c:pt idx="19">
                  <c:v>-2.79999999997926</c:v>
                </c:pt>
                <c:pt idx="20">
                  <c:v>-2.9999999999290599</c:v>
                </c:pt>
                <c:pt idx="21">
                  <c:v>-2.8999999999541601</c:v>
                </c:pt>
                <c:pt idx="22">
                  <c:v>-2.6000000000294698</c:v>
                </c:pt>
                <c:pt idx="23">
                  <c:v>-2.39999999996598</c:v>
                </c:pt>
                <c:pt idx="24">
                  <c:v>-2.4999999999408802</c:v>
                </c:pt>
                <c:pt idx="25">
                  <c:v>-2.70000000000437</c:v>
                </c:pt>
                <c:pt idx="26">
                  <c:v>-2.4999999999408802</c:v>
                </c:pt>
                <c:pt idx="27">
                  <c:v>-2.2000000000161899</c:v>
                </c:pt>
              </c:numCache>
            </c:numRef>
          </c:val>
        </c:ser>
        <c:ser>
          <c:idx val="1"/>
          <c:order val="1"/>
          <c:tx>
            <c:strRef>
              <c:f>'zk79+251'!$H$4:$L$4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'zk79+251'!$A$6:$A$39</c:f>
              <c:numCache>
                <c:formatCode>m"月"d"日";@</c:formatCode>
                <c:ptCount val="34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'zk79+251'!$K$6:$K$35</c:f>
              <c:numCache>
                <c:formatCode>0.00_ </c:formatCode>
                <c:ptCount val="30"/>
                <c:pt idx="0">
                  <c:v>0</c:v>
                </c:pt>
                <c:pt idx="1">
                  <c:v>0.30000000003838101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-0.69999999993797202</c:v>
                </c:pt>
                <c:pt idx="5">
                  <c:v>-0.99999999997635303</c:v>
                </c:pt>
                <c:pt idx="6">
                  <c:v>-1.09999999995125</c:v>
                </c:pt>
                <c:pt idx="7">
                  <c:v>-1.30000000001473</c:v>
                </c:pt>
                <c:pt idx="8">
                  <c:v>-1.4999999999645299</c:v>
                </c:pt>
                <c:pt idx="9">
                  <c:v>-1.5999999999394301</c:v>
                </c:pt>
                <c:pt idx="10">
                  <c:v>-1.8999999999778101</c:v>
                </c:pt>
                <c:pt idx="11">
                  <c:v>-2.0999999999275998</c:v>
                </c:pt>
                <c:pt idx="12">
                  <c:v>-1.8000000000029099</c:v>
                </c:pt>
                <c:pt idx="13">
                  <c:v>-2.4999999999408802</c:v>
                </c:pt>
                <c:pt idx="14">
                  <c:v>-2.70000000000437</c:v>
                </c:pt>
                <c:pt idx="15">
                  <c:v>-2.2000000000161899</c:v>
                </c:pt>
                <c:pt idx="16">
                  <c:v>-3.1000000000176402</c:v>
                </c:pt>
                <c:pt idx="17">
                  <c:v>-3.2999999999674401</c:v>
                </c:pt>
                <c:pt idx="18">
                  <c:v>-2.9999999999290599</c:v>
                </c:pt>
                <c:pt idx="19">
                  <c:v>-3.1000000000176402</c:v>
                </c:pt>
                <c:pt idx="20">
                  <c:v>-3.2999999999674401</c:v>
                </c:pt>
                <c:pt idx="21">
                  <c:v>-3.3999999999423398</c:v>
                </c:pt>
                <c:pt idx="22">
                  <c:v>-3.1999999999925399</c:v>
                </c:pt>
                <c:pt idx="23">
                  <c:v>-3.2999999999674401</c:v>
                </c:pt>
                <c:pt idx="24">
                  <c:v>-3.5000000000309202</c:v>
                </c:pt>
                <c:pt idx="25">
                  <c:v>-3.6000000000058199</c:v>
                </c:pt>
                <c:pt idx="26">
                  <c:v>-3.69999999998072</c:v>
                </c:pt>
                <c:pt idx="27">
                  <c:v>-3.3999999999423398</c:v>
                </c:pt>
                <c:pt idx="29">
                  <c:v>6.6666666649932002E-3</c:v>
                </c:pt>
              </c:numCache>
            </c:numRef>
          </c:val>
        </c:ser>
        <c:ser>
          <c:idx val="2"/>
          <c:order val="2"/>
          <c:tx>
            <c:strRef>
              <c:f>'zk79+251'!$M$4:$Q$4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'zk79+251'!$A$6:$A$39</c:f>
              <c:numCache>
                <c:formatCode>m"月"d"日";@</c:formatCode>
                <c:ptCount val="34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'zk79+251'!$P$6:$P$33</c:f>
              <c:numCache>
                <c:formatCode>0.00_ </c:formatCode>
                <c:ptCount val="28"/>
                <c:pt idx="0">
                  <c:v>0</c:v>
                </c:pt>
                <c:pt idx="1">
                  <c:v>-0.49999999998817701</c:v>
                </c:pt>
                <c:pt idx="2">
                  <c:v>-0.69999999993797202</c:v>
                </c:pt>
                <c:pt idx="3">
                  <c:v>-1.4999999999645299</c:v>
                </c:pt>
                <c:pt idx="4">
                  <c:v>-1.30000000001473</c:v>
                </c:pt>
                <c:pt idx="5">
                  <c:v>-1.09999999995125</c:v>
                </c:pt>
                <c:pt idx="6">
                  <c:v>-1.30000000001473</c:v>
                </c:pt>
                <c:pt idx="7">
                  <c:v>-1.4999999999645299</c:v>
                </c:pt>
                <c:pt idx="8">
                  <c:v>-1.5999999999394301</c:v>
                </c:pt>
                <c:pt idx="9">
                  <c:v>-1.70000000002801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-1.9999999999527101</c:v>
                </c:pt>
                <c:pt idx="13">
                  <c:v>-2.39999999996598</c:v>
                </c:pt>
                <c:pt idx="14">
                  <c:v>-2.2000000000161899</c:v>
                </c:pt>
                <c:pt idx="15">
                  <c:v>-2.2999999999910901</c:v>
                </c:pt>
                <c:pt idx="16">
                  <c:v>-1.8999999999778101</c:v>
                </c:pt>
                <c:pt idx="17">
                  <c:v>-2.4999999999408802</c:v>
                </c:pt>
                <c:pt idx="18">
                  <c:v>-2.70000000000437</c:v>
                </c:pt>
                <c:pt idx="19">
                  <c:v>-2.6000000000294698</c:v>
                </c:pt>
                <c:pt idx="20">
                  <c:v>-2.39999999996598</c:v>
                </c:pt>
                <c:pt idx="21">
                  <c:v>-2.2999999999910901</c:v>
                </c:pt>
                <c:pt idx="22">
                  <c:v>-2.4999999999408802</c:v>
                </c:pt>
                <c:pt idx="23">
                  <c:v>-2.39999999996598</c:v>
                </c:pt>
                <c:pt idx="24">
                  <c:v>-2.2999999999910901</c:v>
                </c:pt>
                <c:pt idx="25">
                  <c:v>-2.2000000000161899</c:v>
                </c:pt>
                <c:pt idx="26">
                  <c:v>-2.4999999999408802</c:v>
                </c:pt>
                <c:pt idx="27">
                  <c:v>-2.2999999999910901</c:v>
                </c:pt>
              </c:numCache>
            </c:numRef>
          </c:val>
        </c:ser>
        <c:dLbls/>
        <c:marker val="1"/>
        <c:axId val="385880064"/>
        <c:axId val="385882368"/>
      </c:lineChart>
      <c:lineChart>
        <c:grouping val="standard"/>
        <c:ser>
          <c:idx val="3"/>
          <c:order val="3"/>
          <c:tx>
            <c:strRef>
              <c:f>'zk79+251'!$AG$3:$AG$5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'zk79+251'!$A$6:$A$39</c:f>
              <c:numCache>
                <c:formatCode>m"月"d"日";@</c:formatCode>
                <c:ptCount val="34"/>
                <c:pt idx="0">
                  <c:v>44546</c:v>
                </c:pt>
                <c:pt idx="1">
                  <c:v>44547</c:v>
                </c:pt>
                <c:pt idx="2">
                  <c:v>44548</c:v>
                </c:pt>
                <c:pt idx="3">
                  <c:v>44549</c:v>
                </c:pt>
                <c:pt idx="4">
                  <c:v>44550</c:v>
                </c:pt>
                <c:pt idx="5">
                  <c:v>44551</c:v>
                </c:pt>
                <c:pt idx="6">
                  <c:v>44552</c:v>
                </c:pt>
                <c:pt idx="7">
                  <c:v>44553</c:v>
                </c:pt>
                <c:pt idx="8">
                  <c:v>44554</c:v>
                </c:pt>
                <c:pt idx="9">
                  <c:v>44555</c:v>
                </c:pt>
                <c:pt idx="10">
                  <c:v>44556</c:v>
                </c:pt>
                <c:pt idx="11">
                  <c:v>44557</c:v>
                </c:pt>
                <c:pt idx="12">
                  <c:v>44558</c:v>
                </c:pt>
                <c:pt idx="13">
                  <c:v>44559</c:v>
                </c:pt>
                <c:pt idx="14">
                  <c:v>44560</c:v>
                </c:pt>
                <c:pt idx="15">
                  <c:v>44562</c:v>
                </c:pt>
                <c:pt idx="16">
                  <c:v>44564</c:v>
                </c:pt>
                <c:pt idx="17">
                  <c:v>44566</c:v>
                </c:pt>
                <c:pt idx="18">
                  <c:v>44568</c:v>
                </c:pt>
                <c:pt idx="19">
                  <c:v>44570</c:v>
                </c:pt>
                <c:pt idx="20">
                  <c:v>44572</c:v>
                </c:pt>
                <c:pt idx="21">
                  <c:v>44574</c:v>
                </c:pt>
                <c:pt idx="22">
                  <c:v>44576</c:v>
                </c:pt>
                <c:pt idx="23">
                  <c:v>44581</c:v>
                </c:pt>
                <c:pt idx="24">
                  <c:v>44586</c:v>
                </c:pt>
                <c:pt idx="25">
                  <c:v>44597</c:v>
                </c:pt>
                <c:pt idx="26">
                  <c:v>44602</c:v>
                </c:pt>
                <c:pt idx="27">
                  <c:v>44612</c:v>
                </c:pt>
              </c:numCache>
            </c:numRef>
          </c:cat>
          <c:val>
            <c:numRef>
              <c:f>'zk79+251'!$AG$6:$AG$34</c:f>
              <c:numCache>
                <c:formatCode>0.0_ </c:formatCode>
                <c:ptCount val="29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30</c:v>
                </c:pt>
                <c:pt idx="8">
                  <c:v>33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48</c:v>
                </c:pt>
                <c:pt idx="14">
                  <c:v>51</c:v>
                </c:pt>
                <c:pt idx="15">
                  <c:v>54</c:v>
                </c:pt>
                <c:pt idx="16">
                  <c:v>64</c:v>
                </c:pt>
                <c:pt idx="17">
                  <c:v>76</c:v>
                </c:pt>
                <c:pt idx="18">
                  <c:v>88</c:v>
                </c:pt>
                <c:pt idx="19">
                  <c:v>95</c:v>
                </c:pt>
                <c:pt idx="20">
                  <c:v>102</c:v>
                </c:pt>
                <c:pt idx="21">
                  <c:v>109</c:v>
                </c:pt>
                <c:pt idx="22">
                  <c:v>114.800000000003</c:v>
                </c:pt>
                <c:pt idx="23">
                  <c:v>134.199999999997</c:v>
                </c:pt>
                <c:pt idx="24">
                  <c:v>134.199999999997</c:v>
                </c:pt>
                <c:pt idx="25">
                  <c:v>134.199999999997</c:v>
                </c:pt>
                <c:pt idx="26">
                  <c:v>142</c:v>
                </c:pt>
                <c:pt idx="27">
                  <c:v>153.60000000000599</c:v>
                </c:pt>
              </c:numCache>
            </c:numRef>
          </c:val>
        </c:ser>
        <c:dLbls/>
        <c:marker val="1"/>
        <c:axId val="385900928"/>
        <c:axId val="385902464"/>
      </c:lineChart>
      <c:dateAx>
        <c:axId val="3858800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882368"/>
        <c:crossesAt val="-50"/>
        <c:auto val="1"/>
        <c:lblOffset val="100"/>
        <c:baseTimeUnit val="days"/>
      </c:dateAx>
      <c:valAx>
        <c:axId val="38588236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880064"/>
        <c:crosses val="autoZero"/>
        <c:crossBetween val="midCat"/>
        <c:majorUnit val="1"/>
        <c:minorUnit val="0.5"/>
      </c:valAx>
      <c:dateAx>
        <c:axId val="38590092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5902464"/>
        <c:crosses val="autoZero"/>
        <c:auto val="1"/>
        <c:lblOffset val="100"/>
        <c:baseTimeUnit val="days"/>
      </c:dateAx>
      <c:valAx>
        <c:axId val="385902464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900928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9+277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'zk79+277'!$U$4:$W$4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'zk79+277'!$S$6:$S$31</c:f>
              <c:numCache>
                <c:formatCode>m"月"d"日";@</c:formatCode>
                <c:ptCount val="2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'zk79+277'!$V$6:$V$35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-0.49999999999883499</c:v>
                </c:pt>
                <c:pt idx="6">
                  <c:v>-1.1999999999989801</c:v>
                </c:pt>
                <c:pt idx="7">
                  <c:v>-1.39999999999851</c:v>
                </c:pt>
                <c:pt idx="8">
                  <c:v>-1.2999999999987499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-1.39999999999851</c:v>
                </c:pt>
                <c:pt idx="12">
                  <c:v>-2.3999999999997401</c:v>
                </c:pt>
                <c:pt idx="13">
                  <c:v>-2.5999999999886101</c:v>
                </c:pt>
                <c:pt idx="14">
                  <c:v>-2.4999999999995</c:v>
                </c:pt>
                <c:pt idx="15">
                  <c:v>-2.2999999999999701</c:v>
                </c:pt>
                <c:pt idx="16">
                  <c:v>-2.4999999999995</c:v>
                </c:pt>
                <c:pt idx="17">
                  <c:v>-2.6999999999990401</c:v>
                </c:pt>
                <c:pt idx="18">
                  <c:v>-3.0999999999998802</c:v>
                </c:pt>
                <c:pt idx="19">
                  <c:v>-2.8999999999985699</c:v>
                </c:pt>
                <c:pt idx="20">
                  <c:v>-2.99999999999834</c:v>
                </c:pt>
                <c:pt idx="21">
                  <c:v>-3.1999999999996498</c:v>
                </c:pt>
                <c:pt idx="22">
                  <c:v>-3.4999999999989502</c:v>
                </c:pt>
                <c:pt idx="23">
                  <c:v>-3.3999999999991801</c:v>
                </c:pt>
                <c:pt idx="24">
                  <c:v>-3.2999999999994101</c:v>
                </c:pt>
                <c:pt idx="25">
                  <c:v>-3.5999999999987198</c:v>
                </c:pt>
                <c:pt idx="27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'zk79+277'!$Y$4:$AA$4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'zk79+277'!$S$6:$S$31</c:f>
              <c:numCache>
                <c:formatCode>m"月"d"日";@</c:formatCode>
                <c:ptCount val="2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'zk79+277'!$Z$6:$Z$36</c:f>
              <c:numCache>
                <c:formatCode>0.00_ </c:formatCode>
                <c:ptCount val="31"/>
                <c:pt idx="0">
                  <c:v>0</c:v>
                </c:pt>
                <c:pt idx="1">
                  <c:v>-0.29999999999930099</c:v>
                </c:pt>
                <c:pt idx="2">
                  <c:v>-0.19999999999953399</c:v>
                </c:pt>
                <c:pt idx="3">
                  <c:v>-0.39999999999906799</c:v>
                </c:pt>
                <c:pt idx="4">
                  <c:v>-0.59999999999860198</c:v>
                </c:pt>
                <c:pt idx="5">
                  <c:v>-0.49999999999883499</c:v>
                </c:pt>
                <c:pt idx="6">
                  <c:v>-0.999999999999446</c:v>
                </c:pt>
                <c:pt idx="7">
                  <c:v>-1.1999999999989801</c:v>
                </c:pt>
                <c:pt idx="8">
                  <c:v>-1.2999999999987499</c:v>
                </c:pt>
                <c:pt idx="9">
                  <c:v>-1.59999999999982</c:v>
                </c:pt>
                <c:pt idx="10">
                  <c:v>-1.7999999999993599</c:v>
                </c:pt>
                <c:pt idx="11">
                  <c:v>-2.1999999999984299</c:v>
                </c:pt>
                <c:pt idx="12">
                  <c:v>-2.1999999999984299</c:v>
                </c:pt>
                <c:pt idx="13">
                  <c:v>-2.3999999999997401</c:v>
                </c:pt>
                <c:pt idx="14">
                  <c:v>-2.2999999999999701</c:v>
                </c:pt>
                <c:pt idx="15">
                  <c:v>-2.7999999999987999</c:v>
                </c:pt>
                <c:pt idx="16">
                  <c:v>-2.6999999999990401</c:v>
                </c:pt>
                <c:pt idx="17">
                  <c:v>-2.59999999999927</c:v>
                </c:pt>
                <c:pt idx="18">
                  <c:v>-2.6999999999990401</c:v>
                </c:pt>
                <c:pt idx="19">
                  <c:v>-2.3999999999997401</c:v>
                </c:pt>
                <c:pt idx="20">
                  <c:v>-2.59999999999927</c:v>
                </c:pt>
                <c:pt idx="21">
                  <c:v>-2.6999999999990401</c:v>
                </c:pt>
                <c:pt idx="22">
                  <c:v>-3.0000000000001101</c:v>
                </c:pt>
                <c:pt idx="23">
                  <c:v>-2.7999999999987999</c:v>
                </c:pt>
                <c:pt idx="24">
                  <c:v>-3.0999999999998802</c:v>
                </c:pt>
                <c:pt idx="25">
                  <c:v>-2.8999999999985699</c:v>
                </c:pt>
                <c:pt idx="27">
                  <c:v>-3.5999999999996</c:v>
                </c:pt>
              </c:numCache>
            </c:numRef>
          </c:val>
        </c:ser>
        <c:ser>
          <c:idx val="2"/>
          <c:order val="2"/>
          <c:tx>
            <c:strRef>
              <c:f>'zk79+277'!$AC$4:$AE$4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'zk79+277'!$S$6:$S$31</c:f>
              <c:numCache>
                <c:formatCode>m"月"d"日";@</c:formatCode>
                <c:ptCount val="2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'zk79+277'!$AD$6:$AD$40</c:f>
              <c:numCache>
                <c:formatCode>0.00_ </c:formatCode>
                <c:ptCount val="35"/>
                <c:pt idx="0">
                  <c:v>0</c:v>
                </c:pt>
                <c:pt idx="1">
                  <c:v>-0.499999999999723</c:v>
                </c:pt>
                <c:pt idx="2">
                  <c:v>0.20000000000042201</c:v>
                </c:pt>
                <c:pt idx="3">
                  <c:v>-0.399999999999956</c:v>
                </c:pt>
                <c:pt idx="4">
                  <c:v>-0.499999999999723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-0.70000000000014495</c:v>
                </c:pt>
                <c:pt idx="8">
                  <c:v>-1.2999999999996299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-1.50000000000006</c:v>
                </c:pt>
                <c:pt idx="12">
                  <c:v>-2.0999999999995498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-2.2000000000002</c:v>
                </c:pt>
                <c:pt idx="16">
                  <c:v>-2.2999999999999701</c:v>
                </c:pt>
                <c:pt idx="17">
                  <c:v>-2.3999999999997401</c:v>
                </c:pt>
                <c:pt idx="18">
                  <c:v>-2.4999999999995</c:v>
                </c:pt>
                <c:pt idx="19">
                  <c:v>-2.6999999999999198</c:v>
                </c:pt>
                <c:pt idx="20">
                  <c:v>-2.6999999999999198</c:v>
                </c:pt>
                <c:pt idx="21">
                  <c:v>-3.0000000000001101</c:v>
                </c:pt>
                <c:pt idx="22">
                  <c:v>-3.1999999999996498</c:v>
                </c:pt>
                <c:pt idx="23">
                  <c:v>-3.2999999999994101</c:v>
                </c:pt>
                <c:pt idx="24">
                  <c:v>-3.4999999999998401</c:v>
                </c:pt>
                <c:pt idx="25">
                  <c:v>-3.5999999999996</c:v>
                </c:pt>
              </c:numCache>
            </c:numRef>
          </c:val>
        </c:ser>
        <c:dLbls/>
        <c:marker val="1"/>
        <c:axId val="386071936"/>
        <c:axId val="385758720"/>
      </c:lineChart>
      <c:lineChart>
        <c:grouping val="standard"/>
        <c:ser>
          <c:idx val="3"/>
          <c:order val="3"/>
          <c:tx>
            <c:strRef>
              <c:f>'zk79+277'!$AG$3:$AG$5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'zk79+277'!$S$6:$S$39</c:f>
              <c:numCache>
                <c:formatCode>m"月"d"日";@</c:formatCode>
                <c:ptCount val="34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'zk79+277'!$AG$6:$AG$37</c:f>
              <c:numCache>
                <c:formatCode>0.0_ </c:formatCode>
                <c:ptCount val="32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37</c:v>
                </c:pt>
                <c:pt idx="12">
                  <c:v>39</c:v>
                </c:pt>
                <c:pt idx="13">
                  <c:v>44</c:v>
                </c:pt>
                <c:pt idx="14">
                  <c:v>50</c:v>
                </c:pt>
                <c:pt idx="15">
                  <c:v>62</c:v>
                </c:pt>
                <c:pt idx="16">
                  <c:v>69</c:v>
                </c:pt>
                <c:pt idx="17">
                  <c:v>76</c:v>
                </c:pt>
                <c:pt idx="18">
                  <c:v>83</c:v>
                </c:pt>
                <c:pt idx="19">
                  <c:v>88.800000000002896</c:v>
                </c:pt>
                <c:pt idx="20">
                  <c:v>98</c:v>
                </c:pt>
                <c:pt idx="21">
                  <c:v>106</c:v>
                </c:pt>
                <c:pt idx="22">
                  <c:v>108</c:v>
                </c:pt>
                <c:pt idx="23">
                  <c:v>108</c:v>
                </c:pt>
                <c:pt idx="24">
                  <c:v>116</c:v>
                </c:pt>
                <c:pt idx="25">
                  <c:v>128</c:v>
                </c:pt>
              </c:numCache>
            </c:numRef>
          </c:val>
        </c:ser>
        <c:dLbls/>
        <c:marker val="1"/>
        <c:axId val="385760640"/>
        <c:axId val="385770624"/>
      </c:lineChart>
      <c:dateAx>
        <c:axId val="3860719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758720"/>
        <c:crossesAt val="-50"/>
        <c:auto val="1"/>
        <c:lblOffset val="100"/>
        <c:baseTimeUnit val="days"/>
        <c:majorUnit val="5"/>
        <c:majorTimeUnit val="days"/>
      </c:dateAx>
      <c:valAx>
        <c:axId val="38575872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071936"/>
        <c:crosses val="autoZero"/>
        <c:crossBetween val="midCat"/>
        <c:majorUnit val="1"/>
        <c:minorUnit val="0.1"/>
      </c:valAx>
      <c:dateAx>
        <c:axId val="3857606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5770624"/>
        <c:crosses val="autoZero"/>
        <c:auto val="1"/>
        <c:lblOffset val="100"/>
        <c:baseTimeUnit val="days"/>
      </c:dateAx>
      <c:valAx>
        <c:axId val="38577062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76064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277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'zk79+277'!$C$4:$G$4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'zk79+277'!$A$6:$A$41</c:f>
              <c:numCache>
                <c:formatCode>m"月"d"日";@</c:formatCode>
                <c:ptCount val="3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'zk79+277'!$G$6:$G$37</c:f>
              <c:numCache>
                <c:formatCode>0.00_ </c:formatCode>
                <c:ptCount val="32"/>
                <c:pt idx="0">
                  <c:v>0</c:v>
                </c:pt>
                <c:pt idx="1">
                  <c:v>0.20000000006348301</c:v>
                </c:pt>
                <c:pt idx="2">
                  <c:v>-0.40000000001327901</c:v>
                </c:pt>
                <c:pt idx="3">
                  <c:v>9.9999999974897905E-2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-5.0000000044292399E-2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4.9999999987449001E-2</c:v>
                </c:pt>
                <c:pt idx="20">
                  <c:v>-4.9999999987449001E-2</c:v>
                </c:pt>
                <c:pt idx="21">
                  <c:v>-9.9999999974897905E-2</c:v>
                </c:pt>
                <c:pt idx="22">
                  <c:v>1.42857142821283E-2</c:v>
                </c:pt>
                <c:pt idx="23">
                  <c:v>-2.9999999992469401E-2</c:v>
                </c:pt>
                <c:pt idx="24">
                  <c:v>-6.0000000007676101E-2</c:v>
                </c:pt>
                <c:pt idx="25">
                  <c:v>1.0000000008858499E-2</c:v>
                </c:pt>
                <c:pt idx="27">
                  <c:v>-0.39999999989959201</c:v>
                </c:pt>
              </c:numCache>
            </c:numRef>
          </c:val>
        </c:ser>
        <c:ser>
          <c:idx val="1"/>
          <c:order val="1"/>
          <c:tx>
            <c:strRef>
              <c:f>'zk79+277'!$H$4:$L$4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'zk79+277'!$A$6:$A$41</c:f>
              <c:numCache>
                <c:formatCode>m"月"d"日";@</c:formatCode>
                <c:ptCount val="3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'zk79+277'!$L$6:$L$38</c:f>
              <c:numCache>
                <c:formatCode>0.00_ 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-9.9999999974897905E-2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-0.20000000006348301</c:v>
                </c:pt>
                <c:pt idx="10">
                  <c:v>0.30000000003838101</c:v>
                </c:pt>
                <c:pt idx="11">
                  <c:v>-0.69999999993797202</c:v>
                </c:pt>
                <c:pt idx="12">
                  <c:v>-0.20000000006348301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4.9999999987449001E-2</c:v>
                </c:pt>
                <c:pt idx="18">
                  <c:v>4.9999999987449001E-2</c:v>
                </c:pt>
                <c:pt idx="19">
                  <c:v>5.0000000044292399E-2</c:v>
                </c:pt>
                <c:pt idx="20">
                  <c:v>4.9999999987449001E-2</c:v>
                </c:pt>
                <c:pt idx="21">
                  <c:v>-0.15000000001919001</c:v>
                </c:pt>
                <c:pt idx="22">
                  <c:v>-1.42857142821283E-2</c:v>
                </c:pt>
                <c:pt idx="23">
                  <c:v>-1.99999999949796E-2</c:v>
                </c:pt>
                <c:pt idx="24">
                  <c:v>-4.0000000012696497E-2</c:v>
                </c:pt>
                <c:pt idx="25">
                  <c:v>-9.9999999974897894E-3</c:v>
                </c:pt>
              </c:numCache>
            </c:numRef>
          </c:val>
        </c:ser>
        <c:ser>
          <c:idx val="2"/>
          <c:order val="2"/>
          <c:tx>
            <c:strRef>
              <c:f>'zk79+277'!$M$4:$Q$4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'zk79+277'!$A$6:$A$41</c:f>
              <c:numCache>
                <c:formatCode>m"月"d"日";@</c:formatCode>
                <c:ptCount val="36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'zk79+277'!$Q$6:$Q$34</c:f>
              <c:numCache>
                <c:formatCode>0.00_ </c:formatCode>
                <c:ptCount val="29"/>
                <c:pt idx="0">
                  <c:v>0</c:v>
                </c:pt>
                <c:pt idx="1">
                  <c:v>9.9999999974897905E-2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-9.9999999974897905E-2</c:v>
                </c:pt>
                <c:pt idx="5">
                  <c:v>-0.30000000003838101</c:v>
                </c:pt>
                <c:pt idx="6">
                  <c:v>-0.30000000003838101</c:v>
                </c:pt>
                <c:pt idx="7">
                  <c:v>0.10000000008858501</c:v>
                </c:pt>
                <c:pt idx="8">
                  <c:v>-0.70000000005165897</c:v>
                </c:pt>
                <c:pt idx="9">
                  <c:v>-0.30000000003838101</c:v>
                </c:pt>
                <c:pt idx="10">
                  <c:v>0</c:v>
                </c:pt>
                <c:pt idx="11">
                  <c:v>-0.59999999996307496</c:v>
                </c:pt>
                <c:pt idx="12">
                  <c:v>-0.29999999992469401</c:v>
                </c:pt>
                <c:pt idx="13">
                  <c:v>0.29999999992469401</c:v>
                </c:pt>
                <c:pt idx="14">
                  <c:v>-0.90000000000145497</c:v>
                </c:pt>
                <c:pt idx="15">
                  <c:v>0.20000000000663901</c:v>
                </c:pt>
                <c:pt idx="16">
                  <c:v>-4.9999999987449001E-2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4.9999999987449001E-2</c:v>
                </c:pt>
                <c:pt idx="20">
                  <c:v>-4.9999999987449001E-2</c:v>
                </c:pt>
                <c:pt idx="21">
                  <c:v>-0.100000000031741</c:v>
                </c:pt>
                <c:pt idx="22">
                  <c:v>-4.2857142846384803E-2</c:v>
                </c:pt>
                <c:pt idx="23">
                  <c:v>9.9999999974897894E-3</c:v>
                </c:pt>
                <c:pt idx="24">
                  <c:v>1.99999999949796E-2</c:v>
                </c:pt>
                <c:pt idx="25">
                  <c:v>-2.9999999992469401E-2</c:v>
                </c:pt>
              </c:numCache>
            </c:numRef>
          </c:val>
        </c:ser>
        <c:dLbls/>
        <c:marker val="1"/>
        <c:axId val="385805312"/>
        <c:axId val="386106880"/>
      </c:lineChart>
      <c:dateAx>
        <c:axId val="3858053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106880"/>
        <c:crossesAt val="-50"/>
        <c:auto val="1"/>
        <c:lblOffset val="100"/>
        <c:baseTimeUnit val="days"/>
        <c:majorUnit val="5"/>
        <c:majorTimeUnit val="days"/>
      </c:dateAx>
      <c:valAx>
        <c:axId val="38610688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580531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9+277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100464554610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'zk79+277'!$U$4:$W$4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'zk79+277'!$S$6:$S$44</c:f>
              <c:numCache>
                <c:formatCode>m"月"d"日";@</c:formatCode>
                <c:ptCount val="39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'zk79+277'!$W$6:$W$35</c:f>
              <c:numCache>
                <c:formatCode>0.00_ </c:formatCode>
                <c:ptCount val="30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0.49999999999883499</c:v>
                </c:pt>
                <c:pt idx="4">
                  <c:v>0.20000000000130999</c:v>
                </c:pt>
                <c:pt idx="5">
                  <c:v>-0.30000000000107702</c:v>
                </c:pt>
                <c:pt idx="6">
                  <c:v>0.70000000000014495</c:v>
                </c:pt>
                <c:pt idx="7">
                  <c:v>0.19999999999953399</c:v>
                </c:pt>
                <c:pt idx="8">
                  <c:v>-9.99999999997669E-2</c:v>
                </c:pt>
                <c:pt idx="9">
                  <c:v>0.50000000000061096</c:v>
                </c:pt>
                <c:pt idx="10">
                  <c:v>0.19999999999953399</c:v>
                </c:pt>
                <c:pt idx="11">
                  <c:v>-0.60000000000037801</c:v>
                </c:pt>
                <c:pt idx="12">
                  <c:v>1.0000000000012199</c:v>
                </c:pt>
                <c:pt idx="13">
                  <c:v>0.19999999998887599</c:v>
                </c:pt>
                <c:pt idx="14">
                  <c:v>-9.9999999989108801E-2</c:v>
                </c:pt>
                <c:pt idx="15">
                  <c:v>-9.99999999997669E-2</c:v>
                </c:pt>
                <c:pt idx="16">
                  <c:v>9.99999999997669E-2</c:v>
                </c:pt>
                <c:pt idx="17">
                  <c:v>9.99999999997669E-2</c:v>
                </c:pt>
                <c:pt idx="18">
                  <c:v>0.20000000000042201</c:v>
                </c:pt>
                <c:pt idx="19">
                  <c:v>-0.100000000000655</c:v>
                </c:pt>
                <c:pt idx="20">
                  <c:v>4.9999999999883499E-2</c:v>
                </c:pt>
                <c:pt idx="21">
                  <c:v>0.100000000000655</c:v>
                </c:pt>
                <c:pt idx="22">
                  <c:v>4.2857142857043E-2</c:v>
                </c:pt>
                <c:pt idx="23">
                  <c:v>-9.9999999999766907E-3</c:v>
                </c:pt>
                <c:pt idx="24">
                  <c:v>-1.9999999999953399E-2</c:v>
                </c:pt>
                <c:pt idx="25">
                  <c:v>2.99999999999301E-2</c:v>
                </c:pt>
                <c:pt idx="27">
                  <c:v>-0.59999999999949005</c:v>
                </c:pt>
              </c:numCache>
            </c:numRef>
          </c:val>
        </c:ser>
        <c:ser>
          <c:idx val="1"/>
          <c:order val="1"/>
          <c:tx>
            <c:strRef>
              <c:f>'zk79+277'!$Y$4:$AA$4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'zk79+277'!$S$6:$S$44</c:f>
              <c:numCache>
                <c:formatCode>m"月"d"日";@</c:formatCode>
                <c:ptCount val="39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'zk79+277'!$AA$6:$AA$34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-0.29999999999930099</c:v>
                </c:pt>
                <c:pt idx="2">
                  <c:v>9.99999999997669E-2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-0.19999999999953399</c:v>
                </c:pt>
                <c:pt idx="11">
                  <c:v>-0.39999999999906799</c:v>
                </c:pt>
                <c:pt idx="12">
                  <c:v>0</c:v>
                </c:pt>
                <c:pt idx="13">
                  <c:v>-0.20000000000130999</c:v>
                </c:pt>
                <c:pt idx="14">
                  <c:v>9.99999999997669E-2</c:v>
                </c:pt>
                <c:pt idx="15">
                  <c:v>-0.24999999999941699</c:v>
                </c:pt>
                <c:pt idx="16">
                  <c:v>4.9999999999883499E-2</c:v>
                </c:pt>
                <c:pt idx="17">
                  <c:v>4.9999999999883499E-2</c:v>
                </c:pt>
                <c:pt idx="18">
                  <c:v>-4.9999999999883499E-2</c:v>
                </c:pt>
                <c:pt idx="19">
                  <c:v>0.14999999999965</c:v>
                </c:pt>
                <c:pt idx="20">
                  <c:v>-9.99999999997669E-2</c:v>
                </c:pt>
                <c:pt idx="21">
                  <c:v>-4.9999999999883499E-2</c:v>
                </c:pt>
                <c:pt idx="22">
                  <c:v>-4.28571428572967E-2</c:v>
                </c:pt>
                <c:pt idx="23">
                  <c:v>2.0000000000131E-2</c:v>
                </c:pt>
                <c:pt idx="24">
                  <c:v>-6.0000000000215402E-2</c:v>
                </c:pt>
                <c:pt idx="25">
                  <c:v>2.0000000000131E-2</c:v>
                </c:pt>
                <c:pt idx="27">
                  <c:v>-1.9999999999983E-2</c:v>
                </c:pt>
              </c:numCache>
            </c:numRef>
          </c:val>
        </c:ser>
        <c:ser>
          <c:idx val="2"/>
          <c:order val="2"/>
          <c:tx>
            <c:strRef>
              <c:f>'zk79+277'!$AC$4:$AE$4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'zk79+277'!$S$6:$S$44</c:f>
              <c:numCache>
                <c:formatCode>m"月"d"日";@</c:formatCode>
                <c:ptCount val="39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'zk79+277'!$AE$6:$AE$41</c:f>
              <c:numCache>
                <c:formatCode>0.00_ </c:formatCode>
                <c:ptCount val="36"/>
                <c:pt idx="0">
                  <c:v>0</c:v>
                </c:pt>
                <c:pt idx="1">
                  <c:v>-0.499999999999723</c:v>
                </c:pt>
                <c:pt idx="2">
                  <c:v>0.70000000000014495</c:v>
                </c:pt>
                <c:pt idx="3">
                  <c:v>-0.60000000000037801</c:v>
                </c:pt>
                <c:pt idx="4">
                  <c:v>-9.99999999997669E-2</c:v>
                </c:pt>
                <c:pt idx="5">
                  <c:v>-0.20000000000042201</c:v>
                </c:pt>
                <c:pt idx="6">
                  <c:v>-0.19999999999953399</c:v>
                </c:pt>
                <c:pt idx="7">
                  <c:v>0.19999999999953399</c:v>
                </c:pt>
                <c:pt idx="8">
                  <c:v>-0.59999999999949005</c:v>
                </c:pt>
                <c:pt idx="9">
                  <c:v>-0.20000000000042201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-0.59999999999949005</c:v>
                </c:pt>
                <c:pt idx="13">
                  <c:v>-0.20000000000042201</c:v>
                </c:pt>
                <c:pt idx="14">
                  <c:v>-0.19999999999953399</c:v>
                </c:pt>
                <c:pt idx="15">
                  <c:v>0.14999999999965</c:v>
                </c:pt>
                <c:pt idx="16">
                  <c:v>-4.9999999999883499E-2</c:v>
                </c:pt>
                <c:pt idx="17">
                  <c:v>-4.9999999999883499E-2</c:v>
                </c:pt>
                <c:pt idx="18">
                  <c:v>-4.9999999999883499E-2</c:v>
                </c:pt>
                <c:pt idx="19">
                  <c:v>-0.100000000000211</c:v>
                </c:pt>
                <c:pt idx="20">
                  <c:v>0</c:v>
                </c:pt>
                <c:pt idx="21">
                  <c:v>-0.150000000000095</c:v>
                </c:pt>
                <c:pt idx="22">
                  <c:v>-2.8571428571361999E-2</c:v>
                </c:pt>
                <c:pt idx="23">
                  <c:v>-9.9999999999766907E-3</c:v>
                </c:pt>
                <c:pt idx="24">
                  <c:v>-4.0000000000084399E-2</c:v>
                </c:pt>
                <c:pt idx="25">
                  <c:v>-9.9999999999766907E-3</c:v>
                </c:pt>
              </c:numCache>
            </c:numRef>
          </c:val>
        </c:ser>
        <c:dLbls/>
        <c:marker val="1"/>
        <c:axId val="386138112"/>
        <c:axId val="386140416"/>
      </c:lineChart>
      <c:dateAx>
        <c:axId val="3861381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140416"/>
        <c:crossesAt val="-50"/>
        <c:auto val="1"/>
        <c:lblOffset val="100"/>
        <c:baseTimeUnit val="days"/>
        <c:majorUnit val="5"/>
        <c:majorTimeUnit val="days"/>
      </c:dateAx>
      <c:valAx>
        <c:axId val="38614041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13811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277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'zk79+277'!$C$4:$G$4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'zk79+277'!$A$6:$A$37</c:f>
              <c:numCache>
                <c:formatCode>m"月"d"日";@</c:formatCode>
                <c:ptCount val="32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'zk79+277'!$F$6:$F$32</c:f>
              <c:numCache>
                <c:formatCode>0.00_ </c:formatCode>
                <c:ptCount val="27"/>
                <c:pt idx="0">
                  <c:v>0</c:v>
                </c:pt>
                <c:pt idx="1">
                  <c:v>0.20000000006348301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-0.49999999998817701</c:v>
                </c:pt>
                <c:pt idx="6">
                  <c:v>-0.59999999996307496</c:v>
                </c:pt>
                <c:pt idx="7">
                  <c:v>-0.90000000000145497</c:v>
                </c:pt>
                <c:pt idx="8">
                  <c:v>-1.09999999995125</c:v>
                </c:pt>
                <c:pt idx="9">
                  <c:v>-0.99999999997635303</c:v>
                </c:pt>
                <c:pt idx="10">
                  <c:v>-1.4999999999645299</c:v>
                </c:pt>
                <c:pt idx="11">
                  <c:v>-1.70000000002801</c:v>
                </c:pt>
                <c:pt idx="12">
                  <c:v>-1.8999999999778101</c:v>
                </c:pt>
                <c:pt idx="13">
                  <c:v>-1.9999999999527101</c:v>
                </c:pt>
                <c:pt idx="14">
                  <c:v>-2.2999999999910901</c:v>
                </c:pt>
                <c:pt idx="15">
                  <c:v>-2.4999999999408802</c:v>
                </c:pt>
                <c:pt idx="16">
                  <c:v>-2.6000000000294698</c:v>
                </c:pt>
                <c:pt idx="17">
                  <c:v>-2.70000000000437</c:v>
                </c:pt>
                <c:pt idx="18">
                  <c:v>-3.0000000000427498</c:v>
                </c:pt>
                <c:pt idx="19">
                  <c:v>-2.9000000000678501</c:v>
                </c:pt>
                <c:pt idx="20">
                  <c:v>-3.0000000000427498</c:v>
                </c:pt>
                <c:pt idx="21">
                  <c:v>-3.1999999999925399</c:v>
                </c:pt>
                <c:pt idx="22">
                  <c:v>-3.1000000000176402</c:v>
                </c:pt>
                <c:pt idx="23">
                  <c:v>-3.3999999999423398</c:v>
                </c:pt>
                <c:pt idx="24">
                  <c:v>-3.69999999998072</c:v>
                </c:pt>
                <c:pt idx="25">
                  <c:v>-3.5999999998921299</c:v>
                </c:pt>
              </c:numCache>
            </c:numRef>
          </c:val>
        </c:ser>
        <c:ser>
          <c:idx val="1"/>
          <c:order val="1"/>
          <c:tx>
            <c:strRef>
              <c:f>'zk79+277'!$H$4:$L$4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'zk79+277'!$A$6:$A$37</c:f>
              <c:numCache>
                <c:formatCode>m"月"d"日";@</c:formatCode>
                <c:ptCount val="32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'zk79+277'!$K$6:$K$33</c:f>
              <c:numCache>
                <c:formatCode>0.00_ 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-0.20000000006348301</c:v>
                </c:pt>
                <c:pt idx="3">
                  <c:v>-0.40000000001327901</c:v>
                </c:pt>
                <c:pt idx="4">
                  <c:v>-0.49999999998817701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-0.99999999997635303</c:v>
                </c:pt>
                <c:pt idx="8">
                  <c:v>-1.30000000001473</c:v>
                </c:pt>
                <c:pt idx="9">
                  <c:v>-1.5000000000782201</c:v>
                </c:pt>
                <c:pt idx="10">
                  <c:v>-1.2000000000398401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-2.2000000000161899</c:v>
                </c:pt>
                <c:pt idx="14">
                  <c:v>-2.5000000000545701</c:v>
                </c:pt>
                <c:pt idx="15">
                  <c:v>-2.70000000000437</c:v>
                </c:pt>
                <c:pt idx="16">
                  <c:v>-2.6000000000294698</c:v>
                </c:pt>
                <c:pt idx="17">
                  <c:v>-2.5000000000545701</c:v>
                </c:pt>
                <c:pt idx="18">
                  <c:v>-2.40000000007967</c:v>
                </c:pt>
                <c:pt idx="19">
                  <c:v>-2.2999999999910901</c:v>
                </c:pt>
                <c:pt idx="20">
                  <c:v>-2.2000000000161899</c:v>
                </c:pt>
                <c:pt idx="21">
                  <c:v>-2.5000000000545701</c:v>
                </c:pt>
                <c:pt idx="22">
                  <c:v>-2.6000000000294698</c:v>
                </c:pt>
                <c:pt idx="23">
                  <c:v>-2.79999999997926</c:v>
                </c:pt>
                <c:pt idx="24">
                  <c:v>-3.0000000000427498</c:v>
                </c:pt>
                <c:pt idx="25">
                  <c:v>-3.1000000000176402</c:v>
                </c:pt>
                <c:pt idx="27">
                  <c:v>-2.33333333274762E-2</c:v>
                </c:pt>
              </c:numCache>
            </c:numRef>
          </c:val>
        </c:ser>
        <c:ser>
          <c:idx val="2"/>
          <c:order val="2"/>
          <c:tx>
            <c:strRef>
              <c:f>'zk79+277'!$M$4:$Q$4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'zk79+277'!$A$6:$A$37</c:f>
              <c:numCache>
                <c:formatCode>m"月"d"日";@</c:formatCode>
                <c:ptCount val="32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'zk79+277'!$P$6:$P$31</c:f>
              <c:numCache>
                <c:formatCode>0.00_ </c:formatCode>
                <c:ptCount val="26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-0.40000000001327901</c:v>
                </c:pt>
                <c:pt idx="4">
                  <c:v>-0.49999999998817701</c:v>
                </c:pt>
                <c:pt idx="5">
                  <c:v>-0.80000000002655702</c:v>
                </c:pt>
                <c:pt idx="6">
                  <c:v>-1.1000000000649399</c:v>
                </c:pt>
                <c:pt idx="7">
                  <c:v>-0.99999999997635303</c:v>
                </c:pt>
                <c:pt idx="8">
                  <c:v>-1.70000000002801</c:v>
                </c:pt>
                <c:pt idx="9">
                  <c:v>-2.00000000006639</c:v>
                </c:pt>
                <c:pt idx="10">
                  <c:v>-2.00000000006639</c:v>
                </c:pt>
                <c:pt idx="11">
                  <c:v>-2.6000000000294698</c:v>
                </c:pt>
                <c:pt idx="12">
                  <c:v>-2.8999999999541601</c:v>
                </c:pt>
                <c:pt idx="13">
                  <c:v>-2.6000000000294698</c:v>
                </c:pt>
                <c:pt idx="14">
                  <c:v>-3.5000000000309202</c:v>
                </c:pt>
                <c:pt idx="15">
                  <c:v>-3.1000000000176402</c:v>
                </c:pt>
                <c:pt idx="16">
                  <c:v>-3.1999999999925399</c:v>
                </c:pt>
                <c:pt idx="17">
                  <c:v>-3.2999999999674401</c:v>
                </c:pt>
                <c:pt idx="18">
                  <c:v>-3.6000000000058199</c:v>
                </c:pt>
                <c:pt idx="19">
                  <c:v>-3.5000000000309202</c:v>
                </c:pt>
                <c:pt idx="20">
                  <c:v>-3.6000000000058199</c:v>
                </c:pt>
                <c:pt idx="21">
                  <c:v>-3.8000000000692999</c:v>
                </c:pt>
                <c:pt idx="22">
                  <c:v>-4.099999999994</c:v>
                </c:pt>
                <c:pt idx="23">
                  <c:v>-4.0000000000191003</c:v>
                </c:pt>
                <c:pt idx="24">
                  <c:v>-3.9000000000442001</c:v>
                </c:pt>
                <c:pt idx="25">
                  <c:v>-4.1999999999688997</c:v>
                </c:pt>
              </c:numCache>
            </c:numRef>
          </c:val>
        </c:ser>
        <c:dLbls/>
        <c:marker val="1"/>
        <c:axId val="386239872"/>
        <c:axId val="386254720"/>
      </c:lineChart>
      <c:lineChart>
        <c:grouping val="standard"/>
        <c:ser>
          <c:idx val="3"/>
          <c:order val="3"/>
          <c:tx>
            <c:strRef>
              <c:f>'zk79+277'!$AG$3:$AG$5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'zk79+277'!$A$6:$A$37</c:f>
              <c:numCache>
                <c:formatCode>m"月"d"日";@</c:formatCode>
                <c:ptCount val="32"/>
                <c:pt idx="0">
                  <c:v>44552</c:v>
                </c:pt>
                <c:pt idx="1">
                  <c:v>44553</c:v>
                </c:pt>
                <c:pt idx="2">
                  <c:v>44554</c:v>
                </c:pt>
                <c:pt idx="3">
                  <c:v>44555</c:v>
                </c:pt>
                <c:pt idx="4">
                  <c:v>44556</c:v>
                </c:pt>
                <c:pt idx="5">
                  <c:v>44557</c:v>
                </c:pt>
                <c:pt idx="6">
                  <c:v>44558</c:v>
                </c:pt>
                <c:pt idx="7">
                  <c:v>44559</c:v>
                </c:pt>
                <c:pt idx="8">
                  <c:v>44560</c:v>
                </c:pt>
                <c:pt idx="9">
                  <c:v>44561</c:v>
                </c:pt>
                <c:pt idx="10">
                  <c:v>44562</c:v>
                </c:pt>
                <c:pt idx="11">
                  <c:v>44563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44568</c:v>
                </c:pt>
                <c:pt idx="16">
                  <c:v>44570</c:v>
                </c:pt>
                <c:pt idx="17">
                  <c:v>44572</c:v>
                </c:pt>
                <c:pt idx="18">
                  <c:v>44574</c:v>
                </c:pt>
                <c:pt idx="19">
                  <c:v>44576</c:v>
                </c:pt>
                <c:pt idx="20">
                  <c:v>44578</c:v>
                </c:pt>
                <c:pt idx="21">
                  <c:v>44580</c:v>
                </c:pt>
                <c:pt idx="22">
                  <c:v>44587</c:v>
                </c:pt>
                <c:pt idx="23">
                  <c:v>44597</c:v>
                </c:pt>
                <c:pt idx="24">
                  <c:v>44602</c:v>
                </c:pt>
                <c:pt idx="25">
                  <c:v>44612</c:v>
                </c:pt>
              </c:numCache>
            </c:numRef>
          </c:cat>
          <c:val>
            <c:numRef>
              <c:f>'zk79+277'!$AG$6:$AG$37</c:f>
              <c:numCache>
                <c:formatCode>0.0_ </c:formatCode>
                <c:ptCount val="32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37</c:v>
                </c:pt>
                <c:pt idx="12">
                  <c:v>39</c:v>
                </c:pt>
                <c:pt idx="13">
                  <c:v>44</c:v>
                </c:pt>
                <c:pt idx="14">
                  <c:v>50</c:v>
                </c:pt>
                <c:pt idx="15">
                  <c:v>62</c:v>
                </c:pt>
                <c:pt idx="16">
                  <c:v>69</c:v>
                </c:pt>
                <c:pt idx="17">
                  <c:v>76</c:v>
                </c:pt>
                <c:pt idx="18">
                  <c:v>83</c:v>
                </c:pt>
                <c:pt idx="19">
                  <c:v>88.800000000002896</c:v>
                </c:pt>
                <c:pt idx="20">
                  <c:v>98</c:v>
                </c:pt>
                <c:pt idx="21">
                  <c:v>106</c:v>
                </c:pt>
                <c:pt idx="22">
                  <c:v>108</c:v>
                </c:pt>
                <c:pt idx="23">
                  <c:v>108</c:v>
                </c:pt>
                <c:pt idx="24">
                  <c:v>116</c:v>
                </c:pt>
                <c:pt idx="25">
                  <c:v>128</c:v>
                </c:pt>
              </c:numCache>
            </c:numRef>
          </c:val>
        </c:ser>
        <c:dLbls/>
        <c:marker val="1"/>
        <c:axId val="386265088"/>
        <c:axId val="386266624"/>
      </c:lineChart>
      <c:dateAx>
        <c:axId val="3862398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254720"/>
        <c:crossesAt val="-50"/>
        <c:auto val="1"/>
        <c:lblOffset val="100"/>
        <c:baseTimeUnit val="days"/>
        <c:majorUnit val="5"/>
        <c:majorTimeUnit val="days"/>
      </c:dateAx>
      <c:valAx>
        <c:axId val="386254720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239872"/>
        <c:crosses val="autoZero"/>
        <c:crossBetween val="midCat"/>
        <c:majorUnit val="2"/>
        <c:minorUnit val="0.5"/>
      </c:valAx>
      <c:dateAx>
        <c:axId val="38626508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6266624"/>
        <c:crosses val="autoZero"/>
        <c:auto val="1"/>
        <c:lblOffset val="100"/>
        <c:baseTimeUnit val="days"/>
      </c:dateAx>
      <c:valAx>
        <c:axId val="386266624"/>
        <c:scaling>
          <c:orientation val="minMax"/>
          <c:max val="2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265088"/>
        <c:crosses val="max"/>
        <c:crossBetween val="midCat"/>
        <c:majorUnit val="4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'zk79+300'!$U$4:$W$4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'zk79+300'!$S$6:$S$31</c:f>
              <c:numCache>
                <c:formatCode>m"月"d"日";@</c:formatCode>
                <c:ptCount val="26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'zk79+300'!$V$6:$V$36</c:f>
              <c:numCache>
                <c:formatCode>0.00_ </c:formatCode>
                <c:ptCount val="31"/>
                <c:pt idx="0">
                  <c:v>0</c:v>
                </c:pt>
                <c:pt idx="1">
                  <c:v>-0.20000000000042201</c:v>
                </c:pt>
                <c:pt idx="2">
                  <c:v>0.19999999999953399</c:v>
                </c:pt>
                <c:pt idx="3">
                  <c:v>-0.20000000000042201</c:v>
                </c:pt>
                <c:pt idx="4">
                  <c:v>-0.399999999999956</c:v>
                </c:pt>
                <c:pt idx="5">
                  <c:v>-0.60000000000037801</c:v>
                </c:pt>
                <c:pt idx="6">
                  <c:v>-0.50000000000061096</c:v>
                </c:pt>
                <c:pt idx="7">
                  <c:v>-1.00000000000033</c:v>
                </c:pt>
                <c:pt idx="8">
                  <c:v>-1.20000000000076</c:v>
                </c:pt>
                <c:pt idx="9">
                  <c:v>-1.1000000000001</c:v>
                </c:pt>
                <c:pt idx="10">
                  <c:v>-1.3000000000005201</c:v>
                </c:pt>
                <c:pt idx="11">
                  <c:v>-1.50000000000006</c:v>
                </c:pt>
                <c:pt idx="12">
                  <c:v>-1.8000000000002501</c:v>
                </c:pt>
                <c:pt idx="13">
                  <c:v>-1.9000000000000099</c:v>
                </c:pt>
                <c:pt idx="14">
                  <c:v>-2.10000000000043</c:v>
                </c:pt>
                <c:pt idx="15">
                  <c:v>-2.2999999999999701</c:v>
                </c:pt>
                <c:pt idx="16">
                  <c:v>-2.4000000000006199</c:v>
                </c:pt>
                <c:pt idx="17">
                  <c:v>-2.5000000000003899</c:v>
                </c:pt>
                <c:pt idx="18">
                  <c:v>-2.2999999999999701</c:v>
                </c:pt>
                <c:pt idx="19">
                  <c:v>-2.60000000000016</c:v>
                </c:pt>
                <c:pt idx="20">
                  <c:v>-2.4000000000006199</c:v>
                </c:pt>
                <c:pt idx="21">
                  <c:v>-2.60000000000016</c:v>
                </c:pt>
                <c:pt idx="22">
                  <c:v>-2.5000000000003899</c:v>
                </c:pt>
                <c:pt idx="23">
                  <c:v>-2.7000000000008102</c:v>
                </c:pt>
                <c:pt idx="24">
                  <c:v>-2.8000000000005798</c:v>
                </c:pt>
                <c:pt idx="26">
                  <c:v>-0.89999999999967895</c:v>
                </c:pt>
              </c:numCache>
            </c:numRef>
          </c:val>
        </c:ser>
        <c:ser>
          <c:idx val="1"/>
          <c:order val="1"/>
          <c:tx>
            <c:strRef>
              <c:f>'zk79+300'!$Y$4:$AA$4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'zk79+300'!$S$6:$S$31</c:f>
              <c:numCache>
                <c:formatCode>m"月"d"日";@</c:formatCode>
                <c:ptCount val="26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'zk79+300'!$Z$6:$Z$37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9.99999999997669E-2</c:v>
                </c:pt>
                <c:pt idx="3">
                  <c:v>-0.40000000000084401</c:v>
                </c:pt>
                <c:pt idx="4">
                  <c:v>-0.50000000000061096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-1.20000000000076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-1.4000000000002899</c:v>
                </c:pt>
                <c:pt idx="11">
                  <c:v>-1.4000000000002899</c:v>
                </c:pt>
                <c:pt idx="12">
                  <c:v>-1.20000000000076</c:v>
                </c:pt>
                <c:pt idx="13">
                  <c:v>-1.10000000000099</c:v>
                </c:pt>
                <c:pt idx="14">
                  <c:v>-1.4000000000002899</c:v>
                </c:pt>
                <c:pt idx="15">
                  <c:v>-1.20000000000076</c:v>
                </c:pt>
                <c:pt idx="16">
                  <c:v>-1.10000000000099</c:v>
                </c:pt>
                <c:pt idx="17">
                  <c:v>-1.4000000000002899</c:v>
                </c:pt>
                <c:pt idx="18">
                  <c:v>-1.50000000000006</c:v>
                </c:pt>
                <c:pt idx="19">
                  <c:v>-1.80000000000113</c:v>
                </c:pt>
                <c:pt idx="20">
                  <c:v>-1.6999999999995901</c:v>
                </c:pt>
                <c:pt idx="21">
                  <c:v>-1.9000000000009001</c:v>
                </c:pt>
                <c:pt idx="22">
                  <c:v>-2.0000000000006701</c:v>
                </c:pt>
                <c:pt idx="23">
                  <c:v>-1.9000000000009001</c:v>
                </c:pt>
                <c:pt idx="24">
                  <c:v>-2.2999999999999701</c:v>
                </c:pt>
                <c:pt idx="26">
                  <c:v>-2.60000000000016</c:v>
                </c:pt>
              </c:numCache>
            </c:numRef>
          </c:val>
        </c:ser>
        <c:ser>
          <c:idx val="2"/>
          <c:order val="2"/>
          <c:tx>
            <c:strRef>
              <c:f>'zk79+300'!$AC$4:$AE$4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'zk79+300'!$S$6:$S$31</c:f>
              <c:numCache>
                <c:formatCode>m"月"d"日";@</c:formatCode>
                <c:ptCount val="26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'zk79+300'!$AD$6:$AD$41</c:f>
              <c:numCache>
                <c:formatCode>0.00_ </c:formatCode>
                <c:ptCount val="36"/>
                <c:pt idx="0">
                  <c:v>0</c:v>
                </c:pt>
                <c:pt idx="1">
                  <c:v>0.300000000000189</c:v>
                </c:pt>
                <c:pt idx="2">
                  <c:v>-0.20000000000042201</c:v>
                </c:pt>
                <c:pt idx="3">
                  <c:v>-0.399999999999956</c:v>
                </c:pt>
                <c:pt idx="4">
                  <c:v>-0.60000000000037801</c:v>
                </c:pt>
                <c:pt idx="5">
                  <c:v>-0.499999999999723</c:v>
                </c:pt>
                <c:pt idx="6">
                  <c:v>-1.00000000000033</c:v>
                </c:pt>
                <c:pt idx="7">
                  <c:v>-1.1999999999998701</c:v>
                </c:pt>
                <c:pt idx="8">
                  <c:v>-1.00000000000033</c:v>
                </c:pt>
                <c:pt idx="9">
                  <c:v>-1.59999999999982</c:v>
                </c:pt>
                <c:pt idx="10">
                  <c:v>-1.8000000000002501</c:v>
                </c:pt>
                <c:pt idx="11">
                  <c:v>-1.9000000000000099</c:v>
                </c:pt>
                <c:pt idx="12">
                  <c:v>-2.2000000000002</c:v>
                </c:pt>
                <c:pt idx="13">
                  <c:v>-2.10000000000043</c:v>
                </c:pt>
                <c:pt idx="14">
                  <c:v>-2.60000000000016</c:v>
                </c:pt>
                <c:pt idx="15">
                  <c:v>-2.7999999999996898</c:v>
                </c:pt>
                <c:pt idx="16">
                  <c:v>-2.60000000000016</c:v>
                </c:pt>
                <c:pt idx="17">
                  <c:v>-2.5000000000003899</c:v>
                </c:pt>
                <c:pt idx="18">
                  <c:v>-2.9000000000003499</c:v>
                </c:pt>
                <c:pt idx="19">
                  <c:v>-2.60000000000016</c:v>
                </c:pt>
                <c:pt idx="20">
                  <c:v>-2.3999999999997401</c:v>
                </c:pt>
                <c:pt idx="21">
                  <c:v>-2.7999999999996898</c:v>
                </c:pt>
                <c:pt idx="22">
                  <c:v>-2.6999999999999198</c:v>
                </c:pt>
                <c:pt idx="23">
                  <c:v>-2.5000000000003899</c:v>
                </c:pt>
                <c:pt idx="24">
                  <c:v>-2.60000000000016</c:v>
                </c:pt>
              </c:numCache>
            </c:numRef>
          </c:val>
        </c:ser>
        <c:dLbls/>
        <c:marker val="1"/>
        <c:axId val="383003648"/>
        <c:axId val="383009920"/>
      </c:lineChart>
      <c:lineChart>
        <c:grouping val="standard"/>
        <c:ser>
          <c:idx val="3"/>
          <c:order val="3"/>
          <c:tx>
            <c:strRef>
              <c:f>'zk79+300'!$AG$3:$AG$5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'zk79+300'!$S$6:$S$31</c:f>
              <c:numCache>
                <c:formatCode>m"月"d"日";@</c:formatCode>
                <c:ptCount val="26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'zk79+300'!$AG$6:$AG$34</c:f>
              <c:numCache>
                <c:formatCode>0.0_ </c:formatCode>
                <c:ptCount val="29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39</c:v>
                </c:pt>
                <c:pt idx="9">
                  <c:v>42</c:v>
                </c:pt>
                <c:pt idx="10">
                  <c:v>46</c:v>
                </c:pt>
                <c:pt idx="11">
                  <c:v>49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65.800000000002896</c:v>
                </c:pt>
                <c:pt idx="16">
                  <c:v>75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83</c:v>
                </c:pt>
                <c:pt idx="23">
                  <c:v>93</c:v>
                </c:pt>
                <c:pt idx="24">
                  <c:v>105</c:v>
                </c:pt>
              </c:numCache>
            </c:numRef>
          </c:val>
        </c:ser>
        <c:dLbls/>
        <c:marker val="1"/>
        <c:axId val="383011840"/>
        <c:axId val="383042304"/>
      </c:lineChart>
      <c:dateAx>
        <c:axId val="3830036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009920"/>
        <c:crossesAt val="-50"/>
        <c:auto val="1"/>
        <c:lblOffset val="100"/>
        <c:baseTimeUnit val="days"/>
      </c:dateAx>
      <c:valAx>
        <c:axId val="38300992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003648"/>
        <c:crosses val="autoZero"/>
        <c:crossBetween val="midCat"/>
        <c:majorUnit val="1"/>
        <c:minorUnit val="0.1"/>
      </c:valAx>
      <c:dateAx>
        <c:axId val="3830118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3042304"/>
        <c:crosses val="autoZero"/>
        <c:auto val="1"/>
        <c:lblOffset val="100"/>
        <c:baseTimeUnit val="days"/>
      </c:dateAx>
      <c:valAx>
        <c:axId val="38304230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301184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'zk79+300'!$A$6:$A$42</c:f>
              <c:numCache>
                <c:formatCode>m"月"d"日";@</c:formatCode>
                <c:ptCount val="37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'zk79+300'!$G$6:$G$38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-0.199999999949796</c:v>
                </c:pt>
                <c:pt idx="9">
                  <c:v>0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0</c:v>
                </c:pt>
                <c:pt idx="15">
                  <c:v>-0.20000000000663901</c:v>
                </c:pt>
                <c:pt idx="16">
                  <c:v>4.9999999987449001E-2</c:v>
                </c:pt>
                <c:pt idx="17">
                  <c:v>-4.9999999987449001E-2</c:v>
                </c:pt>
                <c:pt idx="18">
                  <c:v>4.9999999987449001E-2</c:v>
                </c:pt>
                <c:pt idx="19">
                  <c:v>-0.149999999962347</c:v>
                </c:pt>
                <c:pt idx="20">
                  <c:v>4.9999999987449001E-2</c:v>
                </c:pt>
                <c:pt idx="21">
                  <c:v>-0.15000000001919001</c:v>
                </c:pt>
                <c:pt idx="22">
                  <c:v>1.11111111209539E-2</c:v>
                </c:pt>
                <c:pt idx="23">
                  <c:v>-4.0000000012696497E-2</c:v>
                </c:pt>
                <c:pt idx="24">
                  <c:v>2.0000000006348301E-2</c:v>
                </c:pt>
                <c:pt idx="26">
                  <c:v>0.20000000006348301</c:v>
                </c:pt>
              </c:numCache>
            </c:numRef>
          </c:val>
        </c:ser>
        <c:ser>
          <c:idx val="1"/>
          <c:order val="1"/>
          <c:tx>
            <c:strRef>
              <c:f>'zk79+300'!$H$4:$L$4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'zk79+300'!$A$6:$A$42</c:f>
              <c:numCache>
                <c:formatCode>m"月"d"日";@</c:formatCode>
                <c:ptCount val="37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'zk79+300'!$L$6:$L$39</c:f>
              <c:numCache>
                <c:formatCode>0.00_ </c:formatCode>
                <c:ptCount val="34"/>
                <c:pt idx="0">
                  <c:v>0</c:v>
                </c:pt>
                <c:pt idx="1">
                  <c:v>0.199999999949796</c:v>
                </c:pt>
                <c:pt idx="2">
                  <c:v>-0.49999999998817701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-0.59999999996307496</c:v>
                </c:pt>
                <c:pt idx="6">
                  <c:v>0.20000000006348301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-0.20000000006348301</c:v>
                </c:pt>
                <c:pt idx="12">
                  <c:v>0.10000000008858501</c:v>
                </c:pt>
                <c:pt idx="13">
                  <c:v>-0.50000000010186296</c:v>
                </c:pt>
                <c:pt idx="14">
                  <c:v>-0.199999999949796</c:v>
                </c:pt>
                <c:pt idx="15">
                  <c:v>9.9999999974897905E-2</c:v>
                </c:pt>
                <c:pt idx="16">
                  <c:v>-0.29999999998153698</c:v>
                </c:pt>
                <c:pt idx="17">
                  <c:v>0.100000000031741</c:v>
                </c:pt>
                <c:pt idx="18">
                  <c:v>-0.15000000001919001</c:v>
                </c:pt>
                <c:pt idx="19">
                  <c:v>9.9999999974897905E-2</c:v>
                </c:pt>
                <c:pt idx="20">
                  <c:v>0.15000000001919001</c:v>
                </c:pt>
                <c:pt idx="21">
                  <c:v>-0.15000000001919001</c:v>
                </c:pt>
                <c:pt idx="22">
                  <c:v>1.11111111209539E-2</c:v>
                </c:pt>
                <c:pt idx="23">
                  <c:v>-2.0000000017716998E-2</c:v>
                </c:pt>
                <c:pt idx="24">
                  <c:v>-9.9999999974897894E-3</c:v>
                </c:pt>
              </c:numCache>
            </c:numRef>
          </c:val>
        </c:ser>
        <c:ser>
          <c:idx val="2"/>
          <c:order val="2"/>
          <c:tx>
            <c:strRef>
              <c:f>'zk79+300'!$M$4:$Q$4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'zk79+300'!$A$6:$A$42</c:f>
              <c:numCache>
                <c:formatCode>m"月"d"日";@</c:formatCode>
                <c:ptCount val="37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'zk79+300'!$Q$6:$Q$35</c:f>
              <c:numCache>
                <c:formatCode>0.00_ </c:formatCode>
                <c:ptCount val="30"/>
                <c:pt idx="0">
                  <c:v>0</c:v>
                </c:pt>
                <c:pt idx="1">
                  <c:v>0.30000000003838101</c:v>
                </c:pt>
                <c:pt idx="2">
                  <c:v>-0.30000000003838101</c:v>
                </c:pt>
                <c:pt idx="3">
                  <c:v>-0.90000000000145497</c:v>
                </c:pt>
                <c:pt idx="4">
                  <c:v>-9.9999999974897905E-2</c:v>
                </c:pt>
                <c:pt idx="5">
                  <c:v>9.9999999974897905E-2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-0.199999999949796</c:v>
                </c:pt>
                <c:pt idx="9">
                  <c:v>-0.30000000003838101</c:v>
                </c:pt>
                <c:pt idx="10">
                  <c:v>0.20000000006348301</c:v>
                </c:pt>
                <c:pt idx="11">
                  <c:v>0.199999999949796</c:v>
                </c:pt>
                <c:pt idx="12">
                  <c:v>0.199999999949796</c:v>
                </c:pt>
                <c:pt idx="13">
                  <c:v>-0.29999999992469401</c:v>
                </c:pt>
                <c:pt idx="14">
                  <c:v>-9.9999999974897905E-2</c:v>
                </c:pt>
                <c:pt idx="15">
                  <c:v>0</c:v>
                </c:pt>
                <c:pt idx="16">
                  <c:v>-0.25000000005093198</c:v>
                </c:pt>
                <c:pt idx="17">
                  <c:v>0.15000000001919001</c:v>
                </c:pt>
                <c:pt idx="18">
                  <c:v>-9.9999999974897905E-2</c:v>
                </c:pt>
                <c:pt idx="19">
                  <c:v>9.9999999974897905E-2</c:v>
                </c:pt>
                <c:pt idx="20">
                  <c:v>0.15000000001919001</c:v>
                </c:pt>
                <c:pt idx="21">
                  <c:v>-0.15000000001919001</c:v>
                </c:pt>
                <c:pt idx="22">
                  <c:v>1.1111111108322001E-2</c:v>
                </c:pt>
                <c:pt idx="23">
                  <c:v>6.0000000007676101E-2</c:v>
                </c:pt>
                <c:pt idx="24">
                  <c:v>-1.99999999949796E-2</c:v>
                </c:pt>
              </c:numCache>
            </c:numRef>
          </c:val>
        </c:ser>
        <c:dLbls/>
        <c:marker val="1"/>
        <c:axId val="386521728"/>
        <c:axId val="386630784"/>
      </c:lineChart>
      <c:dateAx>
        <c:axId val="3865217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630784"/>
        <c:crossesAt val="-50"/>
        <c:auto val="1"/>
        <c:lblOffset val="100"/>
        <c:baseTimeUnit val="days"/>
      </c:dateAx>
      <c:valAx>
        <c:axId val="38663078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5217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'zk79+300'!$S$6:$S$45</c:f>
              <c:numCache>
                <c:formatCode>m"月"d"日";@</c:formatCode>
                <c:ptCount val="40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'zk79+300'!$W$6:$W$36</c:f>
              <c:numCache>
                <c:formatCode>0.00_ </c:formatCode>
                <c:ptCount val="31"/>
                <c:pt idx="0">
                  <c:v>0</c:v>
                </c:pt>
                <c:pt idx="1">
                  <c:v>0.20000000000042201</c:v>
                </c:pt>
                <c:pt idx="2">
                  <c:v>-0.399999999999956</c:v>
                </c:pt>
                <c:pt idx="3">
                  <c:v>0.399999999999956</c:v>
                </c:pt>
                <c:pt idx="4">
                  <c:v>0.19999999999953399</c:v>
                </c:pt>
                <c:pt idx="5">
                  <c:v>0.20000000000042201</c:v>
                </c:pt>
                <c:pt idx="6">
                  <c:v>-9.99999999997669E-2</c:v>
                </c:pt>
                <c:pt idx="7">
                  <c:v>0.499999999999723</c:v>
                </c:pt>
                <c:pt idx="8">
                  <c:v>0.20000000000042201</c:v>
                </c:pt>
                <c:pt idx="9">
                  <c:v>-0.100000000000655</c:v>
                </c:pt>
                <c:pt idx="10">
                  <c:v>0.20000000000042201</c:v>
                </c:pt>
                <c:pt idx="11">
                  <c:v>0.19999999999953399</c:v>
                </c:pt>
                <c:pt idx="12">
                  <c:v>0.300000000000189</c:v>
                </c:pt>
                <c:pt idx="13">
                  <c:v>9.99999999997669E-2</c:v>
                </c:pt>
                <c:pt idx="14">
                  <c:v>0.20000000000042201</c:v>
                </c:pt>
                <c:pt idx="15">
                  <c:v>9.99999999997669E-2</c:v>
                </c:pt>
                <c:pt idx="16">
                  <c:v>5.0000000000327602E-2</c:v>
                </c:pt>
                <c:pt idx="17">
                  <c:v>4.9999999999883499E-2</c:v>
                </c:pt>
                <c:pt idx="18">
                  <c:v>-0.100000000000211</c:v>
                </c:pt>
                <c:pt idx="19">
                  <c:v>0.150000000000095</c:v>
                </c:pt>
                <c:pt idx="20">
                  <c:v>-9.99999999997669E-2</c:v>
                </c:pt>
                <c:pt idx="21">
                  <c:v>9.99999999997669E-2</c:v>
                </c:pt>
                <c:pt idx="22">
                  <c:v>-1.11111111110852E-2</c:v>
                </c:pt>
                <c:pt idx="23">
                  <c:v>4.0000000000084399E-2</c:v>
                </c:pt>
                <c:pt idx="24">
                  <c:v>9.9999999999766907E-3</c:v>
                </c:pt>
                <c:pt idx="26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'zk79+300'!$Y$4:$AA$4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'zk79+300'!$S$6:$S$45</c:f>
              <c:numCache>
                <c:formatCode>m"月"d"日";@</c:formatCode>
                <c:ptCount val="40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'zk79+300'!$AA$6:$AA$35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-0.20000000000130999</c:v>
                </c:pt>
                <c:pt idx="2">
                  <c:v>0.30000000000107702</c:v>
                </c:pt>
                <c:pt idx="3">
                  <c:v>-0.50000000000061096</c:v>
                </c:pt>
                <c:pt idx="4">
                  <c:v>-9.99999999997669E-2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-0.30000000000107702</c:v>
                </c:pt>
                <c:pt idx="8">
                  <c:v>-9.99999999997669E-2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0</c:v>
                </c:pt>
                <c:pt idx="12">
                  <c:v>0.19999999999953399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9.99999999997669E-2</c:v>
                </c:pt>
                <c:pt idx="16">
                  <c:v>4.9999999999883499E-2</c:v>
                </c:pt>
                <c:pt idx="17">
                  <c:v>-0.14999999999965</c:v>
                </c:pt>
                <c:pt idx="18">
                  <c:v>-4.9999999999883499E-2</c:v>
                </c:pt>
                <c:pt idx="19">
                  <c:v>-0.15000000000053901</c:v>
                </c:pt>
                <c:pt idx="20">
                  <c:v>5.0000000000771601E-2</c:v>
                </c:pt>
                <c:pt idx="21">
                  <c:v>-0.100000000000655</c:v>
                </c:pt>
                <c:pt idx="22">
                  <c:v>-1.11111111110852E-2</c:v>
                </c:pt>
                <c:pt idx="23">
                  <c:v>1.9999999999953399E-2</c:v>
                </c:pt>
                <c:pt idx="24">
                  <c:v>-3.9999999999906798E-2</c:v>
                </c:pt>
                <c:pt idx="26">
                  <c:v>-2.9999999999989299E-2</c:v>
                </c:pt>
              </c:numCache>
            </c:numRef>
          </c:val>
        </c:ser>
        <c:ser>
          <c:idx val="2"/>
          <c:order val="2"/>
          <c:tx>
            <c:strRef>
              <c:f>'zk79+300'!$AC$4:$AE$4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'zk79+300'!$S$6:$S$45</c:f>
              <c:numCache>
                <c:formatCode>m"月"d"日";@</c:formatCode>
                <c:ptCount val="40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'zk79+300'!$AE$6:$AE$42</c:f>
              <c:numCache>
                <c:formatCode>0.00_ </c:formatCode>
                <c:ptCount val="37"/>
                <c:pt idx="0">
                  <c:v>0</c:v>
                </c:pt>
                <c:pt idx="1">
                  <c:v>0.300000000000189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-0.20000000000042201</c:v>
                </c:pt>
                <c:pt idx="5">
                  <c:v>0.100000000000655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0.19999999999953399</c:v>
                </c:pt>
                <c:pt idx="9">
                  <c:v>-0.59999999999949005</c:v>
                </c:pt>
                <c:pt idx="10">
                  <c:v>-0.20000000000042201</c:v>
                </c:pt>
                <c:pt idx="11">
                  <c:v>-9.99999999997669E-2</c:v>
                </c:pt>
                <c:pt idx="12">
                  <c:v>-0.300000000000189</c:v>
                </c:pt>
                <c:pt idx="13">
                  <c:v>9.99999999997669E-2</c:v>
                </c:pt>
                <c:pt idx="14">
                  <c:v>-0.499999999999723</c:v>
                </c:pt>
                <c:pt idx="15">
                  <c:v>-9.99999999997669E-2</c:v>
                </c:pt>
                <c:pt idx="16">
                  <c:v>9.99999999997669E-2</c:v>
                </c:pt>
                <c:pt idx="17">
                  <c:v>4.9999999999883499E-2</c:v>
                </c:pt>
                <c:pt idx="18">
                  <c:v>-0.199999999999978</c:v>
                </c:pt>
                <c:pt idx="19">
                  <c:v>0.150000000000095</c:v>
                </c:pt>
                <c:pt idx="20">
                  <c:v>0.100000000000211</c:v>
                </c:pt>
                <c:pt idx="21">
                  <c:v>-0.199999999999978</c:v>
                </c:pt>
                <c:pt idx="22">
                  <c:v>1.11111111110852E-2</c:v>
                </c:pt>
                <c:pt idx="23">
                  <c:v>3.9999999999906798E-2</c:v>
                </c:pt>
                <c:pt idx="24">
                  <c:v>-9.9999999999766907E-3</c:v>
                </c:pt>
              </c:numCache>
            </c:numRef>
          </c:val>
        </c:ser>
        <c:dLbls/>
        <c:marker val="1"/>
        <c:axId val="386661760"/>
        <c:axId val="386688896"/>
      </c:lineChart>
      <c:dateAx>
        <c:axId val="3866617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688896"/>
        <c:crossesAt val="-50"/>
        <c:auto val="1"/>
        <c:lblOffset val="100"/>
        <c:baseTimeUnit val="days"/>
      </c:dateAx>
      <c:valAx>
        <c:axId val="38668889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66176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'zk79+300'!$A$6:$A$38</c:f>
              <c:numCache>
                <c:formatCode>m"月"d"日";@</c:formatCode>
                <c:ptCount val="33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'zk79+300'!$F$6:$F$33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-0.199999999949796</c:v>
                </c:pt>
                <c:pt idx="2">
                  <c:v>-0.69999999993797202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-1.09999999995125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-1.5999999999394301</c:v>
                </c:pt>
                <c:pt idx="10">
                  <c:v>-1.8000000000029099</c:v>
                </c:pt>
                <c:pt idx="11">
                  <c:v>-1.9999999999527101</c:v>
                </c:pt>
                <c:pt idx="12">
                  <c:v>-2.0999999999275998</c:v>
                </c:pt>
                <c:pt idx="13">
                  <c:v>-2.39999999996598</c:v>
                </c:pt>
                <c:pt idx="14">
                  <c:v>-2.39999999996598</c:v>
                </c:pt>
                <c:pt idx="15">
                  <c:v>-2.79999999997926</c:v>
                </c:pt>
                <c:pt idx="16">
                  <c:v>-2.70000000000437</c:v>
                </c:pt>
                <c:pt idx="17">
                  <c:v>-2.79999999997926</c:v>
                </c:pt>
                <c:pt idx="18">
                  <c:v>-2.70000000000437</c:v>
                </c:pt>
                <c:pt idx="19">
                  <c:v>-2.9999999999290599</c:v>
                </c:pt>
                <c:pt idx="20">
                  <c:v>-2.8999999999541601</c:v>
                </c:pt>
                <c:pt idx="21">
                  <c:v>-3.1999999999925399</c:v>
                </c:pt>
                <c:pt idx="22">
                  <c:v>-3.09999999990396</c:v>
                </c:pt>
                <c:pt idx="23">
                  <c:v>-3.2999999999674401</c:v>
                </c:pt>
                <c:pt idx="24">
                  <c:v>-3.09999999990396</c:v>
                </c:pt>
                <c:pt idx="26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'zk79+300'!$H$4:$L$4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'zk79+300'!$A$6:$A$38</c:f>
              <c:numCache>
                <c:formatCode>m"月"d"日";@</c:formatCode>
                <c:ptCount val="33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'zk79+300'!$K$6:$K$34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-0.70000000005165897</c:v>
                </c:pt>
                <c:pt idx="5">
                  <c:v>-1.30000000001473</c:v>
                </c:pt>
                <c:pt idx="6">
                  <c:v>-1.09999999995125</c:v>
                </c:pt>
                <c:pt idx="7">
                  <c:v>-1.30000000001473</c:v>
                </c:pt>
                <c:pt idx="8">
                  <c:v>-1.39999999998963</c:v>
                </c:pt>
                <c:pt idx="9">
                  <c:v>-1.70000000002801</c:v>
                </c:pt>
                <c:pt idx="10">
                  <c:v>-1.8999999999778101</c:v>
                </c:pt>
                <c:pt idx="11">
                  <c:v>-2.1000000000412902</c:v>
                </c:pt>
                <c:pt idx="12">
                  <c:v>-1.9999999999527101</c:v>
                </c:pt>
                <c:pt idx="13">
                  <c:v>-2.5000000000545701</c:v>
                </c:pt>
                <c:pt idx="14">
                  <c:v>-2.70000000000437</c:v>
                </c:pt>
                <c:pt idx="15">
                  <c:v>-2.5000000000545701</c:v>
                </c:pt>
                <c:pt idx="16">
                  <c:v>-3.1000000000176402</c:v>
                </c:pt>
                <c:pt idx="17">
                  <c:v>-2.8999999999541601</c:v>
                </c:pt>
                <c:pt idx="18">
                  <c:v>-3.1999999999925399</c:v>
                </c:pt>
                <c:pt idx="19">
                  <c:v>-3.0000000000427498</c:v>
                </c:pt>
                <c:pt idx="20">
                  <c:v>-2.70000000000437</c:v>
                </c:pt>
                <c:pt idx="21">
                  <c:v>-3.0000000000427498</c:v>
                </c:pt>
                <c:pt idx="22">
                  <c:v>-2.8999999999541601</c:v>
                </c:pt>
                <c:pt idx="23">
                  <c:v>-3.0000000000427498</c:v>
                </c:pt>
                <c:pt idx="24">
                  <c:v>-3.1000000000176402</c:v>
                </c:pt>
                <c:pt idx="26">
                  <c:v>-2.33333333312657E-2</c:v>
                </c:pt>
              </c:numCache>
            </c:numRef>
          </c:val>
        </c:ser>
        <c:ser>
          <c:idx val="2"/>
          <c:order val="2"/>
          <c:tx>
            <c:strRef>
              <c:f>'zk79+300'!$M$4:$Q$4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'zk79+300'!$A$6:$A$38</c:f>
              <c:numCache>
                <c:formatCode>m"月"d"日";@</c:formatCode>
                <c:ptCount val="33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'zk79+300'!$P$6:$P$32</c:f>
              <c:numCache>
                <c:formatCode>0.00_ </c:formatCode>
                <c:ptCount val="27"/>
                <c:pt idx="0">
                  <c:v>0</c:v>
                </c:pt>
                <c:pt idx="1">
                  <c:v>0.30000000003838101</c:v>
                </c:pt>
                <c:pt idx="2">
                  <c:v>0</c:v>
                </c:pt>
                <c:pt idx="3">
                  <c:v>-0.90000000000145497</c:v>
                </c:pt>
                <c:pt idx="4">
                  <c:v>-0.99999999997635303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-1.2000000000398401</c:v>
                </c:pt>
                <c:pt idx="8">
                  <c:v>-1.39999999998963</c:v>
                </c:pt>
                <c:pt idx="9">
                  <c:v>-1.70000000002801</c:v>
                </c:pt>
                <c:pt idx="10">
                  <c:v>-1.4999999999645299</c:v>
                </c:pt>
                <c:pt idx="11">
                  <c:v>-1.30000000001473</c:v>
                </c:pt>
                <c:pt idx="12">
                  <c:v>-1.1000000000649399</c:v>
                </c:pt>
                <c:pt idx="13">
                  <c:v>-1.39999999998963</c:v>
                </c:pt>
                <c:pt idx="14">
                  <c:v>-1.4999999999645299</c:v>
                </c:pt>
                <c:pt idx="15">
                  <c:v>-1.4999999999645299</c:v>
                </c:pt>
                <c:pt idx="16">
                  <c:v>-2.00000000006639</c:v>
                </c:pt>
                <c:pt idx="17">
                  <c:v>-1.70000000002801</c:v>
                </c:pt>
                <c:pt idx="18">
                  <c:v>-1.8999999999778101</c:v>
                </c:pt>
                <c:pt idx="19">
                  <c:v>-1.70000000002801</c:v>
                </c:pt>
                <c:pt idx="20">
                  <c:v>-1.39999999998963</c:v>
                </c:pt>
                <c:pt idx="21">
                  <c:v>-1.70000000002801</c:v>
                </c:pt>
                <c:pt idx="22">
                  <c:v>-1.60000000005311</c:v>
                </c:pt>
                <c:pt idx="23">
                  <c:v>-1.30000000001473</c:v>
                </c:pt>
                <c:pt idx="24">
                  <c:v>-1.4999999999645299</c:v>
                </c:pt>
              </c:numCache>
            </c:numRef>
          </c:val>
        </c:ser>
        <c:dLbls/>
        <c:marker val="1"/>
        <c:axId val="386763776"/>
        <c:axId val="386770432"/>
      </c:lineChart>
      <c:lineChart>
        <c:grouping val="standard"/>
        <c:ser>
          <c:idx val="3"/>
          <c:order val="3"/>
          <c:tx>
            <c:strRef>
              <c:f>'zk79+300'!$AG$3:$AG$5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'zk79+300'!$A$6:$A$38</c:f>
              <c:numCache>
                <c:formatCode>m"月"d"日";@</c:formatCode>
                <c:ptCount val="33"/>
                <c:pt idx="0">
                  <c:v>44560</c:v>
                </c:pt>
                <c:pt idx="1">
                  <c:v>44561</c:v>
                </c:pt>
                <c:pt idx="2">
                  <c:v>44562</c:v>
                </c:pt>
                <c:pt idx="3">
                  <c:v>44563</c:v>
                </c:pt>
                <c:pt idx="4">
                  <c:v>44564</c:v>
                </c:pt>
                <c:pt idx="5">
                  <c:v>44565</c:v>
                </c:pt>
                <c:pt idx="6">
                  <c:v>44566</c:v>
                </c:pt>
                <c:pt idx="7">
                  <c:v>44567</c:v>
                </c:pt>
                <c:pt idx="8">
                  <c:v>44568</c:v>
                </c:pt>
                <c:pt idx="9">
                  <c:v>44569</c:v>
                </c:pt>
                <c:pt idx="10">
                  <c:v>44570</c:v>
                </c:pt>
                <c:pt idx="11">
                  <c:v>44571</c:v>
                </c:pt>
                <c:pt idx="12">
                  <c:v>44572</c:v>
                </c:pt>
                <c:pt idx="13">
                  <c:v>44573</c:v>
                </c:pt>
                <c:pt idx="14">
                  <c:v>44574</c:v>
                </c:pt>
                <c:pt idx="15">
                  <c:v>44576</c:v>
                </c:pt>
                <c:pt idx="16">
                  <c:v>44578</c:v>
                </c:pt>
                <c:pt idx="17">
                  <c:v>44580</c:v>
                </c:pt>
                <c:pt idx="18">
                  <c:v>44582</c:v>
                </c:pt>
                <c:pt idx="19">
                  <c:v>44584</c:v>
                </c:pt>
                <c:pt idx="20">
                  <c:v>44586</c:v>
                </c:pt>
                <c:pt idx="21">
                  <c:v>44588</c:v>
                </c:pt>
                <c:pt idx="22">
                  <c:v>44597</c:v>
                </c:pt>
                <c:pt idx="23">
                  <c:v>44602</c:v>
                </c:pt>
                <c:pt idx="24">
                  <c:v>44612</c:v>
                </c:pt>
              </c:numCache>
            </c:numRef>
          </c:cat>
          <c:val>
            <c:numRef>
              <c:f>'zk79+300'!$AG$6:$AG$34</c:f>
              <c:numCache>
                <c:formatCode>0.0_ </c:formatCode>
                <c:ptCount val="29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39</c:v>
                </c:pt>
                <c:pt idx="9">
                  <c:v>42</c:v>
                </c:pt>
                <c:pt idx="10">
                  <c:v>46</c:v>
                </c:pt>
                <c:pt idx="11">
                  <c:v>49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65.800000000002896</c:v>
                </c:pt>
                <c:pt idx="16">
                  <c:v>75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83</c:v>
                </c:pt>
                <c:pt idx="23">
                  <c:v>93</c:v>
                </c:pt>
                <c:pt idx="24">
                  <c:v>105</c:v>
                </c:pt>
              </c:numCache>
            </c:numRef>
          </c:val>
        </c:ser>
        <c:dLbls/>
        <c:marker val="1"/>
        <c:axId val="386772352"/>
        <c:axId val="386782336"/>
      </c:lineChart>
      <c:dateAx>
        <c:axId val="3867637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770432"/>
        <c:crossesAt val="-50"/>
        <c:auto val="1"/>
        <c:lblOffset val="100"/>
        <c:baseTimeUnit val="days"/>
      </c:dateAx>
      <c:valAx>
        <c:axId val="38677043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763776"/>
        <c:crosses val="autoZero"/>
        <c:crossBetween val="midCat"/>
        <c:majorUnit val="1"/>
        <c:minorUnit val="0.5"/>
      </c:valAx>
      <c:dateAx>
        <c:axId val="3867723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6782336"/>
        <c:crosses val="autoZero"/>
        <c:auto val="1"/>
        <c:lblOffset val="100"/>
        <c:baseTimeUnit val="days"/>
      </c:dateAx>
      <c:valAx>
        <c:axId val="38678233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77235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'zk79+325'!$U$4:$W$4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'zk79+325'!$S$6:$S$31</c:f>
              <c:numCache>
                <c:formatCode>m"月"d"日";@</c:formatCode>
                <c:ptCount val="2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'zk79+325'!$V$6:$V$35</c:f>
              <c:numCache>
                <c:formatCode>0.00_ </c:formatCode>
                <c:ptCount val="30"/>
                <c:pt idx="0">
                  <c:v>0</c:v>
                </c:pt>
                <c:pt idx="1">
                  <c:v>-0.39999999999906799</c:v>
                </c:pt>
                <c:pt idx="2">
                  <c:v>-0.89999999999967895</c:v>
                </c:pt>
                <c:pt idx="3">
                  <c:v>-1.0999999999992101</c:v>
                </c:pt>
                <c:pt idx="4">
                  <c:v>-1.2999999999987499</c:v>
                </c:pt>
                <c:pt idx="5">
                  <c:v>-1.8999999999991199</c:v>
                </c:pt>
                <c:pt idx="6">
                  <c:v>-1.6999999999995901</c:v>
                </c:pt>
                <c:pt idx="7">
                  <c:v>-1.8999999999991199</c:v>
                </c:pt>
                <c:pt idx="8">
                  <c:v>-2.0999999999986598</c:v>
                </c:pt>
                <c:pt idx="9">
                  <c:v>-2.2999999999999701</c:v>
                </c:pt>
                <c:pt idx="10">
                  <c:v>-2.3999999999997401</c:v>
                </c:pt>
                <c:pt idx="11">
                  <c:v>-2.6999999999990401</c:v>
                </c:pt>
                <c:pt idx="12">
                  <c:v>-2.3999999999997401</c:v>
                </c:pt>
                <c:pt idx="13">
                  <c:v>-2.0999999999986598</c:v>
                </c:pt>
                <c:pt idx="14">
                  <c:v>-1.7999999999993599</c:v>
                </c:pt>
                <c:pt idx="15">
                  <c:v>-1.99999999999889</c:v>
                </c:pt>
                <c:pt idx="16">
                  <c:v>-2.0999999999986598</c:v>
                </c:pt>
                <c:pt idx="17">
                  <c:v>-2.2000000000002</c:v>
                </c:pt>
                <c:pt idx="18">
                  <c:v>-2.3999999999890802</c:v>
                </c:pt>
                <c:pt idx="19">
                  <c:v>-2.2999999999999701</c:v>
                </c:pt>
                <c:pt idx="20">
                  <c:v>-2.7999999999899199</c:v>
                </c:pt>
                <c:pt idx="21">
                  <c:v>-2.99999999998946</c:v>
                </c:pt>
                <c:pt idx="22">
                  <c:v>-2.7999999999987999</c:v>
                </c:pt>
                <c:pt idx="23">
                  <c:v>-2.9000000000003499</c:v>
                </c:pt>
                <c:pt idx="24">
                  <c:v>-3.0999999999998802</c:v>
                </c:pt>
                <c:pt idx="25">
                  <c:v>-3.0000000000001101</c:v>
                </c:pt>
                <c:pt idx="26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'zk79+325'!$Y$4:$AA$4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'zk79+325'!$S$6:$S$31</c:f>
              <c:numCache>
                <c:formatCode>m"月"d"日";@</c:formatCode>
                <c:ptCount val="2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'zk79+325'!$Z$6:$Z$36</c:f>
              <c:numCache>
                <c:formatCode>0.00_ </c:formatCode>
                <c:ptCount val="31"/>
                <c:pt idx="0">
                  <c:v>0</c:v>
                </c:pt>
                <c:pt idx="1">
                  <c:v>-0.60000000000037801</c:v>
                </c:pt>
                <c:pt idx="2">
                  <c:v>-0.799999999999912</c:v>
                </c:pt>
                <c:pt idx="3">
                  <c:v>-0.60000000000037801</c:v>
                </c:pt>
                <c:pt idx="4">
                  <c:v>-1.1999999999989801</c:v>
                </c:pt>
                <c:pt idx="5">
                  <c:v>-1.4000000000002899</c:v>
                </c:pt>
                <c:pt idx="6">
                  <c:v>-1.0999999999992101</c:v>
                </c:pt>
                <c:pt idx="7">
                  <c:v>-1.7999999999993599</c:v>
                </c:pt>
                <c:pt idx="8">
                  <c:v>-1.4000000000002899</c:v>
                </c:pt>
                <c:pt idx="9">
                  <c:v>-2.2000000000002</c:v>
                </c:pt>
                <c:pt idx="10">
                  <c:v>-2.10000000000043</c:v>
                </c:pt>
                <c:pt idx="11">
                  <c:v>-2.59999999999927</c:v>
                </c:pt>
                <c:pt idx="12">
                  <c:v>-2.4999999999995</c:v>
                </c:pt>
                <c:pt idx="13">
                  <c:v>-2.6999999999990401</c:v>
                </c:pt>
                <c:pt idx="14">
                  <c:v>-2.9000000000003499</c:v>
                </c:pt>
                <c:pt idx="15">
                  <c:v>-2.6999999999990401</c:v>
                </c:pt>
                <c:pt idx="16">
                  <c:v>-3.2999999999994101</c:v>
                </c:pt>
                <c:pt idx="17">
                  <c:v>-3.6000000000004899</c:v>
                </c:pt>
                <c:pt idx="18">
                  <c:v>-3.4999999999989502</c:v>
                </c:pt>
                <c:pt idx="19">
                  <c:v>-3.70000000000026</c:v>
                </c:pt>
                <c:pt idx="20">
                  <c:v>-3.6000000000004899</c:v>
                </c:pt>
                <c:pt idx="21">
                  <c:v>-4.09999999999933</c:v>
                </c:pt>
                <c:pt idx="22">
                  <c:v>-3.80000000000003</c:v>
                </c:pt>
                <c:pt idx="23">
                  <c:v>-3.9999999999995599</c:v>
                </c:pt>
                <c:pt idx="24">
                  <c:v>-3.8999999999997899</c:v>
                </c:pt>
                <c:pt idx="25">
                  <c:v>-4.1999999999990898</c:v>
                </c:pt>
                <c:pt idx="26">
                  <c:v>-4.3999999999986299</c:v>
                </c:pt>
              </c:numCache>
            </c:numRef>
          </c:val>
        </c:ser>
        <c:ser>
          <c:idx val="2"/>
          <c:order val="2"/>
          <c:tx>
            <c:strRef>
              <c:f>'zk79+325'!$AC$4:$AE$4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'zk79+325'!$S$6:$S$31</c:f>
              <c:numCache>
                <c:formatCode>m"月"d"日";@</c:formatCode>
                <c:ptCount val="2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'zk79+325'!$AD$6:$AD$40</c:f>
              <c:numCache>
                <c:formatCode>0.00_ </c:formatCode>
                <c:ptCount val="35"/>
                <c:pt idx="0">
                  <c:v>0</c:v>
                </c:pt>
                <c:pt idx="1">
                  <c:v>-0.49999999999883499</c:v>
                </c:pt>
                <c:pt idx="2">
                  <c:v>-0.999999999999446</c:v>
                </c:pt>
                <c:pt idx="3">
                  <c:v>-1.1999999999989801</c:v>
                </c:pt>
                <c:pt idx="4">
                  <c:v>-1.2999999999987499</c:v>
                </c:pt>
                <c:pt idx="5">
                  <c:v>-1.50000000000006</c:v>
                </c:pt>
                <c:pt idx="6">
                  <c:v>-1.50000000000006</c:v>
                </c:pt>
                <c:pt idx="7">
                  <c:v>-1.39999999999851</c:v>
                </c:pt>
                <c:pt idx="8">
                  <c:v>-2.0999999999986598</c:v>
                </c:pt>
                <c:pt idx="9">
                  <c:v>-2.3000000000088501</c:v>
                </c:pt>
                <c:pt idx="10">
                  <c:v>-2.2999999999999701</c:v>
                </c:pt>
                <c:pt idx="11">
                  <c:v>-2.7000000000096902</c:v>
                </c:pt>
                <c:pt idx="12">
                  <c:v>-2.9000000000092299</c:v>
                </c:pt>
                <c:pt idx="13">
                  <c:v>-3.1000000000087602</c:v>
                </c:pt>
                <c:pt idx="14">
                  <c:v>-3.0000000000001101</c:v>
                </c:pt>
                <c:pt idx="15">
                  <c:v>-3.5000000000096101</c:v>
                </c:pt>
                <c:pt idx="16">
                  <c:v>-3.70000000000914</c:v>
                </c:pt>
                <c:pt idx="17">
                  <c:v>-3.9999999999995599</c:v>
                </c:pt>
                <c:pt idx="18">
                  <c:v>-3.9000000000086699</c:v>
                </c:pt>
                <c:pt idx="19">
                  <c:v>-4.09999999999933</c:v>
                </c:pt>
                <c:pt idx="20">
                  <c:v>-3.9999999999995599</c:v>
                </c:pt>
                <c:pt idx="21">
                  <c:v>-4.5000000000090496</c:v>
                </c:pt>
                <c:pt idx="22">
                  <c:v>-4.1999999999990898</c:v>
                </c:pt>
                <c:pt idx="23">
                  <c:v>-4.2999999999988603</c:v>
                </c:pt>
                <c:pt idx="24">
                  <c:v>-3.8999999999997899</c:v>
                </c:pt>
                <c:pt idx="25">
                  <c:v>-4.3999999999986299</c:v>
                </c:pt>
              </c:numCache>
            </c:numRef>
          </c:val>
        </c:ser>
        <c:dLbls/>
        <c:marker val="1"/>
        <c:axId val="386910464"/>
        <c:axId val="386921216"/>
      </c:lineChart>
      <c:lineChart>
        <c:grouping val="standard"/>
        <c:ser>
          <c:idx val="3"/>
          <c:order val="3"/>
          <c:tx>
            <c:strRef>
              <c:f>'zk79+325'!$AG$3:$AG$5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'zk79+325'!$S$6:$S$40</c:f>
              <c:numCache>
                <c:formatCode>m"月"d"日";@</c:formatCode>
                <c:ptCount val="35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'zk79+325'!$AG$6:$AG$40</c:f>
              <c:numCache>
                <c:formatCode>0.0_ </c:formatCode>
                <c:ptCount val="35"/>
                <c:pt idx="0">
                  <c:v>7</c:v>
                </c:pt>
                <c:pt idx="1">
                  <c:v>10</c:v>
                </c:pt>
                <c:pt idx="2">
                  <c:v>24</c:v>
                </c:pt>
                <c:pt idx="3">
                  <c:v>28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53</c:v>
                </c:pt>
                <c:pt idx="11">
                  <c:v>58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68</c:v>
                </c:pt>
                <c:pt idx="22">
                  <c:v>72</c:v>
                </c:pt>
                <c:pt idx="23">
                  <c:v>80</c:v>
                </c:pt>
                <c:pt idx="24">
                  <c:v>83</c:v>
                </c:pt>
                <c:pt idx="25">
                  <c:v>88</c:v>
                </c:pt>
              </c:numCache>
            </c:numRef>
          </c:val>
        </c:ser>
        <c:dLbls/>
        <c:marker val="1"/>
        <c:axId val="386923136"/>
        <c:axId val="386802048"/>
      </c:lineChart>
      <c:dateAx>
        <c:axId val="3869104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921216"/>
        <c:crossesAt val="-50"/>
        <c:auto val="1"/>
        <c:lblOffset val="100"/>
        <c:baseTimeUnit val="days"/>
      </c:dateAx>
      <c:valAx>
        <c:axId val="38692121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910464"/>
        <c:crosses val="autoZero"/>
        <c:crossBetween val="midCat"/>
        <c:majorUnit val="2"/>
        <c:minorUnit val="0.1"/>
      </c:valAx>
      <c:dateAx>
        <c:axId val="3869231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6802048"/>
        <c:crosses val="autoZero"/>
        <c:auto val="1"/>
        <c:lblOffset val="100"/>
        <c:baseTimeUnit val="days"/>
      </c:dateAx>
      <c:valAx>
        <c:axId val="38680204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92313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'zk79+325'!$C$4:$G$4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'zk79+325'!$A$6:$A$41</c:f>
              <c:numCache>
                <c:formatCode>m"月"d"日";@</c:formatCode>
                <c:ptCount val="3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'zk79+325'!$G$6:$G$37</c:f>
              <c:numCache>
                <c:formatCode>0.00_ </c:formatCode>
                <c:ptCount val="32"/>
                <c:pt idx="0">
                  <c:v>0</c:v>
                </c:pt>
                <c:pt idx="1">
                  <c:v>-0.40000000001327901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0.20000000006348301</c:v>
                </c:pt>
                <c:pt idx="5">
                  <c:v>-0.60000000007676102</c:v>
                </c:pt>
                <c:pt idx="6">
                  <c:v>-0.199999999949796</c:v>
                </c:pt>
                <c:pt idx="7">
                  <c:v>0.40000000001327901</c:v>
                </c:pt>
                <c:pt idx="8">
                  <c:v>-0.80000000002655702</c:v>
                </c:pt>
                <c:pt idx="9">
                  <c:v>-0.199999999949796</c:v>
                </c:pt>
                <c:pt idx="10">
                  <c:v>0.39999999989959201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9.9999999974897905E-2</c:v>
                </c:pt>
                <c:pt idx="14">
                  <c:v>-9.9999999974897905E-2</c:v>
                </c:pt>
                <c:pt idx="15">
                  <c:v>-9.9999999974897905E-2</c:v>
                </c:pt>
                <c:pt idx="16">
                  <c:v>-4.9999999987449001E-2</c:v>
                </c:pt>
                <c:pt idx="17">
                  <c:v>-2.0000000006348301E-2</c:v>
                </c:pt>
                <c:pt idx="18">
                  <c:v>-1.99999999949796E-2</c:v>
                </c:pt>
                <c:pt idx="19">
                  <c:v>-0.100000000031741</c:v>
                </c:pt>
                <c:pt idx="20">
                  <c:v>-0.149999999962347</c:v>
                </c:pt>
                <c:pt idx="21">
                  <c:v>-4.9999999987449001E-2</c:v>
                </c:pt>
                <c:pt idx="22">
                  <c:v>-5.0000000044292399E-2</c:v>
                </c:pt>
                <c:pt idx="23">
                  <c:v>0.100000000031741</c:v>
                </c:pt>
                <c:pt idx="24">
                  <c:v>-4.9999999987449001E-2</c:v>
                </c:pt>
                <c:pt idx="25">
                  <c:v>4.9999999987449001E-2</c:v>
                </c:pt>
                <c:pt idx="26">
                  <c:v>-9.9999999974897905E-2</c:v>
                </c:pt>
              </c:numCache>
            </c:numRef>
          </c:val>
        </c:ser>
        <c:ser>
          <c:idx val="1"/>
          <c:order val="1"/>
          <c:tx>
            <c:strRef>
              <c:f>'zk79+325'!$H$4:$L$4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'zk79+325'!$A$6:$A$41</c:f>
              <c:numCache>
                <c:formatCode>m"月"d"日";@</c:formatCode>
                <c:ptCount val="3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'zk79+325'!$L$6:$L$38</c:f>
              <c:numCache>
                <c:formatCode>0.00_ </c:formatCode>
                <c:ptCount val="33"/>
                <c:pt idx="0">
                  <c:v>0</c:v>
                </c:pt>
                <c:pt idx="1">
                  <c:v>-0.59999999996307496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-0.29999999992469401</c:v>
                </c:pt>
                <c:pt idx="5">
                  <c:v>-0.10000000008858501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0.59999999996307496</c:v>
                </c:pt>
                <c:pt idx="11">
                  <c:v>-0.99999999997635303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-9.9999999974897905E-2</c:v>
                </c:pt>
                <c:pt idx="17">
                  <c:v>-2.0000000006348301E-2</c:v>
                </c:pt>
                <c:pt idx="18">
                  <c:v>8.0000000002655697E-2</c:v>
                </c:pt>
                <c:pt idx="19">
                  <c:v>-0.29999999998153698</c:v>
                </c:pt>
                <c:pt idx="20">
                  <c:v>-0.100000000031741</c:v>
                </c:pt>
                <c:pt idx="21">
                  <c:v>-9.9999999974897905E-2</c:v>
                </c:pt>
                <c:pt idx="22">
                  <c:v>0.149999999962347</c:v>
                </c:pt>
                <c:pt idx="23">
                  <c:v>-9.9999999974897905E-2</c:v>
                </c:pt>
                <c:pt idx="24">
                  <c:v>-4.9999999987449001E-2</c:v>
                </c:pt>
                <c:pt idx="25">
                  <c:v>-1.6666666662482999E-2</c:v>
                </c:pt>
              </c:numCache>
            </c:numRef>
          </c:val>
        </c:ser>
        <c:ser>
          <c:idx val="2"/>
          <c:order val="2"/>
          <c:tx>
            <c:strRef>
              <c:f>'zk79+325'!$M$4:$Q$4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'zk79+325'!$A$6:$A$41</c:f>
              <c:numCache>
                <c:formatCode>m"月"d"日";@</c:formatCode>
                <c:ptCount val="36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'zk79+325'!$Q$6:$Q$34</c:f>
              <c:numCache>
                <c:formatCode>0.00_ </c:formatCode>
                <c:ptCount val="29"/>
                <c:pt idx="0">
                  <c:v>0</c:v>
                </c:pt>
                <c:pt idx="1">
                  <c:v>-0.30000000003838101</c:v>
                </c:pt>
                <c:pt idx="2">
                  <c:v>-0.69999999993797202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0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-0.30000000003838101</c:v>
                </c:pt>
                <c:pt idx="13">
                  <c:v>-0.29999999992469401</c:v>
                </c:pt>
                <c:pt idx="14">
                  <c:v>-0.30000000003838101</c:v>
                </c:pt>
                <c:pt idx="15">
                  <c:v>9.9999999974897905E-2</c:v>
                </c:pt>
                <c:pt idx="16">
                  <c:v>-0.39999999995643498</c:v>
                </c:pt>
                <c:pt idx="17">
                  <c:v>-2.0000000006348301E-2</c:v>
                </c:pt>
                <c:pt idx="18">
                  <c:v>-1.99999999949796E-2</c:v>
                </c:pt>
                <c:pt idx="19">
                  <c:v>9.9999999974897905E-2</c:v>
                </c:pt>
                <c:pt idx="20">
                  <c:v>-0.39999999995643498</c:v>
                </c:pt>
                <c:pt idx="21">
                  <c:v>-5.0000000044292399E-2</c:v>
                </c:pt>
                <c:pt idx="22">
                  <c:v>0.15000000001919001</c:v>
                </c:pt>
                <c:pt idx="23">
                  <c:v>-4.9999999987449001E-2</c:v>
                </c:pt>
                <c:pt idx="24">
                  <c:v>-0.100000000031741</c:v>
                </c:pt>
                <c:pt idx="25">
                  <c:v>1.6666666681430801E-2</c:v>
                </c:pt>
              </c:numCache>
            </c:numRef>
          </c:val>
        </c:ser>
        <c:dLbls/>
        <c:marker val="1"/>
        <c:axId val="386833024"/>
        <c:axId val="386929792"/>
      </c:lineChart>
      <c:dateAx>
        <c:axId val="3868330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929792"/>
        <c:crossesAt val="-50"/>
        <c:auto val="1"/>
        <c:lblOffset val="100"/>
        <c:baseTimeUnit val="days"/>
      </c:dateAx>
      <c:valAx>
        <c:axId val="38692979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83302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'zk79+325'!$U$4:$W$4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'zk79+325'!$S$6:$S$44</c:f>
              <c:numCache>
                <c:formatCode>m"月"d"日";@</c:formatCode>
                <c:ptCount val="39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'zk79+325'!$W$6:$W$35</c:f>
              <c:numCache>
                <c:formatCode>0.00_ </c:formatCode>
                <c:ptCount val="30"/>
                <c:pt idx="0">
                  <c:v>0</c:v>
                </c:pt>
                <c:pt idx="1">
                  <c:v>0.39999999999906799</c:v>
                </c:pt>
                <c:pt idx="2">
                  <c:v>0.50000000000061096</c:v>
                </c:pt>
                <c:pt idx="3">
                  <c:v>0.19999999999953399</c:v>
                </c:pt>
                <c:pt idx="4">
                  <c:v>0.19999999999953399</c:v>
                </c:pt>
                <c:pt idx="5">
                  <c:v>0.60000000000037801</c:v>
                </c:pt>
                <c:pt idx="6">
                  <c:v>-0.19999999999953399</c:v>
                </c:pt>
                <c:pt idx="7">
                  <c:v>0.19999999999953399</c:v>
                </c:pt>
                <c:pt idx="8">
                  <c:v>0.19999999999953399</c:v>
                </c:pt>
                <c:pt idx="9">
                  <c:v>0.20000000000130999</c:v>
                </c:pt>
                <c:pt idx="10">
                  <c:v>9.99999999997669E-2</c:v>
                </c:pt>
                <c:pt idx="11">
                  <c:v>0.29999999999930099</c:v>
                </c:pt>
                <c:pt idx="12">
                  <c:v>-0.29999999999930099</c:v>
                </c:pt>
                <c:pt idx="13">
                  <c:v>-0.30000000000107702</c:v>
                </c:pt>
                <c:pt idx="14">
                  <c:v>-0.29999999999930099</c:v>
                </c:pt>
                <c:pt idx="15">
                  <c:v>9.99999999997669E-2</c:v>
                </c:pt>
                <c:pt idx="16">
                  <c:v>4.9999999999883499E-2</c:v>
                </c:pt>
                <c:pt idx="17">
                  <c:v>1.00000000001543E-2</c:v>
                </c:pt>
                <c:pt idx="18">
                  <c:v>3.99999999977751E-2</c:v>
                </c:pt>
                <c:pt idx="19">
                  <c:v>-4.99999999945544E-2</c:v>
                </c:pt>
                <c:pt idx="20">
                  <c:v>0.24999999999497599</c:v>
                </c:pt>
                <c:pt idx="21">
                  <c:v>9.99999999997669E-2</c:v>
                </c:pt>
                <c:pt idx="22">
                  <c:v>-9.9999999995325994E-2</c:v>
                </c:pt>
                <c:pt idx="23">
                  <c:v>5.0000000000771601E-2</c:v>
                </c:pt>
                <c:pt idx="24">
                  <c:v>9.99999999997669E-2</c:v>
                </c:pt>
                <c:pt idx="25">
                  <c:v>-1.6666666666627802E-2</c:v>
                </c:pt>
                <c:pt idx="26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'zk79+325'!$Y$4:$AA$4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'zk79+325'!$S$6:$S$44</c:f>
              <c:numCache>
                <c:formatCode>m"月"d"日";@</c:formatCode>
                <c:ptCount val="39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'zk79+325'!$AA$6:$AA$34</c:f>
              <c:numCache>
                <c:formatCode>0.00_ </c:formatCode>
                <c:ptCount val="29"/>
                <c:pt idx="0">
                  <c:v>0</c:v>
                </c:pt>
                <c:pt idx="1">
                  <c:v>-0.60000000000037801</c:v>
                </c:pt>
                <c:pt idx="2">
                  <c:v>-0.19999999999953399</c:v>
                </c:pt>
                <c:pt idx="3">
                  <c:v>0.19999999999953399</c:v>
                </c:pt>
                <c:pt idx="4">
                  <c:v>-0.59999999999860198</c:v>
                </c:pt>
                <c:pt idx="5">
                  <c:v>-0.20000000000130999</c:v>
                </c:pt>
                <c:pt idx="6">
                  <c:v>0.30000000000107702</c:v>
                </c:pt>
                <c:pt idx="7">
                  <c:v>-0.70000000000014495</c:v>
                </c:pt>
                <c:pt idx="8">
                  <c:v>0.39999999999906799</c:v>
                </c:pt>
                <c:pt idx="9">
                  <c:v>-0.799999999999912</c:v>
                </c:pt>
                <c:pt idx="10">
                  <c:v>9.99999999997669E-2</c:v>
                </c:pt>
                <c:pt idx="11">
                  <c:v>-0.49999999999883499</c:v>
                </c:pt>
                <c:pt idx="12">
                  <c:v>9.99999999997669E-2</c:v>
                </c:pt>
                <c:pt idx="13">
                  <c:v>-0.19999999999953399</c:v>
                </c:pt>
                <c:pt idx="14">
                  <c:v>-0.20000000000130999</c:v>
                </c:pt>
                <c:pt idx="15">
                  <c:v>0.100000000000655</c:v>
                </c:pt>
                <c:pt idx="16">
                  <c:v>-0.300000000000189</c:v>
                </c:pt>
                <c:pt idx="17">
                  <c:v>-3.0000000000107701E-2</c:v>
                </c:pt>
                <c:pt idx="18">
                  <c:v>2.0000000000308701E-2</c:v>
                </c:pt>
                <c:pt idx="19">
                  <c:v>-0.100000000000655</c:v>
                </c:pt>
                <c:pt idx="20">
                  <c:v>4.9999999999883499E-2</c:v>
                </c:pt>
                <c:pt idx="21">
                  <c:v>-0.24999999999941699</c:v>
                </c:pt>
                <c:pt idx="22">
                  <c:v>0.14999999999965</c:v>
                </c:pt>
                <c:pt idx="23">
                  <c:v>-9.99999999997669E-2</c:v>
                </c:pt>
                <c:pt idx="24">
                  <c:v>4.9999999999883499E-2</c:v>
                </c:pt>
                <c:pt idx="25">
                  <c:v>-4.9999999999883499E-2</c:v>
                </c:pt>
                <c:pt idx="26">
                  <c:v>-2.4999999999941701E-2</c:v>
                </c:pt>
              </c:numCache>
            </c:numRef>
          </c:val>
        </c:ser>
        <c:ser>
          <c:idx val="2"/>
          <c:order val="2"/>
          <c:tx>
            <c:strRef>
              <c:f>'zk79+325'!$AC$4:$AE$4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'zk79+325'!$S$6:$S$44</c:f>
              <c:numCache>
                <c:formatCode>m"月"d"日";@</c:formatCode>
                <c:ptCount val="39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'zk79+325'!$AE$6:$AE$41</c:f>
              <c:numCache>
                <c:formatCode>0.00_ </c:formatCode>
                <c:ptCount val="36"/>
                <c:pt idx="0">
                  <c:v>0</c:v>
                </c:pt>
                <c:pt idx="1">
                  <c:v>-0.49999999999883499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-0.20000000000130999</c:v>
                </c:pt>
                <c:pt idx="6">
                  <c:v>0</c:v>
                </c:pt>
                <c:pt idx="7">
                  <c:v>0.10000000000154299</c:v>
                </c:pt>
                <c:pt idx="8">
                  <c:v>-0.70000000000014495</c:v>
                </c:pt>
                <c:pt idx="9">
                  <c:v>-0.200000000010192</c:v>
                </c:pt>
                <c:pt idx="10">
                  <c:v>8.8817841970012507E-12</c:v>
                </c:pt>
                <c:pt idx="11">
                  <c:v>-0.40000000000972602</c:v>
                </c:pt>
                <c:pt idx="12">
                  <c:v>-0.19999999999953399</c:v>
                </c:pt>
                <c:pt idx="13">
                  <c:v>-0.19999999999953399</c:v>
                </c:pt>
                <c:pt idx="14">
                  <c:v>0.100000000008649</c:v>
                </c:pt>
                <c:pt idx="15">
                  <c:v>-0.25000000000474598</c:v>
                </c:pt>
                <c:pt idx="16">
                  <c:v>-9.99999999997669E-2</c:v>
                </c:pt>
                <c:pt idx="17">
                  <c:v>-2.9999999999041901E-2</c:v>
                </c:pt>
                <c:pt idx="18">
                  <c:v>1.9999999998177E-2</c:v>
                </c:pt>
                <c:pt idx="19">
                  <c:v>-9.9999999995325994E-2</c:v>
                </c:pt>
                <c:pt idx="20">
                  <c:v>4.9999999999883499E-2</c:v>
                </c:pt>
                <c:pt idx="21">
                  <c:v>-0.25000000000474598</c:v>
                </c:pt>
                <c:pt idx="22">
                  <c:v>0.15000000000497901</c:v>
                </c:pt>
                <c:pt idx="23">
                  <c:v>-4.9999999999883499E-2</c:v>
                </c:pt>
                <c:pt idx="24">
                  <c:v>0.19999999999953399</c:v>
                </c:pt>
                <c:pt idx="25">
                  <c:v>-8.3333333333139095E-2</c:v>
                </c:pt>
              </c:numCache>
            </c:numRef>
          </c:val>
        </c:ser>
        <c:dLbls/>
        <c:marker val="1"/>
        <c:axId val="386850176"/>
        <c:axId val="386983808"/>
      </c:lineChart>
      <c:dateAx>
        <c:axId val="386850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983808"/>
        <c:crossesAt val="-50"/>
        <c:auto val="1"/>
        <c:lblOffset val="100"/>
        <c:baseTimeUnit val="days"/>
      </c:dateAx>
      <c:valAx>
        <c:axId val="3869838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85017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325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'zk79+325'!$C$4:$G$4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'zk79+325'!$A$6:$A$37</c:f>
              <c:numCache>
                <c:formatCode>m"月"d"日";@</c:formatCode>
                <c:ptCount val="32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'zk79+325'!$F$6:$F$32</c:f>
              <c:numCache>
                <c:formatCode>0.00_ </c:formatCode>
                <c:ptCount val="27"/>
                <c:pt idx="0">
                  <c:v>0</c:v>
                </c:pt>
                <c:pt idx="1">
                  <c:v>-0.40000000001327901</c:v>
                </c:pt>
                <c:pt idx="2">
                  <c:v>-0.90000000000145497</c:v>
                </c:pt>
                <c:pt idx="3">
                  <c:v>-1.1000000000649399</c:v>
                </c:pt>
                <c:pt idx="4">
                  <c:v>-0.90000000000145497</c:v>
                </c:pt>
                <c:pt idx="5">
                  <c:v>-1.5000000000782201</c:v>
                </c:pt>
                <c:pt idx="6">
                  <c:v>-1.70000000002801</c:v>
                </c:pt>
                <c:pt idx="7">
                  <c:v>-1.30000000001473</c:v>
                </c:pt>
                <c:pt idx="8">
                  <c:v>-2.1000000000412902</c:v>
                </c:pt>
                <c:pt idx="9">
                  <c:v>-2.2999999999910901</c:v>
                </c:pt>
                <c:pt idx="10">
                  <c:v>-1.9000000000915001</c:v>
                </c:pt>
                <c:pt idx="11">
                  <c:v>-2.1000000000412902</c:v>
                </c:pt>
                <c:pt idx="12">
                  <c:v>-2.00000000006639</c:v>
                </c:pt>
                <c:pt idx="13">
                  <c:v>-1.9000000000915001</c:v>
                </c:pt>
                <c:pt idx="14">
                  <c:v>-2.00000000006639</c:v>
                </c:pt>
                <c:pt idx="15">
                  <c:v>-2.2000000000161899</c:v>
                </c:pt>
                <c:pt idx="16">
                  <c:v>-2.2999999999910901</c:v>
                </c:pt>
                <c:pt idx="17">
                  <c:v>-2.5000000000545701</c:v>
                </c:pt>
                <c:pt idx="18">
                  <c:v>-2.6000000000294698</c:v>
                </c:pt>
                <c:pt idx="19">
                  <c:v>-2.8000000000929499</c:v>
                </c:pt>
                <c:pt idx="20">
                  <c:v>-3.1000000000176402</c:v>
                </c:pt>
                <c:pt idx="21">
                  <c:v>-3.1999999999925399</c:v>
                </c:pt>
                <c:pt idx="22">
                  <c:v>-3.30000000008113</c:v>
                </c:pt>
                <c:pt idx="23">
                  <c:v>-3.1000000000176402</c:v>
                </c:pt>
                <c:pt idx="24">
                  <c:v>-3.1999999999925399</c:v>
                </c:pt>
                <c:pt idx="25">
                  <c:v>-2.9000000000678501</c:v>
                </c:pt>
                <c:pt idx="26">
                  <c:v>-0.199999999949796</c:v>
                </c:pt>
              </c:numCache>
            </c:numRef>
          </c:val>
        </c:ser>
        <c:ser>
          <c:idx val="1"/>
          <c:order val="1"/>
          <c:tx>
            <c:strRef>
              <c:f>'zk79+325'!$H$4:$L$4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'zk79+325'!$A$6:$A$37</c:f>
              <c:numCache>
                <c:formatCode>m"月"d"日";@</c:formatCode>
                <c:ptCount val="32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'zk79+325'!$K$6:$K$33</c:f>
              <c:numCache>
                <c:formatCode>0.00_ </c:formatCode>
                <c:ptCount val="28"/>
                <c:pt idx="0">
                  <c:v>0</c:v>
                </c:pt>
                <c:pt idx="1">
                  <c:v>-0.59999999996307496</c:v>
                </c:pt>
                <c:pt idx="2">
                  <c:v>-0.79999999991286996</c:v>
                </c:pt>
                <c:pt idx="3">
                  <c:v>-0.99999999997635303</c:v>
                </c:pt>
                <c:pt idx="4">
                  <c:v>-1.2999999999010501</c:v>
                </c:pt>
                <c:pt idx="5">
                  <c:v>-1.39999999998963</c:v>
                </c:pt>
                <c:pt idx="6">
                  <c:v>-1.5999999999394301</c:v>
                </c:pt>
                <c:pt idx="7">
                  <c:v>-1.4999999999645299</c:v>
                </c:pt>
                <c:pt idx="8">
                  <c:v>-1.9999999999527101</c:v>
                </c:pt>
                <c:pt idx="9">
                  <c:v>-2.1999999999024999</c:v>
                </c:pt>
                <c:pt idx="10">
                  <c:v>-1.5999999999394301</c:v>
                </c:pt>
                <c:pt idx="11">
                  <c:v>-2.5999999999157799</c:v>
                </c:pt>
                <c:pt idx="12">
                  <c:v>-2.79999999997926</c:v>
                </c:pt>
                <c:pt idx="13">
                  <c:v>-2.9999999999290599</c:v>
                </c:pt>
                <c:pt idx="14">
                  <c:v>-3.2999999999674401</c:v>
                </c:pt>
                <c:pt idx="15">
                  <c:v>-3.3999999999423398</c:v>
                </c:pt>
                <c:pt idx="16">
                  <c:v>-3.5999999998921299</c:v>
                </c:pt>
                <c:pt idx="17">
                  <c:v>-3.7999999999556202</c:v>
                </c:pt>
                <c:pt idx="18">
                  <c:v>-3.3999999999423398</c:v>
                </c:pt>
                <c:pt idx="19">
                  <c:v>-3.9999999999054099</c:v>
                </c:pt>
                <c:pt idx="20">
                  <c:v>-4.1999999999688997</c:v>
                </c:pt>
                <c:pt idx="21">
                  <c:v>-4.3999999999186903</c:v>
                </c:pt>
                <c:pt idx="22">
                  <c:v>-4.099999999994</c:v>
                </c:pt>
                <c:pt idx="23">
                  <c:v>-4.2999999999437897</c:v>
                </c:pt>
                <c:pt idx="24">
                  <c:v>-4.3999999999186903</c:v>
                </c:pt>
                <c:pt idx="25">
                  <c:v>-4.49999999989359</c:v>
                </c:pt>
                <c:pt idx="26">
                  <c:v>-2.49999999937245E-2</c:v>
                </c:pt>
              </c:numCache>
            </c:numRef>
          </c:val>
        </c:ser>
        <c:ser>
          <c:idx val="2"/>
          <c:order val="2"/>
          <c:tx>
            <c:strRef>
              <c:f>'zk79+325'!$M$4:$Q$4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'zk79+325'!$A$6:$A$37</c:f>
              <c:numCache>
                <c:formatCode>m"月"d"日";@</c:formatCode>
                <c:ptCount val="32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'zk79+325'!$P$6:$P$31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-0.99999999997635303</c:v>
                </c:pt>
                <c:pt idx="3">
                  <c:v>-0.90000000000145497</c:v>
                </c:pt>
                <c:pt idx="4">
                  <c:v>-1.09999999995125</c:v>
                </c:pt>
                <c:pt idx="5">
                  <c:v>-1.30000000001473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-1.30000000001473</c:v>
                </c:pt>
                <c:pt idx="9">
                  <c:v>-1.30000000001473</c:v>
                </c:pt>
                <c:pt idx="10">
                  <c:v>-1.4999999999645299</c:v>
                </c:pt>
                <c:pt idx="11">
                  <c:v>-1.39999999998963</c:v>
                </c:pt>
                <c:pt idx="12">
                  <c:v>-1.70000000002801</c:v>
                </c:pt>
                <c:pt idx="13">
                  <c:v>-1.9999999999527101</c:v>
                </c:pt>
                <c:pt idx="14">
                  <c:v>-2.2999999999910901</c:v>
                </c:pt>
                <c:pt idx="15">
                  <c:v>-2.1000000000412902</c:v>
                </c:pt>
                <c:pt idx="16">
                  <c:v>-2.8999999999541601</c:v>
                </c:pt>
                <c:pt idx="17">
                  <c:v>-3.1000000000176402</c:v>
                </c:pt>
                <c:pt idx="18">
                  <c:v>-3.1999999999925399</c:v>
                </c:pt>
                <c:pt idx="19">
                  <c:v>-3.0000000000427498</c:v>
                </c:pt>
                <c:pt idx="20">
                  <c:v>-3.7999999999556202</c:v>
                </c:pt>
                <c:pt idx="21">
                  <c:v>-3.9000000000442001</c:v>
                </c:pt>
                <c:pt idx="22">
                  <c:v>-3.6000000000058199</c:v>
                </c:pt>
                <c:pt idx="23">
                  <c:v>-3.69999999998072</c:v>
                </c:pt>
                <c:pt idx="24">
                  <c:v>-3.9000000000442001</c:v>
                </c:pt>
                <c:pt idx="25">
                  <c:v>-3.7999999999556202</c:v>
                </c:pt>
              </c:numCache>
            </c:numRef>
          </c:val>
        </c:ser>
        <c:dLbls/>
        <c:marker val="1"/>
        <c:axId val="387132416"/>
        <c:axId val="387147264"/>
      </c:lineChart>
      <c:lineChart>
        <c:grouping val="standard"/>
        <c:ser>
          <c:idx val="3"/>
          <c:order val="3"/>
          <c:tx>
            <c:strRef>
              <c:f>'zk79+325'!$AG$3:$AG$5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'zk79+325'!$A$6:$A$37</c:f>
              <c:numCache>
                <c:formatCode>m"月"d"日";@</c:formatCode>
                <c:ptCount val="32"/>
                <c:pt idx="0">
                  <c:v>44569</c:v>
                </c:pt>
                <c:pt idx="1">
                  <c:v>44570</c:v>
                </c:pt>
                <c:pt idx="2">
                  <c:v>44571</c:v>
                </c:pt>
                <c:pt idx="3">
                  <c:v>44572</c:v>
                </c:pt>
                <c:pt idx="4">
                  <c:v>44573</c:v>
                </c:pt>
                <c:pt idx="5">
                  <c:v>44574</c:v>
                </c:pt>
                <c:pt idx="6">
                  <c:v>44575</c:v>
                </c:pt>
                <c:pt idx="7">
                  <c:v>44576</c:v>
                </c:pt>
                <c:pt idx="8">
                  <c:v>44577</c:v>
                </c:pt>
                <c:pt idx="9">
                  <c:v>44578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44583</c:v>
                </c:pt>
                <c:pt idx="15">
                  <c:v>44585</c:v>
                </c:pt>
                <c:pt idx="16">
                  <c:v>44587</c:v>
                </c:pt>
                <c:pt idx="17">
                  <c:v>44597</c:v>
                </c:pt>
                <c:pt idx="18">
                  <c:v>44602</c:v>
                </c:pt>
                <c:pt idx="19">
                  <c:v>44604</c:v>
                </c:pt>
                <c:pt idx="20">
                  <c:v>44606</c:v>
                </c:pt>
                <c:pt idx="21">
                  <c:v>44608</c:v>
                </c:pt>
                <c:pt idx="22">
                  <c:v>44610</c:v>
                </c:pt>
                <c:pt idx="23">
                  <c:v>44612</c:v>
                </c:pt>
                <c:pt idx="24">
                  <c:v>44614</c:v>
                </c:pt>
                <c:pt idx="25">
                  <c:v>44620</c:v>
                </c:pt>
              </c:numCache>
            </c:numRef>
          </c:cat>
          <c:val>
            <c:numRef>
              <c:f>'zk79+325'!$AG$6:$AG$40</c:f>
              <c:numCache>
                <c:formatCode>0.0_ </c:formatCode>
                <c:ptCount val="35"/>
                <c:pt idx="0">
                  <c:v>7</c:v>
                </c:pt>
                <c:pt idx="1">
                  <c:v>10</c:v>
                </c:pt>
                <c:pt idx="2">
                  <c:v>24</c:v>
                </c:pt>
                <c:pt idx="3">
                  <c:v>28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53</c:v>
                </c:pt>
                <c:pt idx="11">
                  <c:v>58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68</c:v>
                </c:pt>
                <c:pt idx="22">
                  <c:v>72</c:v>
                </c:pt>
                <c:pt idx="23">
                  <c:v>80</c:v>
                </c:pt>
                <c:pt idx="24">
                  <c:v>83</c:v>
                </c:pt>
                <c:pt idx="25">
                  <c:v>88</c:v>
                </c:pt>
              </c:numCache>
            </c:numRef>
          </c:val>
        </c:ser>
        <c:dLbls/>
        <c:marker val="1"/>
        <c:axId val="387149184"/>
        <c:axId val="387163264"/>
      </c:lineChart>
      <c:dateAx>
        <c:axId val="3871324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147264"/>
        <c:crossesAt val="-50"/>
        <c:auto val="1"/>
        <c:lblOffset val="100"/>
        <c:baseTimeUnit val="days"/>
      </c:dateAx>
      <c:valAx>
        <c:axId val="387147264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132416"/>
        <c:crosses val="autoZero"/>
        <c:crossBetween val="midCat"/>
        <c:majorUnit val="2"/>
        <c:minorUnit val="0.5"/>
      </c:valAx>
      <c:dateAx>
        <c:axId val="3871491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163264"/>
        <c:crosses val="autoZero"/>
        <c:auto val="1"/>
        <c:lblOffset val="100"/>
        <c:baseTimeUnit val="days"/>
      </c:dateAx>
      <c:valAx>
        <c:axId val="38716326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14918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469579667321504"/>
          <c:y val="0.22301304863582402"/>
          <c:w val="0.78643864485492687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'zk79+360'!$U$4:$W$4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'zk79+360'!$S$6:$S$29</c:f>
              <c:numCache>
                <c:formatCode>m"月"d"日";@</c:formatCode>
                <c:ptCount val="24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'zk79+360'!$V$6:$V$34</c:f>
              <c:numCache>
                <c:formatCode>0.00_ </c:formatCode>
                <c:ptCount val="29"/>
                <c:pt idx="0">
                  <c:v>0</c:v>
                </c:pt>
                <c:pt idx="1">
                  <c:v>-0.39999999999906799</c:v>
                </c:pt>
                <c:pt idx="2">
                  <c:v>-0.89999999999967895</c:v>
                </c:pt>
                <c:pt idx="3">
                  <c:v>-1.0999999999992101</c:v>
                </c:pt>
                <c:pt idx="4">
                  <c:v>-1.2999999999987499</c:v>
                </c:pt>
                <c:pt idx="5">
                  <c:v>-1.8999999999991199</c:v>
                </c:pt>
                <c:pt idx="6">
                  <c:v>-2.0999999999986598</c:v>
                </c:pt>
                <c:pt idx="7">
                  <c:v>-2.2999999999999701</c:v>
                </c:pt>
                <c:pt idx="8">
                  <c:v>-1.8999999999991199</c:v>
                </c:pt>
                <c:pt idx="9">
                  <c:v>-2.6999999999990401</c:v>
                </c:pt>
                <c:pt idx="10">
                  <c:v>-2.9000000000003499</c:v>
                </c:pt>
                <c:pt idx="11">
                  <c:v>-2.3999999999997401</c:v>
                </c:pt>
                <c:pt idx="12">
                  <c:v>-2.7999999999987999</c:v>
                </c:pt>
                <c:pt idx="13">
                  <c:v>-3.2999999999994101</c:v>
                </c:pt>
                <c:pt idx="14">
                  <c:v>-3.4999999999989502</c:v>
                </c:pt>
                <c:pt idx="15">
                  <c:v>-3.2999999999994101</c:v>
                </c:pt>
                <c:pt idx="16">
                  <c:v>-3.8999999999891299</c:v>
                </c:pt>
                <c:pt idx="17">
                  <c:v>-4.09999999998867</c:v>
                </c:pt>
                <c:pt idx="18">
                  <c:v>-3.8999999999997899</c:v>
                </c:pt>
                <c:pt idx="19">
                  <c:v>-3.80000000000003</c:v>
                </c:pt>
                <c:pt idx="20">
                  <c:v>-3.8999999999997899</c:v>
                </c:pt>
                <c:pt idx="21">
                  <c:v>-3.70000000000026</c:v>
                </c:pt>
                <c:pt idx="22">
                  <c:v>-3.5999999999987198</c:v>
                </c:pt>
                <c:pt idx="23">
                  <c:v>0.40000000000084401</c:v>
                </c:pt>
              </c:numCache>
            </c:numRef>
          </c:val>
        </c:ser>
        <c:ser>
          <c:idx val="1"/>
          <c:order val="1"/>
          <c:tx>
            <c:strRef>
              <c:f>'zk79+360'!$Y$4:$AA$4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'zk79+360'!$S$6:$S$29</c:f>
              <c:numCache>
                <c:formatCode>m"月"d"日";@</c:formatCode>
                <c:ptCount val="24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'zk79+360'!$Z$6:$Z$35</c:f>
              <c:numCache>
                <c:formatCode>0.00_ </c:formatCode>
                <c:ptCount val="30"/>
                <c:pt idx="0">
                  <c:v>0</c:v>
                </c:pt>
                <c:pt idx="1">
                  <c:v>-0.60000000000037801</c:v>
                </c:pt>
                <c:pt idx="2">
                  <c:v>-0.799999999999912</c:v>
                </c:pt>
                <c:pt idx="3">
                  <c:v>-0.60000000000037801</c:v>
                </c:pt>
                <c:pt idx="4">
                  <c:v>-1.1999999999989801</c:v>
                </c:pt>
                <c:pt idx="5">
                  <c:v>-1.4000000000002899</c:v>
                </c:pt>
                <c:pt idx="6">
                  <c:v>-1.59999999999982</c:v>
                </c:pt>
                <c:pt idx="7">
                  <c:v>-1.6999999999995901</c:v>
                </c:pt>
                <c:pt idx="8">
                  <c:v>-1.99999999999889</c:v>
                </c:pt>
                <c:pt idx="9">
                  <c:v>-2.2000000000002</c:v>
                </c:pt>
                <c:pt idx="10">
                  <c:v>-2.10000000000043</c:v>
                </c:pt>
                <c:pt idx="11">
                  <c:v>-2.59999999999927</c:v>
                </c:pt>
                <c:pt idx="12">
                  <c:v>-2.9000000000003499</c:v>
                </c:pt>
                <c:pt idx="13">
                  <c:v>-2.7999999999987999</c:v>
                </c:pt>
                <c:pt idx="14">
                  <c:v>-2.6999999999990401</c:v>
                </c:pt>
                <c:pt idx="15">
                  <c:v>-3.1999999999996498</c:v>
                </c:pt>
                <c:pt idx="16">
                  <c:v>-3.3999999999991801</c:v>
                </c:pt>
                <c:pt idx="17">
                  <c:v>-3.1999999999996498</c:v>
                </c:pt>
                <c:pt idx="18">
                  <c:v>-3.80000000000003</c:v>
                </c:pt>
                <c:pt idx="19">
                  <c:v>-3.6000000000004899</c:v>
                </c:pt>
                <c:pt idx="20">
                  <c:v>-3.80000000000003</c:v>
                </c:pt>
                <c:pt idx="21">
                  <c:v>-3.3999999999991801</c:v>
                </c:pt>
                <c:pt idx="22">
                  <c:v>-3.1999999999996498</c:v>
                </c:pt>
                <c:pt idx="23">
                  <c:v>-3.5999999999596399</c:v>
                </c:pt>
              </c:numCache>
            </c:numRef>
          </c:val>
        </c:ser>
        <c:ser>
          <c:idx val="2"/>
          <c:order val="2"/>
          <c:tx>
            <c:strRef>
              <c:f>'zk79+360'!$AC$4:$AE$4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'zk79+360'!$S$6:$S$29</c:f>
              <c:numCache>
                <c:formatCode>m"月"d"日";@</c:formatCode>
                <c:ptCount val="24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-0.49999999999883499</c:v>
                </c:pt>
                <c:pt idx="2">
                  <c:v>-0.999999999999446</c:v>
                </c:pt>
                <c:pt idx="3">
                  <c:v>-1.1999999999989801</c:v>
                </c:pt>
                <c:pt idx="4">
                  <c:v>-1.2999999999987499</c:v>
                </c:pt>
                <c:pt idx="5">
                  <c:v>-1.50000000000006</c:v>
                </c:pt>
                <c:pt idx="6">
                  <c:v>-1.6999999999995901</c:v>
                </c:pt>
                <c:pt idx="7">
                  <c:v>-1.99999999999889</c:v>
                </c:pt>
                <c:pt idx="8">
                  <c:v>-2.0999999999986598</c:v>
                </c:pt>
                <c:pt idx="9">
                  <c:v>-2.3000000000088501</c:v>
                </c:pt>
                <c:pt idx="10">
                  <c:v>-2.0999999999986598</c:v>
                </c:pt>
                <c:pt idx="11">
                  <c:v>-2.7000000000096902</c:v>
                </c:pt>
                <c:pt idx="12">
                  <c:v>-3.0000000000001101</c:v>
                </c:pt>
                <c:pt idx="13">
                  <c:v>-2.9000000000092299</c:v>
                </c:pt>
                <c:pt idx="14">
                  <c:v>-3.0000000000001101</c:v>
                </c:pt>
                <c:pt idx="15">
                  <c:v>-3.30000000001007</c:v>
                </c:pt>
                <c:pt idx="16">
                  <c:v>-3.5000000000096101</c:v>
                </c:pt>
                <c:pt idx="17">
                  <c:v>-3.2999999999994101</c:v>
                </c:pt>
                <c:pt idx="18">
                  <c:v>-3.9000000000193298</c:v>
                </c:pt>
                <c:pt idx="19">
                  <c:v>-3.80000000000003</c:v>
                </c:pt>
                <c:pt idx="20">
                  <c:v>-3.8999999999997899</c:v>
                </c:pt>
                <c:pt idx="21">
                  <c:v>-3.6999999999789401</c:v>
                </c:pt>
                <c:pt idx="22">
                  <c:v>-3.5999999999596399</c:v>
                </c:pt>
              </c:numCache>
            </c:numRef>
          </c:val>
        </c:ser>
        <c:dLbls/>
        <c:marker val="1"/>
        <c:axId val="387064576"/>
        <c:axId val="387066496"/>
      </c:lineChart>
      <c:lineChart>
        <c:grouping val="standard"/>
        <c:ser>
          <c:idx val="3"/>
          <c:order val="3"/>
          <c:tx>
            <c:strRef>
              <c:f>'zk79+360'!$AG$3:$AG$5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'zk79+360'!$S$6:$S$29</c:f>
              <c:numCache>
                <c:formatCode>m"月"d"日";@</c:formatCode>
                <c:ptCount val="24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'zk79+360'!$AG$6:$AG$34</c:f>
              <c:numCache>
                <c:formatCode>0.0_ </c:formatCode>
                <c:ptCount val="29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18</c:v>
                </c:pt>
                <c:pt idx="4">
                  <c:v>23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33</c:v>
                </c:pt>
                <c:pt idx="19">
                  <c:v>45</c:v>
                </c:pt>
                <c:pt idx="20">
                  <c:v>48</c:v>
                </c:pt>
                <c:pt idx="21">
                  <c:v>57</c:v>
                </c:pt>
                <c:pt idx="22">
                  <c:v>69</c:v>
                </c:pt>
              </c:numCache>
            </c:numRef>
          </c:val>
        </c:ser>
        <c:dLbls/>
        <c:marker val="1"/>
        <c:axId val="387080576"/>
        <c:axId val="387082112"/>
      </c:lineChart>
      <c:dateAx>
        <c:axId val="3870645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066496"/>
        <c:crossesAt val="-50"/>
        <c:auto val="1"/>
        <c:lblOffset val="100"/>
        <c:baseTimeUnit val="days"/>
      </c:dateAx>
      <c:valAx>
        <c:axId val="387066496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064576"/>
        <c:crosses val="autoZero"/>
        <c:crossBetween val="midCat"/>
        <c:majorUnit val="2"/>
        <c:minorUnit val="0.1"/>
      </c:valAx>
      <c:dateAx>
        <c:axId val="3870805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082112"/>
        <c:crosses val="autoZero"/>
        <c:auto val="1"/>
        <c:lblOffset val="100"/>
        <c:baseTimeUnit val="days"/>
      </c:dateAx>
      <c:valAx>
        <c:axId val="387082112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08057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'zk79+360'!$A$6:$A$40</c:f>
              <c:numCache>
                <c:formatCode>m"月"d"日";@</c:formatCode>
                <c:ptCount val="35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'zk79+360'!$G$6:$G$36</c:f>
              <c:numCache>
                <c:formatCode>0.00_ </c:formatCode>
                <c:ptCount val="31"/>
                <c:pt idx="0">
                  <c:v>0</c:v>
                </c:pt>
                <c:pt idx="1">
                  <c:v>9.9999999974897905E-2</c:v>
                </c:pt>
                <c:pt idx="2">
                  <c:v>-0.29999999992469401</c:v>
                </c:pt>
                <c:pt idx="3">
                  <c:v>-0.20000000006348301</c:v>
                </c:pt>
                <c:pt idx="4">
                  <c:v>0.10000000008858501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1.0000000008858499E-2</c:v>
                </c:pt>
                <c:pt idx="13">
                  <c:v>-6.0000000007676101E-2</c:v>
                </c:pt>
                <c:pt idx="14">
                  <c:v>0.199999999949796</c:v>
                </c:pt>
                <c:pt idx="15">
                  <c:v>-0.29999999992469401</c:v>
                </c:pt>
                <c:pt idx="16">
                  <c:v>-4.9999999987449001E-2</c:v>
                </c:pt>
                <c:pt idx="17">
                  <c:v>9.9999999974897905E-2</c:v>
                </c:pt>
                <c:pt idx="18">
                  <c:v>-0.24999999999408801</c:v>
                </c:pt>
                <c:pt idx="19">
                  <c:v>4.9999999987449001E-2</c:v>
                </c:pt>
                <c:pt idx="20">
                  <c:v>-9.9999999974897905E-2</c:v>
                </c:pt>
                <c:pt idx="21">
                  <c:v>0.149999999962347</c:v>
                </c:pt>
                <c:pt idx="22">
                  <c:v>1.11111111209539E-2</c:v>
                </c:pt>
                <c:pt idx="23">
                  <c:v>-0.20000000006348301</c:v>
                </c:pt>
              </c:numCache>
            </c:numRef>
          </c:val>
        </c:ser>
        <c:ser>
          <c:idx val="1"/>
          <c:order val="1"/>
          <c:tx>
            <c:strRef>
              <c:f>'zk79+360'!$H$4:$L$4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'zk79+360'!$A$6:$A$40</c:f>
              <c:numCache>
                <c:formatCode>m"月"d"日";@</c:formatCode>
                <c:ptCount val="35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'zk79+360'!$L$6:$L$37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-0.20000000006348301</c:v>
                </c:pt>
                <c:pt idx="2">
                  <c:v>0</c:v>
                </c:pt>
                <c:pt idx="3">
                  <c:v>-0.49999999998817701</c:v>
                </c:pt>
                <c:pt idx="4">
                  <c:v>-0.49999999998817701</c:v>
                </c:pt>
                <c:pt idx="5">
                  <c:v>0.199999999949796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9.9999999974897894E-3</c:v>
                </c:pt>
                <c:pt idx="13">
                  <c:v>-6.0000000007676101E-2</c:v>
                </c:pt>
                <c:pt idx="14">
                  <c:v>0.20000000006348301</c:v>
                </c:pt>
                <c:pt idx="15">
                  <c:v>-0.60000000007676102</c:v>
                </c:pt>
                <c:pt idx="16">
                  <c:v>5.0000000044292399E-2</c:v>
                </c:pt>
                <c:pt idx="17">
                  <c:v>-0.100000000031741</c:v>
                </c:pt>
                <c:pt idx="18">
                  <c:v>-9.9999999974897905E-2</c:v>
                </c:pt>
                <c:pt idx="19">
                  <c:v>-5.0000000044292399E-2</c:v>
                </c:pt>
                <c:pt idx="20">
                  <c:v>-0.149999999962347</c:v>
                </c:pt>
                <c:pt idx="21">
                  <c:v>9.9999999974897905E-2</c:v>
                </c:pt>
                <c:pt idx="22">
                  <c:v>-1.1111111108322001E-2</c:v>
                </c:pt>
              </c:numCache>
            </c:numRef>
          </c:val>
        </c:ser>
        <c:ser>
          <c:idx val="2"/>
          <c:order val="2"/>
          <c:tx>
            <c:strRef>
              <c:f>'zk79+360'!$M$4:$Q$4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'zk79+360'!$A$6:$A$40</c:f>
              <c:numCache>
                <c:formatCode>m"月"d"日";@</c:formatCode>
                <c:ptCount val="35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'zk79+360'!$Q$6:$Q$33</c:f>
              <c:numCache>
                <c:formatCode>0.00_ </c:formatCode>
                <c:ptCount val="28"/>
                <c:pt idx="0">
                  <c:v>0</c:v>
                </c:pt>
                <c:pt idx="1">
                  <c:v>-0.30000000003838101</c:v>
                </c:pt>
                <c:pt idx="2">
                  <c:v>-0.80000000002655702</c:v>
                </c:pt>
                <c:pt idx="3">
                  <c:v>0.20000000006348301</c:v>
                </c:pt>
                <c:pt idx="4">
                  <c:v>9.9999999974897905E-2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-0.40000000001327901</c:v>
                </c:pt>
                <c:pt idx="8">
                  <c:v>0</c:v>
                </c:pt>
                <c:pt idx="9">
                  <c:v>-0.199999999949796</c:v>
                </c:pt>
                <c:pt idx="10">
                  <c:v>-0.20000000006348301</c:v>
                </c:pt>
                <c:pt idx="11">
                  <c:v>0.20000000006348301</c:v>
                </c:pt>
                <c:pt idx="12">
                  <c:v>-4.0000000001327897E-2</c:v>
                </c:pt>
                <c:pt idx="13">
                  <c:v>-4.0000000012696497E-2</c:v>
                </c:pt>
                <c:pt idx="14">
                  <c:v>-0.199999999949796</c:v>
                </c:pt>
                <c:pt idx="15">
                  <c:v>-0.30000000003838101</c:v>
                </c:pt>
                <c:pt idx="16">
                  <c:v>-4.9999999987449001E-2</c:v>
                </c:pt>
                <c:pt idx="17">
                  <c:v>-9.9999999974897905E-2</c:v>
                </c:pt>
                <c:pt idx="18">
                  <c:v>9.9999999974897905E-2</c:v>
                </c:pt>
                <c:pt idx="19">
                  <c:v>-4.9999999987449001E-2</c:v>
                </c:pt>
                <c:pt idx="20">
                  <c:v>9.9999999974897905E-2</c:v>
                </c:pt>
                <c:pt idx="21">
                  <c:v>-0.149999999962347</c:v>
                </c:pt>
                <c:pt idx="22">
                  <c:v>-1.11111111209539E-2</c:v>
                </c:pt>
              </c:numCache>
            </c:numRef>
          </c:val>
        </c:ser>
        <c:dLbls/>
        <c:marker val="1"/>
        <c:axId val="387102976"/>
        <c:axId val="387277568"/>
      </c:lineChart>
      <c:dateAx>
        <c:axId val="3871029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277568"/>
        <c:crossesAt val="-50"/>
        <c:auto val="1"/>
        <c:lblOffset val="100"/>
        <c:baseTimeUnit val="days"/>
      </c:dateAx>
      <c:valAx>
        <c:axId val="38727756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10297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'zk79+360'!$S$6:$S$43</c:f>
              <c:numCache>
                <c:formatCode>m"月"d"日";@</c:formatCode>
                <c:ptCount val="38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'zk79+360'!$W$6:$W$34</c:f>
              <c:numCache>
                <c:formatCode>0.00_ </c:formatCode>
                <c:ptCount val="29"/>
                <c:pt idx="0">
                  <c:v>0</c:v>
                </c:pt>
                <c:pt idx="1">
                  <c:v>0.39999999999906799</c:v>
                </c:pt>
                <c:pt idx="2">
                  <c:v>0.50000000000061096</c:v>
                </c:pt>
                <c:pt idx="3">
                  <c:v>0.19999999999953399</c:v>
                </c:pt>
                <c:pt idx="4">
                  <c:v>0.19999999999953399</c:v>
                </c:pt>
                <c:pt idx="5">
                  <c:v>0.60000000000037801</c:v>
                </c:pt>
                <c:pt idx="6">
                  <c:v>0.19999999999953399</c:v>
                </c:pt>
                <c:pt idx="7">
                  <c:v>0.20000000000130999</c:v>
                </c:pt>
                <c:pt idx="8">
                  <c:v>-0.40000000000084401</c:v>
                </c:pt>
                <c:pt idx="9">
                  <c:v>0.799999999999912</c:v>
                </c:pt>
                <c:pt idx="10">
                  <c:v>0.20000000000130999</c:v>
                </c:pt>
                <c:pt idx="11">
                  <c:v>-0.50000000000061096</c:v>
                </c:pt>
                <c:pt idx="12">
                  <c:v>3.9999999999906798E-2</c:v>
                </c:pt>
                <c:pt idx="13">
                  <c:v>0.10000000000012201</c:v>
                </c:pt>
                <c:pt idx="14">
                  <c:v>0.19999999999953399</c:v>
                </c:pt>
                <c:pt idx="15">
                  <c:v>-0.19999999999953399</c:v>
                </c:pt>
                <c:pt idx="16">
                  <c:v>0.29999999999485999</c:v>
                </c:pt>
                <c:pt idx="17">
                  <c:v>9.99999999997669E-2</c:v>
                </c:pt>
                <c:pt idx="18">
                  <c:v>-9.9999999994437899E-2</c:v>
                </c:pt>
                <c:pt idx="19">
                  <c:v>-4.9999999999883499E-2</c:v>
                </c:pt>
                <c:pt idx="20">
                  <c:v>4.9999999999883499E-2</c:v>
                </c:pt>
                <c:pt idx="21">
                  <c:v>-9.99999999997669E-2</c:v>
                </c:pt>
                <c:pt idx="22">
                  <c:v>-1.1111111111282599E-2</c:v>
                </c:pt>
                <c:pt idx="23">
                  <c:v>0.20000000004039001</c:v>
                </c:pt>
              </c:numCache>
            </c:numRef>
          </c:val>
        </c:ser>
        <c:ser>
          <c:idx val="1"/>
          <c:order val="1"/>
          <c:tx>
            <c:strRef>
              <c:f>'zk79+360'!$Y$4:$AA$4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'zk79+360'!$S$6:$S$43</c:f>
              <c:numCache>
                <c:formatCode>m"月"d"日";@</c:formatCode>
                <c:ptCount val="38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-0.60000000000037801</c:v>
                </c:pt>
                <c:pt idx="2">
                  <c:v>-0.19999999999953399</c:v>
                </c:pt>
                <c:pt idx="3">
                  <c:v>0.19999999999953399</c:v>
                </c:pt>
                <c:pt idx="4">
                  <c:v>-0.59999999999860198</c:v>
                </c:pt>
                <c:pt idx="5">
                  <c:v>-0.20000000000130999</c:v>
                </c:pt>
                <c:pt idx="6">
                  <c:v>-0.19999999999953399</c:v>
                </c:pt>
                <c:pt idx="7">
                  <c:v>-9.99999999997669E-2</c:v>
                </c:pt>
                <c:pt idx="8">
                  <c:v>-0.29999999999930099</c:v>
                </c:pt>
                <c:pt idx="9">
                  <c:v>-0.20000000000130999</c:v>
                </c:pt>
                <c:pt idx="10">
                  <c:v>9.99999999997669E-2</c:v>
                </c:pt>
                <c:pt idx="11">
                  <c:v>-0.49999999999883499</c:v>
                </c:pt>
                <c:pt idx="12">
                  <c:v>-3.0000000000107701E-2</c:v>
                </c:pt>
                <c:pt idx="13">
                  <c:v>2.0000000000308701E-2</c:v>
                </c:pt>
                <c:pt idx="14">
                  <c:v>9.99999999997669E-2</c:v>
                </c:pt>
                <c:pt idx="15">
                  <c:v>-0.50000000000061096</c:v>
                </c:pt>
                <c:pt idx="16">
                  <c:v>-9.99999999997669E-2</c:v>
                </c:pt>
                <c:pt idx="17">
                  <c:v>9.99999999997669E-2</c:v>
                </c:pt>
                <c:pt idx="18">
                  <c:v>-0.300000000000189</c:v>
                </c:pt>
                <c:pt idx="19">
                  <c:v>9.99999999997669E-2</c:v>
                </c:pt>
                <c:pt idx="20">
                  <c:v>-9.99999999997669E-2</c:v>
                </c:pt>
                <c:pt idx="21">
                  <c:v>0.20000000000042201</c:v>
                </c:pt>
                <c:pt idx="22">
                  <c:v>2.22222222221704E-2</c:v>
                </c:pt>
                <c:pt idx="23">
                  <c:v>3.0769230769295702E-2</c:v>
                </c:pt>
              </c:numCache>
            </c:numRef>
          </c:val>
        </c:ser>
        <c:ser>
          <c:idx val="2"/>
          <c:order val="2"/>
          <c:tx>
            <c:strRef>
              <c:f>'zk79+360'!$AC$4:$AE$4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'zk79+360'!$S$6:$S$43</c:f>
              <c:numCache>
                <c:formatCode>m"月"d"日";@</c:formatCode>
                <c:ptCount val="38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-0.49999999999883499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-0.20000000000130999</c:v>
                </c:pt>
                <c:pt idx="6">
                  <c:v>-0.19999999999953399</c:v>
                </c:pt>
                <c:pt idx="7">
                  <c:v>-0.29999999999930099</c:v>
                </c:pt>
                <c:pt idx="8">
                  <c:v>-9.99999999997669E-2</c:v>
                </c:pt>
                <c:pt idx="9">
                  <c:v>-0.200000000010192</c:v>
                </c:pt>
                <c:pt idx="10">
                  <c:v>0.200000000010192</c:v>
                </c:pt>
                <c:pt idx="11">
                  <c:v>-0.60000000001103604</c:v>
                </c:pt>
                <c:pt idx="12">
                  <c:v>-2.9999999999041901E-2</c:v>
                </c:pt>
                <c:pt idx="13">
                  <c:v>1.9999999998177E-2</c:v>
                </c:pt>
                <c:pt idx="14">
                  <c:v>-9.9999999990885199E-2</c:v>
                </c:pt>
                <c:pt idx="15">
                  <c:v>-0.30000000000995902</c:v>
                </c:pt>
                <c:pt idx="16">
                  <c:v>-9.99999999997669E-2</c:v>
                </c:pt>
                <c:pt idx="17">
                  <c:v>0.100000000005096</c:v>
                </c:pt>
                <c:pt idx="18">
                  <c:v>-0.30000000000995902</c:v>
                </c:pt>
                <c:pt idx="19">
                  <c:v>5.0000000009653399E-2</c:v>
                </c:pt>
                <c:pt idx="20">
                  <c:v>-4.9999999999883499E-2</c:v>
                </c:pt>
                <c:pt idx="21">
                  <c:v>0.100000000010425</c:v>
                </c:pt>
                <c:pt idx="22">
                  <c:v>1.11111111132563E-2</c:v>
                </c:pt>
              </c:numCache>
            </c:numRef>
          </c:val>
        </c:ser>
        <c:dLbls/>
        <c:marker val="1"/>
        <c:axId val="387361792"/>
        <c:axId val="387397120"/>
      </c:lineChart>
      <c:dateAx>
        <c:axId val="3873617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397120"/>
        <c:crossesAt val="-50"/>
        <c:auto val="1"/>
        <c:lblOffset val="100"/>
        <c:baseTimeUnit val="days"/>
      </c:dateAx>
      <c:valAx>
        <c:axId val="3873971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36179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'zk79+360'!$A$6:$A$36</c:f>
              <c:numCache>
                <c:formatCode>m"月"d"日";@</c:formatCode>
                <c:ptCount val="31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'zk79+360'!$F$6:$F$31</c:f>
              <c:numCache>
                <c:formatCode>0.00_ </c:formatCode>
                <c:ptCount val="26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-0.29999999992469401</c:v>
                </c:pt>
                <c:pt idx="5">
                  <c:v>-0.49999999998817701</c:v>
                </c:pt>
                <c:pt idx="6">
                  <c:v>-0.40000000001327901</c:v>
                </c:pt>
                <c:pt idx="7">
                  <c:v>-0.90000000000145497</c:v>
                </c:pt>
                <c:pt idx="8">
                  <c:v>-1.09999999995125</c:v>
                </c:pt>
                <c:pt idx="9">
                  <c:v>-0.99999999997635303</c:v>
                </c:pt>
                <c:pt idx="10">
                  <c:v>-1.4999999999645299</c:v>
                </c:pt>
                <c:pt idx="11">
                  <c:v>-1.70000000002801</c:v>
                </c:pt>
                <c:pt idx="12">
                  <c:v>-1.5999999999394301</c:v>
                </c:pt>
                <c:pt idx="13">
                  <c:v>-1.8999999999778101</c:v>
                </c:pt>
                <c:pt idx="14">
                  <c:v>-1.70000000002801</c:v>
                </c:pt>
                <c:pt idx="15">
                  <c:v>-1.9999999999527101</c:v>
                </c:pt>
                <c:pt idx="16">
                  <c:v>-2.0999999999275998</c:v>
                </c:pt>
                <c:pt idx="17">
                  <c:v>-1.8999999999778101</c:v>
                </c:pt>
                <c:pt idx="18">
                  <c:v>-2.39999999996598</c:v>
                </c:pt>
                <c:pt idx="19">
                  <c:v>-2.2999999999910901</c:v>
                </c:pt>
                <c:pt idx="20">
                  <c:v>-2.4999999999408802</c:v>
                </c:pt>
                <c:pt idx="21">
                  <c:v>-2.2000000000161899</c:v>
                </c:pt>
                <c:pt idx="22">
                  <c:v>-2.0999999999275998</c:v>
                </c:pt>
                <c:pt idx="23">
                  <c:v>-0.199999999949796</c:v>
                </c:pt>
              </c:numCache>
            </c:numRef>
          </c:val>
        </c:ser>
        <c:ser>
          <c:idx val="1"/>
          <c:order val="1"/>
          <c:tx>
            <c:strRef>
              <c:f>'zk79+360'!$H$4:$L$4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'zk79+360'!$A$6:$A$36</c:f>
              <c:numCache>
                <c:formatCode>m"月"d"日";@</c:formatCode>
                <c:ptCount val="31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'zk79+360'!$K$6:$K$32</c:f>
              <c:numCache>
                <c:formatCode>0.00_ </c:formatCode>
                <c:ptCount val="27"/>
                <c:pt idx="0">
                  <c:v>0</c:v>
                </c:pt>
                <c:pt idx="1">
                  <c:v>-0.20000000006348301</c:v>
                </c:pt>
                <c:pt idx="2">
                  <c:v>-0.20000000006348301</c:v>
                </c:pt>
                <c:pt idx="3">
                  <c:v>-0.70000000005165897</c:v>
                </c:pt>
                <c:pt idx="4">
                  <c:v>-1.2000000000398401</c:v>
                </c:pt>
                <c:pt idx="5">
                  <c:v>-1.00000000009004</c:v>
                </c:pt>
                <c:pt idx="6">
                  <c:v>-1.2000000000398401</c:v>
                </c:pt>
                <c:pt idx="7">
                  <c:v>-1.1000000000649399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-1.70000000002801</c:v>
                </c:pt>
                <c:pt idx="11">
                  <c:v>-2.2000000000161899</c:v>
                </c:pt>
                <c:pt idx="12">
                  <c:v>-2.1000000000412902</c:v>
                </c:pt>
                <c:pt idx="13">
                  <c:v>-2.40000000007967</c:v>
                </c:pt>
                <c:pt idx="14">
                  <c:v>-2.2000000000161899</c:v>
                </c:pt>
                <c:pt idx="15">
                  <c:v>-2.8000000000929499</c:v>
                </c:pt>
                <c:pt idx="16">
                  <c:v>-2.70000000000437</c:v>
                </c:pt>
                <c:pt idx="17">
                  <c:v>-2.9000000000678501</c:v>
                </c:pt>
                <c:pt idx="18">
                  <c:v>-3.1000000000176402</c:v>
                </c:pt>
                <c:pt idx="19">
                  <c:v>-3.2000000001062299</c:v>
                </c:pt>
                <c:pt idx="20">
                  <c:v>-3.5000000000309202</c:v>
                </c:pt>
                <c:pt idx="21">
                  <c:v>-3.30000000008113</c:v>
                </c:pt>
                <c:pt idx="22">
                  <c:v>-3.40000000005602</c:v>
                </c:pt>
                <c:pt idx="23">
                  <c:v>-1.5384615380753501E-2</c:v>
                </c:pt>
              </c:numCache>
            </c:numRef>
          </c:val>
        </c:ser>
        <c:ser>
          <c:idx val="2"/>
          <c:order val="2"/>
          <c:tx>
            <c:strRef>
              <c:f>'zk79+360'!$M$4:$Q$4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'zk79+360'!$A$6:$A$36</c:f>
              <c:numCache>
                <c:formatCode>m"月"d"日";@</c:formatCode>
                <c:ptCount val="31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'zk79+360'!$P$6:$P$30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-1.1000000000649399</c:v>
                </c:pt>
                <c:pt idx="3">
                  <c:v>-0.90000000000145497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-1.2000000000398401</c:v>
                </c:pt>
                <c:pt idx="7">
                  <c:v>-1.60000000005311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-1.8000000000029099</c:v>
                </c:pt>
                <c:pt idx="12">
                  <c:v>-2.2000000000161899</c:v>
                </c:pt>
                <c:pt idx="13">
                  <c:v>-2.40000000007967</c:v>
                </c:pt>
                <c:pt idx="14">
                  <c:v>-2.6000000000294698</c:v>
                </c:pt>
                <c:pt idx="15">
                  <c:v>-2.9000000000678501</c:v>
                </c:pt>
                <c:pt idx="16">
                  <c:v>-3.0000000000427498</c:v>
                </c:pt>
                <c:pt idx="17">
                  <c:v>-3.1999999999925399</c:v>
                </c:pt>
                <c:pt idx="18">
                  <c:v>-3.0000000000427498</c:v>
                </c:pt>
                <c:pt idx="19">
                  <c:v>-3.1000000000176402</c:v>
                </c:pt>
                <c:pt idx="20">
                  <c:v>-2.9000000000678501</c:v>
                </c:pt>
                <c:pt idx="21">
                  <c:v>-3.1999999999925399</c:v>
                </c:pt>
                <c:pt idx="22">
                  <c:v>-3.30000000008113</c:v>
                </c:pt>
              </c:numCache>
            </c:numRef>
          </c:val>
        </c:ser>
        <c:dLbls/>
        <c:marker val="1"/>
        <c:axId val="387451520"/>
        <c:axId val="387470464"/>
      </c:lineChart>
      <c:lineChart>
        <c:grouping val="standard"/>
        <c:ser>
          <c:idx val="3"/>
          <c:order val="3"/>
          <c:tx>
            <c:strRef>
              <c:f>'zk79+360'!$AG$3:$AG$5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'zk79+360'!$A$6:$A$36</c:f>
              <c:numCache>
                <c:formatCode>m"月"d"日";@</c:formatCode>
                <c:ptCount val="31"/>
                <c:pt idx="0">
                  <c:v>44576</c:v>
                </c:pt>
                <c:pt idx="1">
                  <c:v>44577</c:v>
                </c:pt>
                <c:pt idx="2">
                  <c:v>44578</c:v>
                </c:pt>
                <c:pt idx="3">
                  <c:v>44579</c:v>
                </c:pt>
                <c:pt idx="4">
                  <c:v>44580</c:v>
                </c:pt>
                <c:pt idx="5">
                  <c:v>44581</c:v>
                </c:pt>
                <c:pt idx="6">
                  <c:v>44582</c:v>
                </c:pt>
                <c:pt idx="7">
                  <c:v>44583</c:v>
                </c:pt>
                <c:pt idx="8">
                  <c:v>44584</c:v>
                </c:pt>
                <c:pt idx="9">
                  <c:v>44585</c:v>
                </c:pt>
                <c:pt idx="10">
                  <c:v>44586</c:v>
                </c:pt>
                <c:pt idx="11">
                  <c:v>44587</c:v>
                </c:pt>
                <c:pt idx="12">
                  <c:v>44597</c:v>
                </c:pt>
                <c:pt idx="13">
                  <c:v>44602</c:v>
                </c:pt>
                <c:pt idx="14">
                  <c:v>44603</c:v>
                </c:pt>
                <c:pt idx="15">
                  <c:v>44604</c:v>
                </c:pt>
                <c:pt idx="16">
                  <c:v>44606</c:v>
                </c:pt>
                <c:pt idx="17">
                  <c:v>44608</c:v>
                </c:pt>
                <c:pt idx="18">
                  <c:v>44610</c:v>
                </c:pt>
                <c:pt idx="19">
                  <c:v>44612</c:v>
                </c:pt>
                <c:pt idx="20">
                  <c:v>44614</c:v>
                </c:pt>
                <c:pt idx="21">
                  <c:v>44616</c:v>
                </c:pt>
                <c:pt idx="22">
                  <c:v>44625</c:v>
                </c:pt>
              </c:numCache>
            </c:numRef>
          </c:cat>
          <c:val>
            <c:numRef>
              <c:f>'zk79+360'!$AG$6:$AG$34</c:f>
              <c:numCache>
                <c:formatCode>0.0_ </c:formatCode>
                <c:ptCount val="29"/>
                <c:pt idx="0">
                  <c:v>8</c:v>
                </c:pt>
                <c:pt idx="1">
                  <c:v>11</c:v>
                </c:pt>
                <c:pt idx="2">
                  <c:v>15</c:v>
                </c:pt>
                <c:pt idx="3">
                  <c:v>18</c:v>
                </c:pt>
                <c:pt idx="4">
                  <c:v>23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33</c:v>
                </c:pt>
                <c:pt idx="19">
                  <c:v>45</c:v>
                </c:pt>
                <c:pt idx="20">
                  <c:v>48</c:v>
                </c:pt>
                <c:pt idx="21">
                  <c:v>57</c:v>
                </c:pt>
                <c:pt idx="22">
                  <c:v>69</c:v>
                </c:pt>
              </c:numCache>
            </c:numRef>
          </c:val>
        </c:ser>
        <c:dLbls/>
        <c:marker val="1"/>
        <c:axId val="387472384"/>
        <c:axId val="387482368"/>
      </c:lineChart>
      <c:dateAx>
        <c:axId val="3874515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470464"/>
        <c:crossesAt val="-50"/>
        <c:auto val="1"/>
        <c:lblOffset val="100"/>
        <c:baseTimeUnit val="days"/>
      </c:dateAx>
      <c:valAx>
        <c:axId val="38747046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451520"/>
        <c:crosses val="autoZero"/>
        <c:crossBetween val="midCat"/>
        <c:majorUnit val="1"/>
        <c:minorUnit val="0.5"/>
      </c:valAx>
      <c:dateAx>
        <c:axId val="3874723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482368"/>
        <c:crosses val="autoZero"/>
        <c:auto val="1"/>
        <c:lblOffset val="100"/>
        <c:baseTimeUnit val="days"/>
      </c:dateAx>
      <c:valAx>
        <c:axId val="38748236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47238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9+378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'zk79+378'!$U$4:$W$4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'zk79+378'!$S$6:$S$29</c:f>
              <c:numCache>
                <c:formatCode>m"月"d"日";@</c:formatCode>
                <c:ptCount val="24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'zk79+378'!$V$6:$V$34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-0.399999999999956</c:v>
                </c:pt>
                <c:pt idx="3">
                  <c:v>-0.69999999999925699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-1.1999999999998701</c:v>
                </c:pt>
                <c:pt idx="7">
                  <c:v>-1.2999999999996299</c:v>
                </c:pt>
                <c:pt idx="8">
                  <c:v>-1.3999999999993999</c:v>
                </c:pt>
                <c:pt idx="9">
                  <c:v>-1.1999999999998701</c:v>
                </c:pt>
                <c:pt idx="10">
                  <c:v>-1.59999999999982</c:v>
                </c:pt>
                <c:pt idx="11">
                  <c:v>-1.6999999999995901</c:v>
                </c:pt>
                <c:pt idx="12">
                  <c:v>-1.7999999999993599</c:v>
                </c:pt>
                <c:pt idx="13">
                  <c:v>-1.59999999999982</c:v>
                </c:pt>
                <c:pt idx="14">
                  <c:v>-1.99999999999978</c:v>
                </c:pt>
                <c:pt idx="15">
                  <c:v>-2.0999999999995498</c:v>
                </c:pt>
                <c:pt idx="16">
                  <c:v>-2.1999999999993101</c:v>
                </c:pt>
                <c:pt idx="17">
                  <c:v>-2.4999999999995</c:v>
                </c:pt>
                <c:pt idx="18">
                  <c:v>-2.3999999999997401</c:v>
                </c:pt>
                <c:pt idx="19">
                  <c:v>-2.59999999999927</c:v>
                </c:pt>
                <c:pt idx="20">
                  <c:v>-2.4999999999995</c:v>
                </c:pt>
                <c:pt idx="21">
                  <c:v>-2.6999999999999198</c:v>
                </c:pt>
                <c:pt idx="22">
                  <c:v>-2.1999999999993101</c:v>
                </c:pt>
                <c:pt idx="23">
                  <c:v>-2.0999999999995498</c:v>
                </c:pt>
                <c:pt idx="24">
                  <c:v>-2.3999999999997401</c:v>
                </c:pt>
              </c:numCache>
            </c:numRef>
          </c:val>
        </c:ser>
        <c:ser>
          <c:idx val="1"/>
          <c:order val="1"/>
          <c:tx>
            <c:strRef>
              <c:f>'zk79+378'!$Y$4:$AA$4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'zk79+378'!$S$6:$S$29</c:f>
              <c:numCache>
                <c:formatCode>m"月"d"日";@</c:formatCode>
                <c:ptCount val="24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'zk79+378'!$Z$6:$Z$35</c:f>
              <c:numCache>
                <c:formatCode>0.00_ </c:formatCode>
                <c:ptCount val="30"/>
                <c:pt idx="0">
                  <c:v>0</c:v>
                </c:pt>
                <c:pt idx="1">
                  <c:v>0.19999999999953399</c:v>
                </c:pt>
                <c:pt idx="2">
                  <c:v>-0.19999999999953399</c:v>
                </c:pt>
                <c:pt idx="3">
                  <c:v>-9.99999999997669E-2</c:v>
                </c:pt>
                <c:pt idx="4">
                  <c:v>-0.40000000000084401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-0.70000000000014495</c:v>
                </c:pt>
                <c:pt idx="8">
                  <c:v>-0.89999999999967895</c:v>
                </c:pt>
                <c:pt idx="9">
                  <c:v>-1.10000000000099</c:v>
                </c:pt>
                <c:pt idx="10">
                  <c:v>-1.20000000000076</c:v>
                </c:pt>
                <c:pt idx="11">
                  <c:v>-1.50000000000006</c:v>
                </c:pt>
                <c:pt idx="12">
                  <c:v>-1.6999999999995901</c:v>
                </c:pt>
                <c:pt idx="13">
                  <c:v>-1.9000000000009001</c:v>
                </c:pt>
                <c:pt idx="14">
                  <c:v>-1.59999999999982</c:v>
                </c:pt>
                <c:pt idx="15">
                  <c:v>-2.2999999999999701</c:v>
                </c:pt>
                <c:pt idx="16">
                  <c:v>-2.4999999999995</c:v>
                </c:pt>
                <c:pt idx="17">
                  <c:v>-2.7000000000008102</c:v>
                </c:pt>
                <c:pt idx="18">
                  <c:v>-2.8000000000005798</c:v>
                </c:pt>
                <c:pt idx="19">
                  <c:v>-3.0000000000001101</c:v>
                </c:pt>
                <c:pt idx="20">
                  <c:v>-3.0999999999998802</c:v>
                </c:pt>
                <c:pt idx="21">
                  <c:v>-2.9000000000003499</c:v>
                </c:pt>
                <c:pt idx="22">
                  <c:v>-3.2999999999994101</c:v>
                </c:pt>
                <c:pt idx="23">
                  <c:v>-3.0999999999998802</c:v>
                </c:pt>
                <c:pt idx="24">
                  <c:v>-2.2000000000002</c:v>
                </c:pt>
              </c:numCache>
            </c:numRef>
          </c:val>
        </c:ser>
        <c:ser>
          <c:idx val="2"/>
          <c:order val="2"/>
          <c:tx>
            <c:strRef>
              <c:f>'zk79+378'!$AC$4:$AE$4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'zk79+378'!$S$6:$S$29</c:f>
              <c:numCache>
                <c:formatCode>m"月"d"日";@</c:formatCode>
                <c:ptCount val="24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-0.49999999999883499</c:v>
                </c:pt>
                <c:pt idx="2">
                  <c:v>-0.19999999999953399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-0.70000000000014495</c:v>
                </c:pt>
                <c:pt idx="6">
                  <c:v>-0.60000000000037801</c:v>
                </c:pt>
                <c:pt idx="7">
                  <c:v>-0.49999999999883499</c:v>
                </c:pt>
                <c:pt idx="8">
                  <c:v>-0.39999999999906799</c:v>
                </c:pt>
                <c:pt idx="9">
                  <c:v>-0.60000000000037801</c:v>
                </c:pt>
                <c:pt idx="10">
                  <c:v>-0.799999999999912</c:v>
                </c:pt>
                <c:pt idx="11">
                  <c:v>-0.70000000000014495</c:v>
                </c:pt>
                <c:pt idx="12">
                  <c:v>-1.1999999999989801</c:v>
                </c:pt>
                <c:pt idx="13">
                  <c:v>-1.4000000000091699</c:v>
                </c:pt>
                <c:pt idx="14">
                  <c:v>-1.0999999999992101</c:v>
                </c:pt>
                <c:pt idx="15">
                  <c:v>-1.80000000001002</c:v>
                </c:pt>
                <c:pt idx="16">
                  <c:v>-2.0000000000095501</c:v>
                </c:pt>
                <c:pt idx="17">
                  <c:v>-1.6999999999995901</c:v>
                </c:pt>
                <c:pt idx="18">
                  <c:v>-2.4000000000103898</c:v>
                </c:pt>
                <c:pt idx="19">
                  <c:v>-2.2999999999999701</c:v>
                </c:pt>
                <c:pt idx="20">
                  <c:v>-1.99999999999889</c:v>
                </c:pt>
                <c:pt idx="21">
                  <c:v>-2.2000000000002</c:v>
                </c:pt>
                <c:pt idx="22">
                  <c:v>-2.2999999999999701</c:v>
                </c:pt>
                <c:pt idx="23">
                  <c:v>-2.2000000000002</c:v>
                </c:pt>
              </c:numCache>
            </c:numRef>
          </c:val>
        </c:ser>
        <c:dLbls/>
        <c:marker val="1"/>
        <c:axId val="387743744"/>
        <c:axId val="387746048"/>
      </c:lineChart>
      <c:lineChart>
        <c:grouping val="standard"/>
        <c:ser>
          <c:idx val="3"/>
          <c:order val="3"/>
          <c:tx>
            <c:strRef>
              <c:f>'zk79+378'!$AG$3:$AG$5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'zk79+378'!$S$6:$S$29</c:f>
              <c:numCache>
                <c:formatCode>m"月"d"日";@</c:formatCode>
                <c:ptCount val="24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'zk79+378'!$AG$6:$AG$29</c:f>
              <c:numCache>
                <c:formatCode>0.0_ </c:formatCode>
                <c:ptCount val="24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27</c:v>
                </c:pt>
                <c:pt idx="8">
                  <c:v>31</c:v>
                </c:pt>
                <c:pt idx="9">
                  <c:v>35</c:v>
                </c:pt>
                <c:pt idx="10">
                  <c:v>39</c:v>
                </c:pt>
                <c:pt idx="11">
                  <c:v>43</c:v>
                </c:pt>
                <c:pt idx="12">
                  <c:v>47</c:v>
                </c:pt>
                <c:pt idx="13">
                  <c:v>51</c:v>
                </c:pt>
                <c:pt idx="14">
                  <c:v>55</c:v>
                </c:pt>
                <c:pt idx="15">
                  <c:v>59</c:v>
                </c:pt>
                <c:pt idx="16">
                  <c:v>63</c:v>
                </c:pt>
                <c:pt idx="17">
                  <c:v>67</c:v>
                </c:pt>
                <c:pt idx="18">
                  <c:v>71</c:v>
                </c:pt>
                <c:pt idx="19">
                  <c:v>75</c:v>
                </c:pt>
                <c:pt idx="20">
                  <c:v>86</c:v>
                </c:pt>
                <c:pt idx="21">
                  <c:v>98</c:v>
                </c:pt>
                <c:pt idx="22">
                  <c:v>110</c:v>
                </c:pt>
                <c:pt idx="23">
                  <c:v>146</c:v>
                </c:pt>
              </c:numCache>
            </c:numRef>
          </c:val>
        </c:ser>
        <c:dLbls/>
        <c:marker val="1"/>
        <c:axId val="387756416"/>
        <c:axId val="387757952"/>
      </c:lineChart>
      <c:dateAx>
        <c:axId val="3877437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746048"/>
        <c:crossesAt val="-50"/>
        <c:auto val="1"/>
        <c:lblOffset val="100"/>
        <c:baseTimeUnit val="days"/>
      </c:dateAx>
      <c:valAx>
        <c:axId val="38774604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743744"/>
        <c:crosses val="autoZero"/>
        <c:crossBetween val="midCat"/>
        <c:majorUnit val="1"/>
        <c:minorUnit val="0.1"/>
      </c:valAx>
      <c:dateAx>
        <c:axId val="3877564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757952"/>
        <c:crosses val="autoZero"/>
        <c:auto val="1"/>
        <c:lblOffset val="100"/>
        <c:baseTimeUnit val="days"/>
      </c:dateAx>
      <c:valAx>
        <c:axId val="387757952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75641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378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'zk79+378'!$C$4:$G$4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'zk79+378'!$A$6:$A$40</c:f>
              <c:numCache>
                <c:formatCode>m"月"d"日";@</c:formatCode>
                <c:ptCount val="35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'zk79+378'!$G$6:$G$36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-0.199999999949796</c:v>
                </c:pt>
                <c:pt idx="2">
                  <c:v>0.29999999992469401</c:v>
                </c:pt>
                <c:pt idx="3">
                  <c:v>-0.69999999993797202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-0.29999999992469401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0.199999999949796</c:v>
                </c:pt>
                <c:pt idx="10">
                  <c:v>-0.59999999996307496</c:v>
                </c:pt>
                <c:pt idx="11">
                  <c:v>-0.20000000006348301</c:v>
                </c:pt>
                <c:pt idx="12">
                  <c:v>0.30000000003838101</c:v>
                </c:pt>
                <c:pt idx="13">
                  <c:v>-0.70000000005165897</c:v>
                </c:pt>
                <c:pt idx="14">
                  <c:v>-0.199999999949796</c:v>
                </c:pt>
                <c:pt idx="15">
                  <c:v>-9.9999999974897905E-2</c:v>
                </c:pt>
                <c:pt idx="16">
                  <c:v>9.9999999974897905E-2</c:v>
                </c:pt>
                <c:pt idx="17">
                  <c:v>-0.29999999998153698</c:v>
                </c:pt>
                <c:pt idx="18">
                  <c:v>-0.100000000031741</c:v>
                </c:pt>
                <c:pt idx="19">
                  <c:v>4.9999999987449001E-2</c:v>
                </c:pt>
                <c:pt idx="20">
                  <c:v>5.0000000044292399E-2</c:v>
                </c:pt>
                <c:pt idx="21">
                  <c:v>-0.20000000000663901</c:v>
                </c:pt>
                <c:pt idx="22">
                  <c:v>-0.100000000031741</c:v>
                </c:pt>
                <c:pt idx="23">
                  <c:v>6.0000000007676101E-2</c:v>
                </c:pt>
                <c:pt idx="24">
                  <c:v>-2.39999999996598</c:v>
                </c:pt>
              </c:numCache>
            </c:numRef>
          </c:val>
        </c:ser>
        <c:ser>
          <c:idx val="1"/>
          <c:order val="1"/>
          <c:tx>
            <c:strRef>
              <c:f>'zk79+378'!$H$4:$L$4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'zk79+378'!$A$6:$A$40</c:f>
              <c:numCache>
                <c:formatCode>m"月"d"日";@</c:formatCode>
                <c:ptCount val="35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'zk79+378'!$L$6:$L$37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-0.20000000006348301</c:v>
                </c:pt>
                <c:pt idx="2">
                  <c:v>-0.49999999998817701</c:v>
                </c:pt>
                <c:pt idx="3">
                  <c:v>-0.29999999992469401</c:v>
                </c:pt>
                <c:pt idx="4">
                  <c:v>9.9999999974897905E-2</c:v>
                </c:pt>
                <c:pt idx="5">
                  <c:v>-0.30000000003838101</c:v>
                </c:pt>
                <c:pt idx="6">
                  <c:v>9.9999999974897905E-2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-9.9999999974897905E-2</c:v>
                </c:pt>
                <c:pt idx="10">
                  <c:v>-0.29999999992469401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-0.199999999949796</c:v>
                </c:pt>
                <c:pt idx="15">
                  <c:v>9.9999999974897905E-2</c:v>
                </c:pt>
                <c:pt idx="16">
                  <c:v>-0.29999999998153698</c:v>
                </c:pt>
                <c:pt idx="17">
                  <c:v>-9.9999999974897905E-2</c:v>
                </c:pt>
                <c:pt idx="18">
                  <c:v>-5.0000000044292399E-2</c:v>
                </c:pt>
                <c:pt idx="19">
                  <c:v>-9.9999999974897905E-2</c:v>
                </c:pt>
                <c:pt idx="20">
                  <c:v>-4.9999999987449001E-2</c:v>
                </c:pt>
                <c:pt idx="21">
                  <c:v>-5.0000000044292399E-2</c:v>
                </c:pt>
                <c:pt idx="22">
                  <c:v>-4.9999999987449001E-2</c:v>
                </c:pt>
                <c:pt idx="23">
                  <c:v>1.99999999949796E-2</c:v>
                </c:pt>
              </c:numCache>
            </c:numRef>
          </c:val>
        </c:ser>
        <c:ser>
          <c:idx val="2"/>
          <c:order val="2"/>
          <c:tx>
            <c:strRef>
              <c:f>'zk79+378'!$M$4:$Q$4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'zk79+378'!$A$6:$A$40</c:f>
              <c:numCache>
                <c:formatCode>m"月"d"日";@</c:formatCode>
                <c:ptCount val="35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'zk79+378'!$Q$6:$Q$33</c:f>
              <c:numCache>
                <c:formatCode>0.00_ </c:formatCode>
                <c:ptCount val="28"/>
                <c:pt idx="0">
                  <c:v>0</c:v>
                </c:pt>
                <c:pt idx="1">
                  <c:v>-0.30000000003838101</c:v>
                </c:pt>
                <c:pt idx="2">
                  <c:v>0.199999999949796</c:v>
                </c:pt>
                <c:pt idx="3">
                  <c:v>0.10000000008858501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-0.20000000006348301</c:v>
                </c:pt>
                <c:pt idx="12">
                  <c:v>-0.29999999992469401</c:v>
                </c:pt>
                <c:pt idx="13">
                  <c:v>-0.10000000008858501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5.0000000044292399E-2</c:v>
                </c:pt>
                <c:pt idx="17">
                  <c:v>-0.24999999999408801</c:v>
                </c:pt>
                <c:pt idx="18">
                  <c:v>-0.100000000031741</c:v>
                </c:pt>
                <c:pt idx="19">
                  <c:v>-9.9999999974897905E-2</c:v>
                </c:pt>
                <c:pt idx="20">
                  <c:v>4.9999999987449001E-2</c:v>
                </c:pt>
                <c:pt idx="21">
                  <c:v>-9.9999999974897905E-2</c:v>
                </c:pt>
                <c:pt idx="22">
                  <c:v>-5.0000000044292399E-2</c:v>
                </c:pt>
                <c:pt idx="23">
                  <c:v>4.0000000012696497E-2</c:v>
                </c:pt>
              </c:numCache>
            </c:numRef>
          </c:val>
        </c:ser>
        <c:dLbls/>
        <c:marker val="1"/>
        <c:axId val="387790720"/>
        <c:axId val="387809664"/>
      </c:lineChart>
      <c:dateAx>
        <c:axId val="3877907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809664"/>
        <c:crossesAt val="-50"/>
        <c:auto val="1"/>
        <c:lblOffset val="100"/>
        <c:baseTimeUnit val="days"/>
      </c:dateAx>
      <c:valAx>
        <c:axId val="38780966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79072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9+378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'zk79+378'!$U$4:$W$4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'zk79+378'!$S$6:$S$43</c:f>
              <c:numCache>
                <c:formatCode>m"月"d"日";@</c:formatCode>
                <c:ptCount val="38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'zk79+378'!$W$6:$W$34</c:f>
              <c:numCache>
                <c:formatCode>0.00_ </c:formatCode>
                <c:ptCount val="29"/>
                <c:pt idx="0">
                  <c:v>0</c:v>
                </c:pt>
                <c:pt idx="1">
                  <c:v>0.19999999999953399</c:v>
                </c:pt>
                <c:pt idx="2">
                  <c:v>0.20000000000042201</c:v>
                </c:pt>
                <c:pt idx="3">
                  <c:v>0.29999999999930099</c:v>
                </c:pt>
                <c:pt idx="4">
                  <c:v>0.100000000000655</c:v>
                </c:pt>
                <c:pt idx="5">
                  <c:v>0.19999999999953399</c:v>
                </c:pt>
                <c:pt idx="6">
                  <c:v>0.20000000000042201</c:v>
                </c:pt>
                <c:pt idx="7">
                  <c:v>9.99999999997669E-2</c:v>
                </c:pt>
                <c:pt idx="8">
                  <c:v>9.99999999997669E-2</c:v>
                </c:pt>
                <c:pt idx="9">
                  <c:v>-0.19999999999953399</c:v>
                </c:pt>
                <c:pt idx="10">
                  <c:v>0.399999999999956</c:v>
                </c:pt>
                <c:pt idx="11">
                  <c:v>9.99999999997669E-2</c:v>
                </c:pt>
                <c:pt idx="12">
                  <c:v>9.99999999997669E-2</c:v>
                </c:pt>
                <c:pt idx="13">
                  <c:v>-0.19999999999953399</c:v>
                </c:pt>
                <c:pt idx="14">
                  <c:v>0.399999999999956</c:v>
                </c:pt>
                <c:pt idx="15">
                  <c:v>4.9999999999883499E-2</c:v>
                </c:pt>
                <c:pt idx="16">
                  <c:v>4.9999999999883499E-2</c:v>
                </c:pt>
                <c:pt idx="17">
                  <c:v>0.150000000000095</c:v>
                </c:pt>
                <c:pt idx="18">
                  <c:v>-4.9999999999883499E-2</c:v>
                </c:pt>
                <c:pt idx="19">
                  <c:v>9.99999999997669E-2</c:v>
                </c:pt>
                <c:pt idx="20">
                  <c:v>-4.9999999999883499E-2</c:v>
                </c:pt>
                <c:pt idx="21">
                  <c:v>0.100000000000211</c:v>
                </c:pt>
                <c:pt idx="22">
                  <c:v>-0.25000000000030598</c:v>
                </c:pt>
                <c:pt idx="23">
                  <c:v>-1.9999999999953399E-2</c:v>
                </c:pt>
                <c:pt idx="24">
                  <c:v>-1.70000000000137</c:v>
                </c:pt>
              </c:numCache>
            </c:numRef>
          </c:val>
        </c:ser>
        <c:ser>
          <c:idx val="1"/>
          <c:order val="1"/>
          <c:tx>
            <c:strRef>
              <c:f>'zk79+378'!$Y$4:$AA$4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'zk79+378'!$S$6:$S$43</c:f>
              <c:numCache>
                <c:formatCode>m"月"d"日";@</c:formatCode>
                <c:ptCount val="38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'zk79+378'!$AA$6:$AA$33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-0.39999999999906799</c:v>
                </c:pt>
                <c:pt idx="3">
                  <c:v>9.99999999997669E-2</c:v>
                </c:pt>
                <c:pt idx="4">
                  <c:v>-0.30000000000107702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-0.19999999999953399</c:v>
                </c:pt>
                <c:pt idx="9">
                  <c:v>-0.20000000000130999</c:v>
                </c:pt>
                <c:pt idx="10">
                  <c:v>-9.99999999997669E-2</c:v>
                </c:pt>
                <c:pt idx="11">
                  <c:v>-0.29999999999930099</c:v>
                </c:pt>
                <c:pt idx="12">
                  <c:v>-0.19999999999953399</c:v>
                </c:pt>
                <c:pt idx="13">
                  <c:v>-0.20000000000130999</c:v>
                </c:pt>
                <c:pt idx="14">
                  <c:v>0.30000000000107702</c:v>
                </c:pt>
                <c:pt idx="15">
                  <c:v>-0.35000000000007198</c:v>
                </c:pt>
                <c:pt idx="16">
                  <c:v>-9.99999999997669E-2</c:v>
                </c:pt>
                <c:pt idx="17">
                  <c:v>-0.100000000000655</c:v>
                </c:pt>
                <c:pt idx="18">
                  <c:v>-4.9999999999883499E-2</c:v>
                </c:pt>
                <c:pt idx="19">
                  <c:v>-9.99999999997669E-2</c:v>
                </c:pt>
                <c:pt idx="20">
                  <c:v>-4.9999999999883499E-2</c:v>
                </c:pt>
                <c:pt idx="21">
                  <c:v>9.99999999997669E-2</c:v>
                </c:pt>
                <c:pt idx="22">
                  <c:v>-0.19999999999953399</c:v>
                </c:pt>
                <c:pt idx="23">
                  <c:v>3.9999999999906798E-2</c:v>
                </c:pt>
                <c:pt idx="24">
                  <c:v>-8.5714285714276306E-2</c:v>
                </c:pt>
              </c:numCache>
            </c:numRef>
          </c:val>
        </c:ser>
        <c:ser>
          <c:idx val="2"/>
          <c:order val="2"/>
          <c:tx>
            <c:strRef>
              <c:f>'zk79+378'!$AC$4:$AE$4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'zk79+378'!$S$6:$S$43</c:f>
              <c:numCache>
                <c:formatCode>m"月"d"日";@</c:formatCode>
                <c:ptCount val="38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-0.49999999999883499</c:v>
                </c:pt>
                <c:pt idx="2">
                  <c:v>0.29999999999930099</c:v>
                </c:pt>
                <c:pt idx="3">
                  <c:v>-9.99999999997669E-2</c:v>
                </c:pt>
                <c:pt idx="4">
                  <c:v>-9.99999999997669E-2</c:v>
                </c:pt>
                <c:pt idx="5">
                  <c:v>-0.30000000000107702</c:v>
                </c:pt>
                <c:pt idx="6">
                  <c:v>9.99999999997669E-2</c:v>
                </c:pt>
                <c:pt idx="7">
                  <c:v>0.10000000000154299</c:v>
                </c:pt>
                <c:pt idx="8">
                  <c:v>9.99999999997669E-2</c:v>
                </c:pt>
                <c:pt idx="9">
                  <c:v>-0.20000000000130999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-0.49999999999883499</c:v>
                </c:pt>
                <c:pt idx="13">
                  <c:v>-0.200000000010192</c:v>
                </c:pt>
                <c:pt idx="14">
                  <c:v>0.30000000000995902</c:v>
                </c:pt>
                <c:pt idx="15">
                  <c:v>-0.35000000000540199</c:v>
                </c:pt>
                <c:pt idx="16">
                  <c:v>-9.99999999997669E-2</c:v>
                </c:pt>
                <c:pt idx="17">
                  <c:v>0.15000000000497901</c:v>
                </c:pt>
                <c:pt idx="18">
                  <c:v>-0.35000000000540199</c:v>
                </c:pt>
                <c:pt idx="19">
                  <c:v>5.00000000052125E-2</c:v>
                </c:pt>
                <c:pt idx="20">
                  <c:v>0.15000000000053901</c:v>
                </c:pt>
                <c:pt idx="21">
                  <c:v>-0.100000000000655</c:v>
                </c:pt>
                <c:pt idx="22">
                  <c:v>-4.9999999999883499E-2</c:v>
                </c:pt>
                <c:pt idx="23">
                  <c:v>1.9999999999953399E-2</c:v>
                </c:pt>
              </c:numCache>
            </c:numRef>
          </c:val>
        </c:ser>
        <c:dLbls/>
        <c:marker val="1"/>
        <c:axId val="387861120"/>
        <c:axId val="387888256"/>
      </c:lineChart>
      <c:dateAx>
        <c:axId val="3878611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888256"/>
        <c:crossesAt val="-50"/>
        <c:auto val="1"/>
        <c:lblOffset val="100"/>
        <c:baseTimeUnit val="days"/>
      </c:dateAx>
      <c:valAx>
        <c:axId val="38788825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86112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378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'zk79+378'!$C$4:$G$4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'zk79+378'!$A$6:$A$36</c:f>
              <c:numCache>
                <c:formatCode>m"月"d"日";@</c:formatCode>
                <c:ptCount val="31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'zk79+378'!$F$6:$F$31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-0.90000000000145497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-1.39999999998963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-1.8999999999778101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-2.9999999999290599</c:v>
                </c:pt>
                <c:pt idx="16">
                  <c:v>-2.79999999997926</c:v>
                </c:pt>
                <c:pt idx="17">
                  <c:v>-3.3999999999423398</c:v>
                </c:pt>
                <c:pt idx="18">
                  <c:v>-3.6000000000058199</c:v>
                </c:pt>
                <c:pt idx="19">
                  <c:v>-3.5000000000309202</c:v>
                </c:pt>
                <c:pt idx="20">
                  <c:v>-3.3999999999423398</c:v>
                </c:pt>
                <c:pt idx="21">
                  <c:v>-3.7999999999556202</c:v>
                </c:pt>
                <c:pt idx="22">
                  <c:v>-4.0000000000191003</c:v>
                </c:pt>
                <c:pt idx="23">
                  <c:v>-3.69999999998072</c:v>
                </c:pt>
                <c:pt idx="24">
                  <c:v>-2.5000000000545701</c:v>
                </c:pt>
              </c:numCache>
            </c:numRef>
          </c:val>
        </c:ser>
        <c:ser>
          <c:idx val="1"/>
          <c:order val="1"/>
          <c:tx>
            <c:strRef>
              <c:f>'zk79+378'!$H$4:$L$4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'zk79+378'!$A$6:$A$36</c:f>
              <c:numCache>
                <c:formatCode>m"月"d"日";@</c:formatCode>
                <c:ptCount val="31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'zk79+378'!$K$6:$K$32</c:f>
              <c:numCache>
                <c:formatCode>0.00_ </c:formatCode>
                <c:ptCount val="27"/>
                <c:pt idx="0">
                  <c:v>0</c:v>
                </c:pt>
                <c:pt idx="1">
                  <c:v>-0.20000000006348301</c:v>
                </c:pt>
                <c:pt idx="2">
                  <c:v>-0.70000000005165897</c:v>
                </c:pt>
                <c:pt idx="3">
                  <c:v>-0.99999999997635303</c:v>
                </c:pt>
                <c:pt idx="4">
                  <c:v>-0.90000000000145497</c:v>
                </c:pt>
                <c:pt idx="5">
                  <c:v>-1.2000000000398401</c:v>
                </c:pt>
                <c:pt idx="6">
                  <c:v>-1.1000000000649399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-1.60000000005311</c:v>
                </c:pt>
                <c:pt idx="10">
                  <c:v>-1.8999999999778101</c:v>
                </c:pt>
                <c:pt idx="11">
                  <c:v>-1.8000000000029099</c:v>
                </c:pt>
                <c:pt idx="12">
                  <c:v>-2.2999999999910901</c:v>
                </c:pt>
                <c:pt idx="13">
                  <c:v>-2.5000000000545701</c:v>
                </c:pt>
                <c:pt idx="14">
                  <c:v>-2.70000000000437</c:v>
                </c:pt>
                <c:pt idx="15">
                  <c:v>-2.5000000000545701</c:v>
                </c:pt>
                <c:pt idx="16">
                  <c:v>-3.1000000000176402</c:v>
                </c:pt>
                <c:pt idx="17">
                  <c:v>-3.2999999999674401</c:v>
                </c:pt>
                <c:pt idx="18">
                  <c:v>-3.40000000005602</c:v>
                </c:pt>
                <c:pt idx="19">
                  <c:v>-3.6000000000058199</c:v>
                </c:pt>
                <c:pt idx="20">
                  <c:v>-3.69999999998072</c:v>
                </c:pt>
                <c:pt idx="21">
                  <c:v>-3.8000000000692999</c:v>
                </c:pt>
                <c:pt idx="22">
                  <c:v>-3.9000000000442001</c:v>
                </c:pt>
                <c:pt idx="23">
                  <c:v>-3.8000000000692999</c:v>
                </c:pt>
                <c:pt idx="24">
                  <c:v>-8.9285714287663201E-2</c:v>
                </c:pt>
              </c:numCache>
            </c:numRef>
          </c:val>
        </c:ser>
        <c:ser>
          <c:idx val="2"/>
          <c:order val="2"/>
          <c:tx>
            <c:strRef>
              <c:f>'zk79+378'!$M$4:$Q$4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'zk79+378'!$A$6:$A$36</c:f>
              <c:numCache>
                <c:formatCode>m"月"d"日";@</c:formatCode>
                <c:ptCount val="31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'zk79+378'!$P$6:$P$30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-0.10000000008858501</c:v>
                </c:pt>
                <c:pt idx="3">
                  <c:v>0</c:v>
                </c:pt>
                <c:pt idx="4">
                  <c:v>-0.20000000006348301</c:v>
                </c:pt>
                <c:pt idx="5">
                  <c:v>-0.30000000003838101</c:v>
                </c:pt>
                <c:pt idx="6">
                  <c:v>-0.50000000010186296</c:v>
                </c:pt>
                <c:pt idx="7">
                  <c:v>-0.70000000005165897</c:v>
                </c:pt>
                <c:pt idx="8">
                  <c:v>-0.80000000002655702</c:v>
                </c:pt>
                <c:pt idx="9">
                  <c:v>-1.1000000000649399</c:v>
                </c:pt>
                <c:pt idx="10">
                  <c:v>-1.30000000001473</c:v>
                </c:pt>
                <c:pt idx="11">
                  <c:v>-1.5000000000782201</c:v>
                </c:pt>
                <c:pt idx="12">
                  <c:v>-1.8000000000029099</c:v>
                </c:pt>
                <c:pt idx="13">
                  <c:v>-1.9000000000915001</c:v>
                </c:pt>
                <c:pt idx="14">
                  <c:v>-2.1000000000412902</c:v>
                </c:pt>
                <c:pt idx="15">
                  <c:v>-2.3000000001047698</c:v>
                </c:pt>
                <c:pt idx="16">
                  <c:v>-2.2000000000161899</c:v>
                </c:pt>
                <c:pt idx="17">
                  <c:v>-2.70000000000437</c:v>
                </c:pt>
                <c:pt idx="18">
                  <c:v>-2.9000000000678501</c:v>
                </c:pt>
                <c:pt idx="19">
                  <c:v>-3.1000000000176402</c:v>
                </c:pt>
                <c:pt idx="20">
                  <c:v>-3.0000000000427498</c:v>
                </c:pt>
                <c:pt idx="21">
                  <c:v>-3.1999999999925399</c:v>
                </c:pt>
                <c:pt idx="22">
                  <c:v>-3.30000000008113</c:v>
                </c:pt>
                <c:pt idx="23">
                  <c:v>-3.1000000000176402</c:v>
                </c:pt>
              </c:numCache>
            </c:numRef>
          </c:val>
        </c:ser>
        <c:dLbls/>
        <c:marker val="1"/>
        <c:axId val="387631360"/>
        <c:axId val="387916544"/>
      </c:lineChart>
      <c:lineChart>
        <c:grouping val="standard"/>
        <c:ser>
          <c:idx val="3"/>
          <c:order val="3"/>
          <c:tx>
            <c:strRef>
              <c:f>'zk79+378'!$AG$3:$AG$5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'zk79+378'!$A$6:$A$36</c:f>
              <c:numCache>
                <c:formatCode>m"月"d"日";@</c:formatCode>
                <c:ptCount val="31"/>
                <c:pt idx="0">
                  <c:v>44605</c:v>
                </c:pt>
                <c:pt idx="1">
                  <c:v>44606</c:v>
                </c:pt>
                <c:pt idx="2">
                  <c:v>44607</c:v>
                </c:pt>
                <c:pt idx="3">
                  <c:v>44608</c:v>
                </c:pt>
                <c:pt idx="4">
                  <c:v>44609</c:v>
                </c:pt>
                <c:pt idx="5">
                  <c:v>44610</c:v>
                </c:pt>
                <c:pt idx="6">
                  <c:v>44611</c:v>
                </c:pt>
                <c:pt idx="7">
                  <c:v>44612</c:v>
                </c:pt>
                <c:pt idx="8">
                  <c:v>44613</c:v>
                </c:pt>
                <c:pt idx="9">
                  <c:v>44614</c:v>
                </c:pt>
                <c:pt idx="10">
                  <c:v>44615</c:v>
                </c:pt>
                <c:pt idx="11">
                  <c:v>44616</c:v>
                </c:pt>
                <c:pt idx="12">
                  <c:v>44617</c:v>
                </c:pt>
                <c:pt idx="13">
                  <c:v>44618</c:v>
                </c:pt>
                <c:pt idx="14">
                  <c:v>44619</c:v>
                </c:pt>
                <c:pt idx="15">
                  <c:v>44621</c:v>
                </c:pt>
                <c:pt idx="16">
                  <c:v>44623</c:v>
                </c:pt>
                <c:pt idx="17">
                  <c:v>44625</c:v>
                </c:pt>
                <c:pt idx="18">
                  <c:v>44627</c:v>
                </c:pt>
                <c:pt idx="19">
                  <c:v>44629</c:v>
                </c:pt>
                <c:pt idx="20">
                  <c:v>44631</c:v>
                </c:pt>
                <c:pt idx="21">
                  <c:v>44633</c:v>
                </c:pt>
                <c:pt idx="22">
                  <c:v>44635</c:v>
                </c:pt>
                <c:pt idx="23">
                  <c:v>44640</c:v>
                </c:pt>
              </c:numCache>
            </c:numRef>
          </c:cat>
          <c:val>
            <c:numRef>
              <c:f>'zk79+378'!$AG$6:$AG$36</c:f>
              <c:numCache>
                <c:formatCode>0.0_ </c:formatCode>
                <c:ptCount val="31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27</c:v>
                </c:pt>
                <c:pt idx="8">
                  <c:v>31</c:v>
                </c:pt>
                <c:pt idx="9">
                  <c:v>35</c:v>
                </c:pt>
                <c:pt idx="10">
                  <c:v>39</c:v>
                </c:pt>
                <c:pt idx="11">
                  <c:v>43</c:v>
                </c:pt>
                <c:pt idx="12">
                  <c:v>47</c:v>
                </c:pt>
                <c:pt idx="13">
                  <c:v>51</c:v>
                </c:pt>
                <c:pt idx="14">
                  <c:v>55</c:v>
                </c:pt>
                <c:pt idx="15">
                  <c:v>59</c:v>
                </c:pt>
                <c:pt idx="16">
                  <c:v>63</c:v>
                </c:pt>
                <c:pt idx="17">
                  <c:v>67</c:v>
                </c:pt>
                <c:pt idx="18">
                  <c:v>71</c:v>
                </c:pt>
                <c:pt idx="19">
                  <c:v>75</c:v>
                </c:pt>
                <c:pt idx="20">
                  <c:v>86</c:v>
                </c:pt>
                <c:pt idx="21">
                  <c:v>98</c:v>
                </c:pt>
                <c:pt idx="22">
                  <c:v>110</c:v>
                </c:pt>
                <c:pt idx="23">
                  <c:v>146</c:v>
                </c:pt>
              </c:numCache>
            </c:numRef>
          </c:val>
        </c:ser>
        <c:dLbls/>
        <c:marker val="1"/>
        <c:axId val="387918464"/>
        <c:axId val="387920256"/>
      </c:lineChart>
      <c:dateAx>
        <c:axId val="3876313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916544"/>
        <c:crossesAt val="-50"/>
        <c:auto val="1"/>
        <c:lblOffset val="100"/>
        <c:baseTimeUnit val="days"/>
      </c:dateAx>
      <c:valAx>
        <c:axId val="387916544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631360"/>
        <c:crosses val="autoZero"/>
        <c:crossBetween val="midCat"/>
        <c:majorUnit val="2"/>
        <c:minorUnit val="0.5"/>
      </c:valAx>
      <c:dateAx>
        <c:axId val="3879184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920256"/>
        <c:crosses val="autoZero"/>
        <c:auto val="1"/>
        <c:lblOffset val="100"/>
        <c:baseTimeUnit val="days"/>
      </c:dateAx>
      <c:valAx>
        <c:axId val="38792025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791846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'zk79+406'!$U$4:$W$4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'zk79+406'!$S$6:$S$27</c:f>
              <c:numCache>
                <c:formatCode>m"月"d"日";@</c:formatCode>
                <c:ptCount val="22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-0.50000000000061096</c:v>
                </c:pt>
                <c:pt idx="4">
                  <c:v>-0.799999999999912</c:v>
                </c:pt>
                <c:pt idx="5">
                  <c:v>-0.50000000000061096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-9.99999999997669E-2</c:v>
                </c:pt>
                <c:pt idx="9">
                  <c:v>-0.19999999999953399</c:v>
                </c:pt>
                <c:pt idx="10">
                  <c:v>-0.30000000000107702</c:v>
                </c:pt>
                <c:pt idx="11">
                  <c:v>-0.49999999998995298</c:v>
                </c:pt>
                <c:pt idx="12">
                  <c:v>-0.40000000000084401</c:v>
                </c:pt>
                <c:pt idx="13">
                  <c:v>-0.89999999999079705</c:v>
                </c:pt>
                <c:pt idx="14">
                  <c:v>-1.09999999999033</c:v>
                </c:pt>
                <c:pt idx="15">
                  <c:v>-0.89999999999967895</c:v>
                </c:pt>
                <c:pt idx="16">
                  <c:v>-1.0000000000012199</c:v>
                </c:pt>
                <c:pt idx="17">
                  <c:v>-1.10000000000099</c:v>
                </c:pt>
                <c:pt idx="18">
                  <c:v>-1.3000000000005201</c:v>
                </c:pt>
                <c:pt idx="19">
                  <c:v>-1.20000000000076</c:v>
                </c:pt>
                <c:pt idx="20">
                  <c:v>-1.10000000000099</c:v>
                </c:pt>
                <c:pt idx="21">
                  <c:v>-9.99999999997669E-2</c:v>
                </c:pt>
              </c:numCache>
            </c:numRef>
          </c:val>
        </c:ser>
        <c:ser>
          <c:idx val="1"/>
          <c:order val="1"/>
          <c:tx>
            <c:strRef>
              <c:f>'zk79+406'!$Y$4:$AA$4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'zk79+406'!$S$6:$S$27</c:f>
              <c:numCache>
                <c:formatCode>m"月"d"日";@</c:formatCode>
                <c:ptCount val="22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'zk79+406'!$Z$6:$Z$33</c:f>
              <c:numCache>
                <c:formatCode>0.00_ </c:formatCode>
                <c:ptCount val="28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-0.999999999999446</c:v>
                </c:pt>
                <c:pt idx="9">
                  <c:v>-0.799999999999912</c:v>
                </c:pt>
                <c:pt idx="10">
                  <c:v>-0.70000000000014495</c:v>
                </c:pt>
                <c:pt idx="11">
                  <c:v>-0.999999999999446</c:v>
                </c:pt>
                <c:pt idx="12">
                  <c:v>-0.799999999999912</c:v>
                </c:pt>
                <c:pt idx="13">
                  <c:v>-0.70000000000014495</c:v>
                </c:pt>
                <c:pt idx="14">
                  <c:v>-0.999999999999446</c:v>
                </c:pt>
                <c:pt idx="15">
                  <c:v>-1.0999999999992101</c:v>
                </c:pt>
                <c:pt idx="16">
                  <c:v>-1.4000000000002899</c:v>
                </c:pt>
                <c:pt idx="17">
                  <c:v>-1.2999999999987499</c:v>
                </c:pt>
                <c:pt idx="18">
                  <c:v>-1.50000000000006</c:v>
                </c:pt>
                <c:pt idx="19">
                  <c:v>-1.59999999999982</c:v>
                </c:pt>
                <c:pt idx="20">
                  <c:v>-1.6999999999995901</c:v>
                </c:pt>
                <c:pt idx="21">
                  <c:v>-2.2000000000002</c:v>
                </c:pt>
              </c:numCache>
            </c:numRef>
          </c:val>
        </c:ser>
        <c:ser>
          <c:idx val="2"/>
          <c:order val="2"/>
          <c:tx>
            <c:strRef>
              <c:f>'zk79+406'!$AC$4:$AE$4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'zk79+406'!$S$6:$S$27</c:f>
              <c:numCache>
                <c:formatCode>m"月"d"日";@</c:formatCode>
                <c:ptCount val="22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-0.399999999999956</c:v>
                </c:pt>
                <c:pt idx="3">
                  <c:v>-0.300000000000189</c:v>
                </c:pt>
                <c:pt idx="4">
                  <c:v>-0.799999999999912</c:v>
                </c:pt>
                <c:pt idx="5">
                  <c:v>-1.00000000000033</c:v>
                </c:pt>
                <c:pt idx="6">
                  <c:v>-0.89999999999967895</c:v>
                </c:pt>
                <c:pt idx="7">
                  <c:v>-1.1000000000001</c:v>
                </c:pt>
                <c:pt idx="8">
                  <c:v>-1.2999999999996299</c:v>
                </c:pt>
                <c:pt idx="9">
                  <c:v>-1.59999999999982</c:v>
                </c:pt>
                <c:pt idx="10">
                  <c:v>-1.6999999999995901</c:v>
                </c:pt>
                <c:pt idx="11">
                  <c:v>-1.9000000000000099</c:v>
                </c:pt>
                <c:pt idx="12">
                  <c:v>-2.0999999999995498</c:v>
                </c:pt>
                <c:pt idx="13">
                  <c:v>-2.2000000000002</c:v>
                </c:pt>
                <c:pt idx="14">
                  <c:v>-2.2999999999999701</c:v>
                </c:pt>
                <c:pt idx="15">
                  <c:v>-2.0999999999995498</c:v>
                </c:pt>
                <c:pt idx="16">
                  <c:v>-2.3999999999997401</c:v>
                </c:pt>
                <c:pt idx="17">
                  <c:v>-2.2000000000002</c:v>
                </c:pt>
                <c:pt idx="18">
                  <c:v>-2.3999999999997401</c:v>
                </c:pt>
                <c:pt idx="19">
                  <c:v>-2.2999999999999701</c:v>
                </c:pt>
                <c:pt idx="20">
                  <c:v>-2.2000000000002</c:v>
                </c:pt>
              </c:numCache>
            </c:numRef>
          </c:val>
        </c:ser>
        <c:dLbls/>
        <c:marker val="1"/>
        <c:axId val="388131840"/>
        <c:axId val="388138496"/>
      </c:lineChart>
      <c:lineChart>
        <c:grouping val="standard"/>
        <c:ser>
          <c:idx val="3"/>
          <c:order val="3"/>
          <c:tx>
            <c:strRef>
              <c:f>'zk79+406'!$AG$3:$AG$5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'zk79+406'!$S$6:$S$27</c:f>
              <c:numCache>
                <c:formatCode>m"月"d"日";@</c:formatCode>
                <c:ptCount val="22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'zk79+406'!$AG$6:$AG$36</c:f>
              <c:numCache>
                <c:formatCode>0.0_ </c:formatCode>
                <c:ptCount val="31"/>
                <c:pt idx="0">
                  <c:v>4</c:v>
                </c:pt>
                <c:pt idx="1">
                  <c:v>10</c:v>
                </c:pt>
                <c:pt idx="2">
                  <c:v>16</c:v>
                </c:pt>
                <c:pt idx="3">
                  <c:v>22</c:v>
                </c:pt>
                <c:pt idx="4">
                  <c:v>28</c:v>
                </c:pt>
                <c:pt idx="5">
                  <c:v>34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58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82</c:v>
                </c:pt>
                <c:pt idx="14">
                  <c:v>88</c:v>
                </c:pt>
                <c:pt idx="15">
                  <c:v>94</c:v>
                </c:pt>
                <c:pt idx="16">
                  <c:v>100</c:v>
                </c:pt>
                <c:pt idx="17">
                  <c:v>106</c:v>
                </c:pt>
                <c:pt idx="18">
                  <c:v>112</c:v>
                </c:pt>
                <c:pt idx="19">
                  <c:v>118</c:v>
                </c:pt>
                <c:pt idx="20">
                  <c:v>124</c:v>
                </c:pt>
              </c:numCache>
            </c:numRef>
          </c:val>
        </c:ser>
        <c:dLbls/>
        <c:marker val="1"/>
        <c:axId val="388140416"/>
        <c:axId val="387974272"/>
      </c:lineChart>
      <c:dateAx>
        <c:axId val="3881318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138496"/>
        <c:crossesAt val="-50"/>
        <c:auto val="1"/>
        <c:lblOffset val="100"/>
        <c:baseTimeUnit val="days"/>
      </c:dateAx>
      <c:valAx>
        <c:axId val="388138496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131840"/>
        <c:crosses val="autoZero"/>
        <c:crossBetween val="midCat"/>
        <c:majorUnit val="1"/>
        <c:minorUnit val="0.1"/>
      </c:valAx>
      <c:dateAx>
        <c:axId val="3881404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7974272"/>
        <c:crosses val="autoZero"/>
        <c:auto val="1"/>
        <c:lblOffset val="100"/>
        <c:baseTimeUnit val="days"/>
      </c:dateAx>
      <c:valAx>
        <c:axId val="387974272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14041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'zk79+406'!$C$4:$G$4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'zk79+406'!$A$6:$A$38</c:f>
              <c:numCache>
                <c:formatCode>m"月"d"日";@</c:formatCode>
                <c:ptCount val="33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-0.20000000006348301</c:v>
                </c:pt>
                <c:pt idx="8">
                  <c:v>0.10000000008858501</c:v>
                </c:pt>
                <c:pt idx="9">
                  <c:v>-0.50000000010186296</c:v>
                </c:pt>
                <c:pt idx="10">
                  <c:v>-0.199999999949796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0.29999999992469401</c:v>
                </c:pt>
                <c:pt idx="15">
                  <c:v>-0.34999999996898601</c:v>
                </c:pt>
                <c:pt idx="16">
                  <c:v>-0.100000000031741</c:v>
                </c:pt>
                <c:pt idx="17">
                  <c:v>-4.9999999987449001E-2</c:v>
                </c:pt>
                <c:pt idx="18">
                  <c:v>-0.149999999962347</c:v>
                </c:pt>
                <c:pt idx="19">
                  <c:v>9.9999999974897905E-2</c:v>
                </c:pt>
                <c:pt idx="20">
                  <c:v>9.9999999974897905E-2</c:v>
                </c:pt>
                <c:pt idx="21">
                  <c:v>9.9999999974897905E-2</c:v>
                </c:pt>
              </c:numCache>
            </c:numRef>
          </c:val>
        </c:ser>
        <c:ser>
          <c:idx val="1"/>
          <c:order val="1"/>
          <c:tx>
            <c:strRef>
              <c:f>'zk79+406'!$H$4:$L$4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'zk79+406'!$A$6:$A$38</c:f>
              <c:numCache>
                <c:formatCode>m"月"d"日";@</c:formatCode>
                <c:ptCount val="33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-0.10000000008858501</c:v>
                </c:pt>
                <c:pt idx="2">
                  <c:v>-0.69999999993797202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-0.10000000008858501</c:v>
                </c:pt>
                <c:pt idx="13">
                  <c:v>-0.29999999992469401</c:v>
                </c:pt>
                <c:pt idx="14">
                  <c:v>0.199999999949796</c:v>
                </c:pt>
                <c:pt idx="15">
                  <c:v>-0.29999999998153698</c:v>
                </c:pt>
                <c:pt idx="16">
                  <c:v>-0.100000000031741</c:v>
                </c:pt>
                <c:pt idx="17">
                  <c:v>-9.9999999974897905E-2</c:v>
                </c:pt>
                <c:pt idx="18">
                  <c:v>-4.9999999987449001E-2</c:v>
                </c:pt>
                <c:pt idx="19">
                  <c:v>9.9999999974897905E-2</c:v>
                </c:pt>
                <c:pt idx="20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'zk79+406'!$M$4:$Q$4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'zk79+406'!$A$6:$A$38</c:f>
              <c:numCache>
                <c:formatCode>m"月"d"日";@</c:formatCode>
                <c:ptCount val="33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0.10000000008858501</c:v>
                </c:pt>
                <c:pt idx="8">
                  <c:v>-0.50000000010186296</c:v>
                </c:pt>
                <c:pt idx="9">
                  <c:v>-0.199999999949796</c:v>
                </c:pt>
                <c:pt idx="10">
                  <c:v>-0.199999999949796</c:v>
                </c:pt>
                <c:pt idx="11">
                  <c:v>0.39999999989959201</c:v>
                </c:pt>
                <c:pt idx="12">
                  <c:v>-0.79999999991286996</c:v>
                </c:pt>
                <c:pt idx="13">
                  <c:v>-0.20000000006348301</c:v>
                </c:pt>
                <c:pt idx="14">
                  <c:v>-0.199999999949796</c:v>
                </c:pt>
                <c:pt idx="15">
                  <c:v>0.20000000000663901</c:v>
                </c:pt>
                <c:pt idx="16">
                  <c:v>-0.40000000001327901</c:v>
                </c:pt>
                <c:pt idx="17">
                  <c:v>-0.100000000031741</c:v>
                </c:pt>
                <c:pt idx="18">
                  <c:v>5.0000000044292399E-2</c:v>
                </c:pt>
                <c:pt idx="19">
                  <c:v>4.9999999987449001E-2</c:v>
                </c:pt>
                <c:pt idx="20">
                  <c:v>4.9999999987449001E-2</c:v>
                </c:pt>
              </c:numCache>
            </c:numRef>
          </c:val>
        </c:ser>
        <c:dLbls/>
        <c:marker val="1"/>
        <c:axId val="388007424"/>
        <c:axId val="388009984"/>
      </c:lineChart>
      <c:dateAx>
        <c:axId val="3880074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009984"/>
        <c:crossesAt val="-50"/>
        <c:auto val="1"/>
        <c:lblOffset val="100"/>
        <c:baseTimeUnit val="days"/>
      </c:dateAx>
      <c:valAx>
        <c:axId val="38800998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00742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'zk79+406'!$U$4:$W$4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'zk79+406'!$S$6:$S$41</c:f>
              <c:numCache>
                <c:formatCode>m"月"d"日";@</c:formatCode>
                <c:ptCount val="36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0.20000000000130999</c:v>
                </c:pt>
                <c:pt idx="3">
                  <c:v>9.99999999997669E-2</c:v>
                </c:pt>
                <c:pt idx="4">
                  <c:v>0.29999999999930099</c:v>
                </c:pt>
                <c:pt idx="5">
                  <c:v>-0.29999999999930099</c:v>
                </c:pt>
                <c:pt idx="6">
                  <c:v>-0.30000000000107702</c:v>
                </c:pt>
                <c:pt idx="7">
                  <c:v>-0.29999999999930099</c:v>
                </c:pt>
                <c:pt idx="8">
                  <c:v>0.19999999999953399</c:v>
                </c:pt>
                <c:pt idx="9">
                  <c:v>9.99999999997669E-2</c:v>
                </c:pt>
                <c:pt idx="10">
                  <c:v>0.10000000000154299</c:v>
                </c:pt>
                <c:pt idx="11">
                  <c:v>0.19999999998887599</c:v>
                </c:pt>
                <c:pt idx="12">
                  <c:v>-9.9999999989108801E-2</c:v>
                </c:pt>
                <c:pt idx="13">
                  <c:v>0.49999999998995298</c:v>
                </c:pt>
                <c:pt idx="14">
                  <c:v>0.19999999999953399</c:v>
                </c:pt>
                <c:pt idx="15">
                  <c:v>-9.9999999995325994E-2</c:v>
                </c:pt>
                <c:pt idx="16">
                  <c:v>5.0000000000771601E-2</c:v>
                </c:pt>
                <c:pt idx="17">
                  <c:v>4.9999999999883499E-2</c:v>
                </c:pt>
                <c:pt idx="18">
                  <c:v>9.99999999997669E-2</c:v>
                </c:pt>
                <c:pt idx="19">
                  <c:v>-4.9999999999883499E-2</c:v>
                </c:pt>
                <c:pt idx="20">
                  <c:v>-4.9999999999883499E-2</c:v>
                </c:pt>
                <c:pt idx="21">
                  <c:v>9.99999999997669E-2</c:v>
                </c:pt>
              </c:numCache>
            </c:numRef>
          </c:val>
        </c:ser>
        <c:ser>
          <c:idx val="1"/>
          <c:order val="1"/>
          <c:tx>
            <c:strRef>
              <c:f>'zk79+406'!$Y$4:$AA$4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'zk79+406'!$S$6:$S$41</c:f>
              <c:numCache>
                <c:formatCode>m"月"d"日";@</c:formatCode>
                <c:ptCount val="36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-0.30000000000107702</c:v>
                </c:pt>
                <c:pt idx="5">
                  <c:v>-9.99999999997669E-2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0</c:v>
                </c:pt>
                <c:pt idx="9">
                  <c:v>0.19999999999953399</c:v>
                </c:pt>
                <c:pt idx="10">
                  <c:v>9.99999999997669E-2</c:v>
                </c:pt>
                <c:pt idx="11">
                  <c:v>-0.29999999999930099</c:v>
                </c:pt>
                <c:pt idx="12">
                  <c:v>0.19999999999953399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-4.9999999999883499E-2</c:v>
                </c:pt>
                <c:pt idx="16">
                  <c:v>-0.15000000000053901</c:v>
                </c:pt>
                <c:pt idx="17">
                  <c:v>5.0000000000771601E-2</c:v>
                </c:pt>
                <c:pt idx="18">
                  <c:v>-0.100000000000655</c:v>
                </c:pt>
                <c:pt idx="19">
                  <c:v>-4.9999999999883499E-2</c:v>
                </c:pt>
                <c:pt idx="20">
                  <c:v>-4.9999999999883499E-2</c:v>
                </c:pt>
                <c:pt idx="21">
                  <c:v>-4.9999999999883499E-2</c:v>
                </c:pt>
              </c:numCache>
            </c:numRef>
          </c:val>
        </c:ser>
        <c:ser>
          <c:idx val="2"/>
          <c:order val="2"/>
          <c:tx>
            <c:strRef>
              <c:f>'zk79+406'!$AC$4:$AE$4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'zk79+406'!$S$6:$S$41</c:f>
              <c:numCache>
                <c:formatCode>m"月"d"日";@</c:formatCode>
                <c:ptCount val="36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-0.20000000000042201</c:v>
                </c:pt>
                <c:pt idx="3">
                  <c:v>9.99999999997669E-2</c:v>
                </c:pt>
                <c:pt idx="4">
                  <c:v>-0.499999999999723</c:v>
                </c:pt>
                <c:pt idx="5">
                  <c:v>-0.20000000000042201</c:v>
                </c:pt>
                <c:pt idx="6">
                  <c:v>0.100000000000655</c:v>
                </c:pt>
                <c:pt idx="7">
                  <c:v>-0.20000000000042201</c:v>
                </c:pt>
                <c:pt idx="8">
                  <c:v>-0.19999999999953399</c:v>
                </c:pt>
                <c:pt idx="9">
                  <c:v>-0.300000000000189</c:v>
                </c:pt>
                <c:pt idx="10">
                  <c:v>-9.99999999997669E-2</c:v>
                </c:pt>
                <c:pt idx="11">
                  <c:v>-0.20000000000042201</c:v>
                </c:pt>
                <c:pt idx="12">
                  <c:v>-0.19999999999953399</c:v>
                </c:pt>
                <c:pt idx="13">
                  <c:v>-0.100000000000655</c:v>
                </c:pt>
                <c:pt idx="14">
                  <c:v>-9.99999999997669E-2</c:v>
                </c:pt>
                <c:pt idx="15">
                  <c:v>0.100000000000211</c:v>
                </c:pt>
                <c:pt idx="16">
                  <c:v>-0.150000000000095</c:v>
                </c:pt>
                <c:pt idx="17">
                  <c:v>9.99999999997669E-2</c:v>
                </c:pt>
                <c:pt idx="18">
                  <c:v>-9.99999999997669E-2</c:v>
                </c:pt>
                <c:pt idx="19">
                  <c:v>4.9999999999883499E-2</c:v>
                </c:pt>
                <c:pt idx="20">
                  <c:v>4.9999999999883499E-2</c:v>
                </c:pt>
              </c:numCache>
            </c:numRef>
          </c:val>
        </c:ser>
        <c:dLbls/>
        <c:marker val="1"/>
        <c:axId val="388339968"/>
        <c:axId val="388358912"/>
      </c:lineChart>
      <c:dateAx>
        <c:axId val="3883399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358912"/>
        <c:crossesAt val="-50"/>
        <c:auto val="1"/>
        <c:lblOffset val="100"/>
        <c:baseTimeUnit val="days"/>
        <c:majorUnit val="2"/>
        <c:majorTimeUnit val="days"/>
      </c:dateAx>
      <c:valAx>
        <c:axId val="38835891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33996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'zk79+406'!$C$4:$G$4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'zk79+406'!$A$6:$A$34</c:f>
              <c:numCache>
                <c:formatCode>m"月"d"日";@</c:formatCode>
                <c:ptCount val="29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'zk79+406'!$F$6:$F$29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-0.69999999993797202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-1.2999999999010501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-1.69999999991433</c:v>
                </c:pt>
                <c:pt idx="12">
                  <c:v>-2.39999999996598</c:v>
                </c:pt>
                <c:pt idx="13">
                  <c:v>-2.5999999999157799</c:v>
                </c:pt>
                <c:pt idx="14">
                  <c:v>-2.2999999999910901</c:v>
                </c:pt>
                <c:pt idx="15">
                  <c:v>-2.9999999999290599</c:v>
                </c:pt>
                <c:pt idx="16">
                  <c:v>-3.1999999999925399</c:v>
                </c:pt>
                <c:pt idx="17">
                  <c:v>-3.2999999999674401</c:v>
                </c:pt>
                <c:pt idx="18">
                  <c:v>-3.5999999998921299</c:v>
                </c:pt>
                <c:pt idx="19">
                  <c:v>-3.3999999999423398</c:v>
                </c:pt>
                <c:pt idx="20">
                  <c:v>-3.1999999999925399</c:v>
                </c:pt>
                <c:pt idx="21">
                  <c:v>0.20000000006348301</c:v>
                </c:pt>
              </c:numCache>
            </c:numRef>
          </c:val>
        </c:ser>
        <c:ser>
          <c:idx val="1"/>
          <c:order val="1"/>
          <c:tx>
            <c:strRef>
              <c:f>'zk79+406'!$H$4:$L$4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'zk79+406'!$A$6:$A$34</c:f>
              <c:numCache>
                <c:formatCode>m"月"d"日";@</c:formatCode>
                <c:ptCount val="29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-0.10000000008858501</c:v>
                </c:pt>
                <c:pt idx="2">
                  <c:v>-0.80000000002655702</c:v>
                </c:pt>
                <c:pt idx="3">
                  <c:v>-0.70000000005165897</c:v>
                </c:pt>
                <c:pt idx="4">
                  <c:v>-0.90000000000145497</c:v>
                </c:pt>
                <c:pt idx="5">
                  <c:v>-1.1000000000649399</c:v>
                </c:pt>
                <c:pt idx="6">
                  <c:v>-1.2000000000398401</c:v>
                </c:pt>
                <c:pt idx="7">
                  <c:v>-1.5000000000782201</c:v>
                </c:pt>
                <c:pt idx="8">
                  <c:v>-1.70000000002801</c:v>
                </c:pt>
                <c:pt idx="9">
                  <c:v>-1.60000000005311</c:v>
                </c:pt>
                <c:pt idx="10">
                  <c:v>-2.1000000000412902</c:v>
                </c:pt>
                <c:pt idx="11">
                  <c:v>-2.2999999999910901</c:v>
                </c:pt>
                <c:pt idx="12">
                  <c:v>-2.40000000007967</c:v>
                </c:pt>
                <c:pt idx="13">
                  <c:v>-2.70000000000437</c:v>
                </c:pt>
                <c:pt idx="14">
                  <c:v>-2.5000000000545701</c:v>
                </c:pt>
                <c:pt idx="15">
                  <c:v>-3.1000000000176402</c:v>
                </c:pt>
                <c:pt idx="16">
                  <c:v>-3.30000000008113</c:v>
                </c:pt>
                <c:pt idx="17">
                  <c:v>-3.5000000000309202</c:v>
                </c:pt>
                <c:pt idx="18">
                  <c:v>-3.6000000000058199</c:v>
                </c:pt>
                <c:pt idx="19">
                  <c:v>-3.40000000005602</c:v>
                </c:pt>
                <c:pt idx="20">
                  <c:v>-3.1999999999925399</c:v>
                </c:pt>
                <c:pt idx="21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'zk79+406'!$M$4:$Q$4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'zk79+406'!$A$6:$A$34</c:f>
              <c:numCache>
                <c:formatCode>m"月"d"日";@</c:formatCode>
                <c:ptCount val="29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-0.29999999992469401</c:v>
                </c:pt>
                <c:pt idx="3">
                  <c:v>-0.79999999991286996</c:v>
                </c:pt>
                <c:pt idx="4">
                  <c:v>-0.99999999997635303</c:v>
                </c:pt>
                <c:pt idx="5">
                  <c:v>-1.1999999999261499</c:v>
                </c:pt>
                <c:pt idx="6">
                  <c:v>-1.39999999998963</c:v>
                </c:pt>
                <c:pt idx="7">
                  <c:v>-1.2999999999010501</c:v>
                </c:pt>
                <c:pt idx="8">
                  <c:v>-1.8000000000029099</c:v>
                </c:pt>
                <c:pt idx="9">
                  <c:v>-1.9999999999527101</c:v>
                </c:pt>
                <c:pt idx="10">
                  <c:v>-2.1999999999024999</c:v>
                </c:pt>
                <c:pt idx="11">
                  <c:v>-1.8000000000029099</c:v>
                </c:pt>
                <c:pt idx="12">
                  <c:v>-2.5999999999157799</c:v>
                </c:pt>
                <c:pt idx="13">
                  <c:v>-2.79999999997926</c:v>
                </c:pt>
                <c:pt idx="14">
                  <c:v>-2.9999999999290599</c:v>
                </c:pt>
                <c:pt idx="15">
                  <c:v>-2.5999999999157799</c:v>
                </c:pt>
                <c:pt idx="16">
                  <c:v>-3.3999999999423398</c:v>
                </c:pt>
                <c:pt idx="17">
                  <c:v>-3.6000000000058199</c:v>
                </c:pt>
                <c:pt idx="18">
                  <c:v>-3.49999999991724</c:v>
                </c:pt>
                <c:pt idx="19">
                  <c:v>-3.3999999999423398</c:v>
                </c:pt>
                <c:pt idx="20">
                  <c:v>-3.2999999999674401</c:v>
                </c:pt>
              </c:numCache>
            </c:numRef>
          </c:val>
        </c:ser>
        <c:dLbls/>
        <c:marker val="1"/>
        <c:axId val="388295296"/>
        <c:axId val="388367488"/>
      </c:lineChart>
      <c:lineChart>
        <c:grouping val="standard"/>
        <c:ser>
          <c:idx val="3"/>
          <c:order val="3"/>
          <c:tx>
            <c:strRef>
              <c:f>'zk79+406'!$AG$3:$AG$5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'zk79+406'!$A$6:$A$34</c:f>
              <c:numCache>
                <c:formatCode>m"月"d"日";@</c:formatCode>
                <c:ptCount val="29"/>
                <c:pt idx="0">
                  <c:v>44616</c:v>
                </c:pt>
                <c:pt idx="1">
                  <c:v>44617</c:v>
                </c:pt>
                <c:pt idx="2">
                  <c:v>44618</c:v>
                </c:pt>
                <c:pt idx="3">
                  <c:v>44619</c:v>
                </c:pt>
                <c:pt idx="4">
                  <c:v>44620</c:v>
                </c:pt>
                <c:pt idx="5">
                  <c:v>44621</c:v>
                </c:pt>
                <c:pt idx="6">
                  <c:v>44622</c:v>
                </c:pt>
                <c:pt idx="7">
                  <c:v>44623</c:v>
                </c:pt>
                <c:pt idx="8">
                  <c:v>44624</c:v>
                </c:pt>
                <c:pt idx="9">
                  <c:v>44625</c:v>
                </c:pt>
                <c:pt idx="10">
                  <c:v>44626</c:v>
                </c:pt>
                <c:pt idx="11">
                  <c:v>44627</c:v>
                </c:pt>
                <c:pt idx="12">
                  <c:v>44628</c:v>
                </c:pt>
                <c:pt idx="13">
                  <c:v>44629</c:v>
                </c:pt>
                <c:pt idx="14">
                  <c:v>44630</c:v>
                </c:pt>
                <c:pt idx="15">
                  <c:v>44632</c:v>
                </c:pt>
                <c:pt idx="16">
                  <c:v>44634</c:v>
                </c:pt>
                <c:pt idx="17">
                  <c:v>44636</c:v>
                </c:pt>
                <c:pt idx="18">
                  <c:v>44638</c:v>
                </c:pt>
                <c:pt idx="19">
                  <c:v>44640</c:v>
                </c:pt>
                <c:pt idx="20">
                  <c:v>44642</c:v>
                </c:pt>
              </c:numCache>
            </c:numRef>
          </c:cat>
          <c:val>
            <c:numRef>
              <c:f>'zk79+406'!$AG$6:$AG$31</c:f>
              <c:numCache>
                <c:formatCode>0.0_ </c:formatCode>
                <c:ptCount val="26"/>
                <c:pt idx="0">
                  <c:v>4</c:v>
                </c:pt>
                <c:pt idx="1">
                  <c:v>10</c:v>
                </c:pt>
                <c:pt idx="2">
                  <c:v>16</c:v>
                </c:pt>
                <c:pt idx="3">
                  <c:v>22</c:v>
                </c:pt>
                <c:pt idx="4">
                  <c:v>28</c:v>
                </c:pt>
                <c:pt idx="5">
                  <c:v>34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58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82</c:v>
                </c:pt>
                <c:pt idx="14">
                  <c:v>88</c:v>
                </c:pt>
                <c:pt idx="15">
                  <c:v>94</c:v>
                </c:pt>
                <c:pt idx="16">
                  <c:v>100</c:v>
                </c:pt>
                <c:pt idx="17">
                  <c:v>106</c:v>
                </c:pt>
                <c:pt idx="18">
                  <c:v>112</c:v>
                </c:pt>
                <c:pt idx="19">
                  <c:v>118</c:v>
                </c:pt>
                <c:pt idx="20">
                  <c:v>124</c:v>
                </c:pt>
              </c:numCache>
            </c:numRef>
          </c:val>
        </c:ser>
        <c:dLbls/>
        <c:marker val="1"/>
        <c:axId val="388369408"/>
        <c:axId val="388375296"/>
      </c:lineChart>
      <c:dateAx>
        <c:axId val="3882952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367488"/>
        <c:crossesAt val="-50"/>
        <c:auto val="1"/>
        <c:lblOffset val="100"/>
        <c:baseTimeUnit val="days"/>
      </c:dateAx>
      <c:valAx>
        <c:axId val="388367488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295296"/>
        <c:crosses val="autoZero"/>
        <c:crossBetween val="midCat"/>
        <c:majorUnit val="2"/>
        <c:minorUnit val="0.5"/>
      </c:valAx>
      <c:dateAx>
        <c:axId val="38836940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8375296"/>
        <c:crosses val="autoZero"/>
        <c:auto val="1"/>
        <c:lblOffset val="100"/>
        <c:baseTimeUnit val="days"/>
      </c:dateAx>
      <c:valAx>
        <c:axId val="38837529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36940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9+433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'zk79+433'!$U$4:$W$4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'zk79+433'!$S$6:$S$28</c:f>
              <c:numCache>
                <c:formatCode>m"月"d"日";@</c:formatCode>
                <c:ptCount val="23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'zk79+433'!$V$6:$V$33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-0.399999999999956</c:v>
                </c:pt>
                <c:pt idx="3">
                  <c:v>-0.499999999999723</c:v>
                </c:pt>
                <c:pt idx="4">
                  <c:v>-0.59999999999949005</c:v>
                </c:pt>
                <c:pt idx="5">
                  <c:v>-0.399999999999956</c:v>
                </c:pt>
                <c:pt idx="6">
                  <c:v>-0.799999999999912</c:v>
                </c:pt>
                <c:pt idx="7">
                  <c:v>-0.89999999999967895</c:v>
                </c:pt>
                <c:pt idx="8">
                  <c:v>-0.999999999999446</c:v>
                </c:pt>
                <c:pt idx="9">
                  <c:v>-0.799999999999912</c:v>
                </c:pt>
                <c:pt idx="10">
                  <c:v>-1.1999999999998701</c:v>
                </c:pt>
                <c:pt idx="11">
                  <c:v>-1.2999999999996299</c:v>
                </c:pt>
                <c:pt idx="12">
                  <c:v>-1.3999999999993999</c:v>
                </c:pt>
                <c:pt idx="13">
                  <c:v>-1.6999999999995901</c:v>
                </c:pt>
                <c:pt idx="14">
                  <c:v>-1.59999999999982</c:v>
                </c:pt>
                <c:pt idx="15">
                  <c:v>-1.6999999999995901</c:v>
                </c:pt>
                <c:pt idx="16">
                  <c:v>-1.3999999999993999</c:v>
                </c:pt>
                <c:pt idx="17">
                  <c:v>-1.59999999999982</c:v>
                </c:pt>
                <c:pt idx="18">
                  <c:v>-1.7999999999993599</c:v>
                </c:pt>
                <c:pt idx="19">
                  <c:v>-1.6999999999995901</c:v>
                </c:pt>
                <c:pt idx="20">
                  <c:v>-1.50000000000006</c:v>
                </c:pt>
                <c:pt idx="21">
                  <c:v>-0.89999999999967895</c:v>
                </c:pt>
              </c:numCache>
            </c:numRef>
          </c:val>
        </c:ser>
        <c:ser>
          <c:idx val="1"/>
          <c:order val="1"/>
          <c:tx>
            <c:strRef>
              <c:f>'zk79+433'!$Y$4:$AA$4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'zk79+433'!$S$6:$S$28</c:f>
              <c:numCache>
                <c:formatCode>m"月"d"日";@</c:formatCode>
                <c:ptCount val="23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'zk79+433'!$Z$6:$Z$34</c:f>
              <c:numCache>
                <c:formatCode>0.00_ </c:formatCode>
                <c:ptCount val="29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-0.999999999999446</c:v>
                </c:pt>
                <c:pt idx="9">
                  <c:v>-0.799999999999912</c:v>
                </c:pt>
                <c:pt idx="10">
                  <c:v>-0.70000000000014495</c:v>
                </c:pt>
                <c:pt idx="11">
                  <c:v>-0.999999999999446</c:v>
                </c:pt>
                <c:pt idx="12">
                  <c:v>-0.799999999999912</c:v>
                </c:pt>
                <c:pt idx="13">
                  <c:v>-0.70000000000014495</c:v>
                </c:pt>
                <c:pt idx="14">
                  <c:v>-0.999999999999446</c:v>
                </c:pt>
                <c:pt idx="15">
                  <c:v>-1.0999999999992101</c:v>
                </c:pt>
                <c:pt idx="16">
                  <c:v>-1.4000000000002899</c:v>
                </c:pt>
                <c:pt idx="17">
                  <c:v>-1.6999999999995901</c:v>
                </c:pt>
                <c:pt idx="18">
                  <c:v>-1.99999999999889</c:v>
                </c:pt>
                <c:pt idx="19">
                  <c:v>-2.2000000000002</c:v>
                </c:pt>
                <c:pt idx="20">
                  <c:v>-2.2999999999999701</c:v>
                </c:pt>
                <c:pt idx="21">
                  <c:v>-2.3999999999997401</c:v>
                </c:pt>
              </c:numCache>
            </c:numRef>
          </c:val>
        </c:ser>
        <c:ser>
          <c:idx val="2"/>
          <c:order val="2"/>
          <c:tx>
            <c:strRef>
              <c:f>'zk79+433'!$AC$4:$AE$4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'zk79+433'!$S$6:$S$28</c:f>
              <c:numCache>
                <c:formatCode>m"月"d"日";@</c:formatCode>
                <c:ptCount val="23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'zk79+433'!$AD$6:$AD$38</c:f>
              <c:numCache>
                <c:formatCode>0.00_ </c:formatCode>
                <c:ptCount val="33"/>
                <c:pt idx="0">
                  <c:v>0</c:v>
                </c:pt>
                <c:pt idx="1">
                  <c:v>9.99999999997669E-2</c:v>
                </c:pt>
                <c:pt idx="2">
                  <c:v>0.20000000000130999</c:v>
                </c:pt>
                <c:pt idx="3">
                  <c:v>0.30000000000107702</c:v>
                </c:pt>
                <c:pt idx="4">
                  <c:v>9.99999999997669E-2</c:v>
                </c:pt>
                <c:pt idx="5">
                  <c:v>-9.99999999997669E-2</c:v>
                </c:pt>
                <c:pt idx="6">
                  <c:v>0</c:v>
                </c:pt>
                <c:pt idx="7">
                  <c:v>-0.49999999999883499</c:v>
                </c:pt>
                <c:pt idx="8">
                  <c:v>-0.70000000000902696</c:v>
                </c:pt>
                <c:pt idx="9">
                  <c:v>-0.39999999999906799</c:v>
                </c:pt>
                <c:pt idx="10">
                  <c:v>-1.10000000000987</c:v>
                </c:pt>
                <c:pt idx="11">
                  <c:v>-1.3000000000094001</c:v>
                </c:pt>
                <c:pt idx="12">
                  <c:v>-0.999999999999446</c:v>
                </c:pt>
                <c:pt idx="13">
                  <c:v>-1.70000000001025</c:v>
                </c:pt>
                <c:pt idx="14">
                  <c:v>-1.2999999999987499</c:v>
                </c:pt>
                <c:pt idx="15">
                  <c:v>-1.59999999999982</c:v>
                </c:pt>
                <c:pt idx="16">
                  <c:v>-1.7999999999993599</c:v>
                </c:pt>
                <c:pt idx="17">
                  <c:v>-1.99999999999889</c:v>
                </c:pt>
                <c:pt idx="18">
                  <c:v>-2.2000000000002</c:v>
                </c:pt>
                <c:pt idx="19">
                  <c:v>-2.4999999999995</c:v>
                </c:pt>
                <c:pt idx="20">
                  <c:v>-2.3999999999997401</c:v>
                </c:pt>
              </c:numCache>
            </c:numRef>
          </c:val>
        </c:ser>
        <c:dLbls/>
        <c:marker val="1"/>
        <c:axId val="388557440"/>
        <c:axId val="388572288"/>
      </c:lineChart>
      <c:lineChart>
        <c:grouping val="standard"/>
        <c:ser>
          <c:idx val="3"/>
          <c:order val="3"/>
          <c:tx>
            <c:strRef>
              <c:f>'zk79+433'!$AG$3:$AG$5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'zk79+433'!$S$6:$S$28</c:f>
              <c:numCache>
                <c:formatCode>m"月"d"日";@</c:formatCode>
                <c:ptCount val="23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'zk79+433'!$AG$6:$AG$32</c:f>
              <c:numCache>
                <c:formatCode>0.0_ </c:formatCode>
                <c:ptCount val="27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20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36</c:v>
                </c:pt>
                <c:pt idx="8">
                  <c:v>40</c:v>
                </c:pt>
                <c:pt idx="9">
                  <c:v>44</c:v>
                </c:pt>
                <c:pt idx="10">
                  <c:v>48</c:v>
                </c:pt>
                <c:pt idx="11">
                  <c:v>52</c:v>
                </c:pt>
                <c:pt idx="12">
                  <c:v>56</c:v>
                </c:pt>
                <c:pt idx="13">
                  <c:v>62</c:v>
                </c:pt>
                <c:pt idx="14">
                  <c:v>68</c:v>
                </c:pt>
                <c:pt idx="15">
                  <c:v>74</c:v>
                </c:pt>
                <c:pt idx="16">
                  <c:v>87</c:v>
                </c:pt>
                <c:pt idx="17">
                  <c:v>100</c:v>
                </c:pt>
                <c:pt idx="18">
                  <c:v>113</c:v>
                </c:pt>
                <c:pt idx="19">
                  <c:v>117</c:v>
                </c:pt>
                <c:pt idx="20">
                  <c:v>126</c:v>
                </c:pt>
              </c:numCache>
            </c:numRef>
          </c:val>
        </c:ser>
        <c:dLbls/>
        <c:marker val="1"/>
        <c:axId val="388574208"/>
        <c:axId val="388588288"/>
      </c:lineChart>
      <c:dateAx>
        <c:axId val="3885574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572288"/>
        <c:crossesAt val="-50"/>
        <c:auto val="1"/>
        <c:lblOffset val="100"/>
        <c:baseTimeUnit val="days"/>
        <c:majorUnit val="4"/>
        <c:majorTimeUnit val="days"/>
      </c:dateAx>
      <c:valAx>
        <c:axId val="388572288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557440"/>
        <c:crosses val="autoZero"/>
        <c:crossBetween val="midCat"/>
        <c:majorUnit val="1"/>
        <c:minorUnit val="0.1"/>
      </c:valAx>
      <c:dateAx>
        <c:axId val="38857420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8588288"/>
        <c:crosses val="autoZero"/>
        <c:auto val="1"/>
        <c:lblOffset val="100"/>
        <c:baseTimeUnit val="days"/>
      </c:dateAx>
      <c:valAx>
        <c:axId val="38858828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57420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433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'zk79+433'!$C$4:$G$4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'zk79+433'!$A$6:$A$39</c:f>
              <c:numCache>
                <c:formatCode>m"月"d"日";@</c:formatCode>
                <c:ptCount val="34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'zk79+433'!$G$6:$G$35</c:f>
              <c:numCache>
                <c:formatCode>0.00_ </c:formatCode>
                <c:ptCount val="30"/>
                <c:pt idx="0">
                  <c:v>0</c:v>
                </c:pt>
                <c:pt idx="1">
                  <c:v>-0.90000000000145497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0.30000000003838101</c:v>
                </c:pt>
                <c:pt idx="11">
                  <c:v>-0.70000000005165897</c:v>
                </c:pt>
                <c:pt idx="12">
                  <c:v>-0.199999999949796</c:v>
                </c:pt>
                <c:pt idx="13">
                  <c:v>0.199999999949796</c:v>
                </c:pt>
                <c:pt idx="14">
                  <c:v>-0.59999999996307496</c:v>
                </c:pt>
                <c:pt idx="15">
                  <c:v>-4.9999999987449001E-2</c:v>
                </c:pt>
                <c:pt idx="16">
                  <c:v>-0.15000000001919001</c:v>
                </c:pt>
                <c:pt idx="17">
                  <c:v>-0.15000000001919001</c:v>
                </c:pt>
                <c:pt idx="18">
                  <c:v>-0.15000000001919001</c:v>
                </c:pt>
                <c:pt idx="19">
                  <c:v>-4.9999999987449001E-2</c:v>
                </c:pt>
                <c:pt idx="20">
                  <c:v>-9.9999999974897905E-2</c:v>
                </c:pt>
                <c:pt idx="21">
                  <c:v>-0.29999999992469401</c:v>
                </c:pt>
              </c:numCache>
            </c:numRef>
          </c:val>
        </c:ser>
        <c:ser>
          <c:idx val="1"/>
          <c:order val="1"/>
          <c:tx>
            <c:strRef>
              <c:f>'zk79+433'!$H$4:$L$4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'zk79+433'!$A$6:$A$39</c:f>
              <c:numCache>
                <c:formatCode>m"月"d"日";@</c:formatCode>
                <c:ptCount val="34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'zk79+433'!$L$6:$L$36</c:f>
              <c:numCache>
                <c:formatCode>0.00_ </c:formatCode>
                <c:ptCount val="31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-0.40000000001327901</c:v>
                </c:pt>
                <c:pt idx="5">
                  <c:v>0.199999999949796</c:v>
                </c:pt>
                <c:pt idx="6">
                  <c:v>-9.9999999974897905E-2</c:v>
                </c:pt>
                <c:pt idx="7">
                  <c:v>-0.40000000001327901</c:v>
                </c:pt>
                <c:pt idx="8">
                  <c:v>0.20000000006348301</c:v>
                </c:pt>
                <c:pt idx="9">
                  <c:v>-0.10000000008858501</c:v>
                </c:pt>
                <c:pt idx="10">
                  <c:v>-0.29999999992469401</c:v>
                </c:pt>
                <c:pt idx="11">
                  <c:v>9.9999999974897905E-2</c:v>
                </c:pt>
                <c:pt idx="12">
                  <c:v>-9.9999999974897905E-2</c:v>
                </c:pt>
                <c:pt idx="13">
                  <c:v>9.9999999974897905E-2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-9.9999999974897905E-2</c:v>
                </c:pt>
                <c:pt idx="19">
                  <c:v>-0.15000000001919001</c:v>
                </c:pt>
                <c:pt idx="20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'zk79+433'!$M$4:$Q$4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'zk79+433'!$A$6:$A$39</c:f>
              <c:numCache>
                <c:formatCode>m"月"d"日";@</c:formatCode>
                <c:ptCount val="34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'zk79+433'!$Q$6:$Q$32</c:f>
              <c:numCache>
                <c:formatCode>0.00_ </c:formatCode>
                <c:ptCount val="27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0.40000000001327901</c:v>
                </c:pt>
                <c:pt idx="11">
                  <c:v>-0.80000000002655702</c:v>
                </c:pt>
                <c:pt idx="12">
                  <c:v>-0.199999999949796</c:v>
                </c:pt>
                <c:pt idx="13">
                  <c:v>0.199999999949796</c:v>
                </c:pt>
                <c:pt idx="14">
                  <c:v>-0.59999999996307496</c:v>
                </c:pt>
                <c:pt idx="15">
                  <c:v>-5.0000000044292399E-2</c:v>
                </c:pt>
                <c:pt idx="16">
                  <c:v>-4.9999999987449001E-2</c:v>
                </c:pt>
                <c:pt idx="17">
                  <c:v>-4.9999999987449001E-2</c:v>
                </c:pt>
                <c:pt idx="18">
                  <c:v>-4.9999999987449001E-2</c:v>
                </c:pt>
                <c:pt idx="19">
                  <c:v>-0.100000000031741</c:v>
                </c:pt>
                <c:pt idx="20">
                  <c:v>5.0000000044292399E-2</c:v>
                </c:pt>
              </c:numCache>
            </c:numRef>
          </c:val>
        </c:ser>
        <c:dLbls/>
        <c:marker val="1"/>
        <c:axId val="388629632"/>
        <c:axId val="388631936"/>
      </c:lineChart>
      <c:dateAx>
        <c:axId val="3886296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631936"/>
        <c:crossesAt val="-50"/>
        <c:auto val="1"/>
        <c:lblOffset val="100"/>
        <c:baseTimeUnit val="days"/>
        <c:majorUnit val="3"/>
        <c:majorTimeUnit val="days"/>
      </c:dateAx>
      <c:valAx>
        <c:axId val="38863193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62963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9+433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'zk79+433'!$U$4:$W$4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'zk79+433'!$S$6:$S$42</c:f>
              <c:numCache>
                <c:formatCode>m"月"d"日";@</c:formatCode>
                <c:ptCount val="37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'zk79+433'!$W$6:$W$33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0.20000000000042201</c:v>
                </c:pt>
                <c:pt idx="3">
                  <c:v>9.99999999997669E-2</c:v>
                </c:pt>
                <c:pt idx="4">
                  <c:v>9.99999999997669E-2</c:v>
                </c:pt>
                <c:pt idx="5">
                  <c:v>-0.19999999999953399</c:v>
                </c:pt>
                <c:pt idx="6">
                  <c:v>0.399999999999956</c:v>
                </c:pt>
                <c:pt idx="7">
                  <c:v>9.99999999997669E-2</c:v>
                </c:pt>
                <c:pt idx="8">
                  <c:v>9.99999999997669E-2</c:v>
                </c:pt>
                <c:pt idx="9">
                  <c:v>-0.19999999999953399</c:v>
                </c:pt>
                <c:pt idx="10">
                  <c:v>0.399999999999956</c:v>
                </c:pt>
                <c:pt idx="11">
                  <c:v>9.99999999997669E-2</c:v>
                </c:pt>
                <c:pt idx="12">
                  <c:v>9.99999999997669E-2</c:v>
                </c:pt>
                <c:pt idx="13">
                  <c:v>0.300000000000189</c:v>
                </c:pt>
                <c:pt idx="14">
                  <c:v>-9.99999999997669E-2</c:v>
                </c:pt>
                <c:pt idx="15">
                  <c:v>4.9999999999883499E-2</c:v>
                </c:pt>
                <c:pt idx="16">
                  <c:v>-0.150000000000095</c:v>
                </c:pt>
                <c:pt idx="17">
                  <c:v>0.100000000000211</c:v>
                </c:pt>
                <c:pt idx="18">
                  <c:v>9.99999999997669E-2</c:v>
                </c:pt>
                <c:pt idx="19">
                  <c:v>-4.9999999999883499E-2</c:v>
                </c:pt>
                <c:pt idx="20">
                  <c:v>-9.99999999997669E-2</c:v>
                </c:pt>
                <c:pt idx="21">
                  <c:v>-0.60000000000037801</c:v>
                </c:pt>
              </c:numCache>
            </c:numRef>
          </c:val>
        </c:ser>
        <c:ser>
          <c:idx val="1"/>
          <c:order val="1"/>
          <c:tx>
            <c:strRef>
              <c:f>'zk79+433'!$Y$4:$AA$4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'zk79+433'!$S$6:$S$42</c:f>
              <c:numCache>
                <c:formatCode>m"月"d"日";@</c:formatCode>
                <c:ptCount val="37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'zk79+433'!$AA$6:$AA$32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-0.30000000000107702</c:v>
                </c:pt>
                <c:pt idx="5">
                  <c:v>-9.99999999997669E-2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0</c:v>
                </c:pt>
                <c:pt idx="9">
                  <c:v>0.19999999999953399</c:v>
                </c:pt>
                <c:pt idx="10">
                  <c:v>9.99999999997669E-2</c:v>
                </c:pt>
                <c:pt idx="11">
                  <c:v>-0.29999999999930099</c:v>
                </c:pt>
                <c:pt idx="12">
                  <c:v>0.19999999999953399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-4.9999999999883499E-2</c:v>
                </c:pt>
                <c:pt idx="16">
                  <c:v>-0.15000000000053901</c:v>
                </c:pt>
                <c:pt idx="17">
                  <c:v>-0.14999999999965</c:v>
                </c:pt>
                <c:pt idx="18">
                  <c:v>-0.14999999999965</c:v>
                </c:pt>
                <c:pt idx="19">
                  <c:v>-0.100000000000655</c:v>
                </c:pt>
                <c:pt idx="20">
                  <c:v>-4.9999999999883499E-2</c:v>
                </c:pt>
                <c:pt idx="21">
                  <c:v>-0.11249999999995999</c:v>
                </c:pt>
              </c:numCache>
            </c:numRef>
          </c:val>
        </c:ser>
        <c:ser>
          <c:idx val="2"/>
          <c:order val="2"/>
          <c:tx>
            <c:strRef>
              <c:f>'zk79+433'!$AC$4:$AE$4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'zk79+433'!$S$6:$S$42</c:f>
              <c:numCache>
                <c:formatCode>m"月"d"日";@</c:formatCode>
                <c:ptCount val="37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'zk79+433'!$AE$6:$AE$39</c:f>
              <c:numCache>
                <c:formatCode>0.00_ </c:formatCode>
                <c:ptCount val="34"/>
                <c:pt idx="0">
                  <c:v>0</c:v>
                </c:pt>
                <c:pt idx="1">
                  <c:v>9.99999999997669E-2</c:v>
                </c:pt>
                <c:pt idx="2">
                  <c:v>0.10000000000154299</c:v>
                </c:pt>
                <c:pt idx="3">
                  <c:v>9.99999999997669E-2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9.99999999997669E-2</c:v>
                </c:pt>
                <c:pt idx="7">
                  <c:v>-0.49999999999883499</c:v>
                </c:pt>
                <c:pt idx="8">
                  <c:v>-0.200000000010192</c:v>
                </c:pt>
                <c:pt idx="9">
                  <c:v>0.30000000000995902</c:v>
                </c:pt>
                <c:pt idx="10">
                  <c:v>-0.70000000001080298</c:v>
                </c:pt>
                <c:pt idx="11">
                  <c:v>-0.19999999999953399</c:v>
                </c:pt>
                <c:pt idx="12">
                  <c:v>0.30000000000995902</c:v>
                </c:pt>
                <c:pt idx="13">
                  <c:v>-0.70000000001080298</c:v>
                </c:pt>
                <c:pt idx="14">
                  <c:v>0.40000000001150199</c:v>
                </c:pt>
                <c:pt idx="15">
                  <c:v>-0.15000000000053901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-0.100000000000655</c:v>
                </c:pt>
                <c:pt idx="19">
                  <c:v>-0.14999999999965</c:v>
                </c:pt>
                <c:pt idx="20">
                  <c:v>4.9999999999883499E-2</c:v>
                </c:pt>
              </c:numCache>
            </c:numRef>
          </c:val>
        </c:ser>
        <c:dLbls/>
        <c:marker val="1"/>
        <c:axId val="388691840"/>
        <c:axId val="388710784"/>
      </c:lineChart>
      <c:dateAx>
        <c:axId val="3886918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710784"/>
        <c:crossesAt val="-50"/>
        <c:auto val="1"/>
        <c:lblOffset val="100"/>
        <c:baseTimeUnit val="days"/>
        <c:majorUnit val="4"/>
        <c:majorTimeUnit val="days"/>
      </c:dateAx>
      <c:valAx>
        <c:axId val="38871078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69184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433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'zk79+433'!$C$4:$G$4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'zk79+433'!$A$6:$A$35</c:f>
              <c:numCache>
                <c:formatCode>m"月"d"日";@</c:formatCode>
                <c:ptCount val="30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'zk79+433'!$F$6:$F$30</c:f>
              <c:numCache>
                <c:formatCode>0.00_ </c:formatCode>
                <c:ptCount val="25"/>
                <c:pt idx="0">
                  <c:v>0</c:v>
                </c:pt>
                <c:pt idx="1">
                  <c:v>-0.90000000000145497</c:v>
                </c:pt>
                <c:pt idx="2">
                  <c:v>-0.80000000002655702</c:v>
                </c:pt>
                <c:pt idx="3">
                  <c:v>-0.99999999997635303</c:v>
                </c:pt>
                <c:pt idx="4">
                  <c:v>-1.2000000000398401</c:v>
                </c:pt>
                <c:pt idx="5">
                  <c:v>-1.39999999998963</c:v>
                </c:pt>
                <c:pt idx="6">
                  <c:v>-1.4999999999645299</c:v>
                </c:pt>
                <c:pt idx="7">
                  <c:v>-1.8000000000029099</c:v>
                </c:pt>
                <c:pt idx="8">
                  <c:v>-2.00000000006639</c:v>
                </c:pt>
                <c:pt idx="9">
                  <c:v>-2.2000000000161899</c:v>
                </c:pt>
                <c:pt idx="10">
                  <c:v>-1.8999999999778101</c:v>
                </c:pt>
                <c:pt idx="11">
                  <c:v>-2.6000000000294698</c:v>
                </c:pt>
                <c:pt idx="12">
                  <c:v>-2.79999999997926</c:v>
                </c:pt>
                <c:pt idx="13">
                  <c:v>-2.6000000000294698</c:v>
                </c:pt>
                <c:pt idx="14">
                  <c:v>-3.1999999999925399</c:v>
                </c:pt>
                <c:pt idx="15">
                  <c:v>-3.2999999999674401</c:v>
                </c:pt>
                <c:pt idx="16">
                  <c:v>-3.6000000000058199</c:v>
                </c:pt>
                <c:pt idx="17">
                  <c:v>-3.9000000000442001</c:v>
                </c:pt>
                <c:pt idx="18">
                  <c:v>-4.2000000000825803</c:v>
                </c:pt>
                <c:pt idx="19">
                  <c:v>-4.3000000000574801</c:v>
                </c:pt>
                <c:pt idx="20">
                  <c:v>-4.5000000000072804</c:v>
                </c:pt>
                <c:pt idx="21">
                  <c:v>-0.60000000007676102</c:v>
                </c:pt>
              </c:numCache>
            </c:numRef>
          </c:val>
        </c:ser>
        <c:ser>
          <c:idx val="1"/>
          <c:order val="1"/>
          <c:tx>
            <c:strRef>
              <c:f>'zk79+433'!$H$4:$L$4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'zk79+433'!$A$6:$A$35</c:f>
              <c:numCache>
                <c:formatCode>m"月"d"日";@</c:formatCode>
                <c:ptCount val="30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'zk79+433'!$K$6:$K$31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-0.40000000001327901</c:v>
                </c:pt>
                <c:pt idx="4">
                  <c:v>-0.80000000002655702</c:v>
                </c:pt>
                <c:pt idx="5">
                  <c:v>-0.60000000007676102</c:v>
                </c:pt>
                <c:pt idx="6">
                  <c:v>-0.70000000005165897</c:v>
                </c:pt>
                <c:pt idx="7">
                  <c:v>-1.1000000000649399</c:v>
                </c:pt>
                <c:pt idx="8">
                  <c:v>-0.90000000000145497</c:v>
                </c:pt>
                <c:pt idx="9">
                  <c:v>-1.00000000009004</c:v>
                </c:pt>
                <c:pt idx="10">
                  <c:v>-1.30000000001473</c:v>
                </c:pt>
                <c:pt idx="11">
                  <c:v>-1.2000000000398401</c:v>
                </c:pt>
                <c:pt idx="12">
                  <c:v>-1.30000000001473</c:v>
                </c:pt>
                <c:pt idx="13">
                  <c:v>-1.2000000000398401</c:v>
                </c:pt>
                <c:pt idx="14">
                  <c:v>-1.5000000000782201</c:v>
                </c:pt>
                <c:pt idx="15">
                  <c:v>-1.60000000005311</c:v>
                </c:pt>
                <c:pt idx="16">
                  <c:v>-1.8000000000029099</c:v>
                </c:pt>
                <c:pt idx="17">
                  <c:v>-2.00000000006639</c:v>
                </c:pt>
                <c:pt idx="18">
                  <c:v>-2.2000000000161899</c:v>
                </c:pt>
                <c:pt idx="19">
                  <c:v>-2.5000000000545701</c:v>
                </c:pt>
                <c:pt idx="20">
                  <c:v>-2.40000000007967</c:v>
                </c:pt>
                <c:pt idx="21">
                  <c:v>-7.5000000009595197E-2</c:v>
                </c:pt>
              </c:numCache>
            </c:numRef>
          </c:val>
        </c:ser>
        <c:ser>
          <c:idx val="2"/>
          <c:order val="2"/>
          <c:tx>
            <c:strRef>
              <c:f>'zk79+433'!$M$4:$Q$4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'zk79+433'!$A$6:$A$35</c:f>
              <c:numCache>
                <c:formatCode>m"月"d"日";@</c:formatCode>
                <c:ptCount val="30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'zk79+433'!$P$6:$P$29</c:f>
              <c:numCache>
                <c:formatCode>0.00_ </c:formatCode>
                <c:ptCount val="24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-0.20000000006348301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-1.00000000009004</c:v>
                </c:pt>
                <c:pt idx="8">
                  <c:v>-1.5000000000782201</c:v>
                </c:pt>
                <c:pt idx="9">
                  <c:v>-1.70000000002801</c:v>
                </c:pt>
                <c:pt idx="10">
                  <c:v>-1.30000000001473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-2.1000000000412902</c:v>
                </c:pt>
                <c:pt idx="14">
                  <c:v>-2.70000000000437</c:v>
                </c:pt>
                <c:pt idx="15">
                  <c:v>-2.8000000000929499</c:v>
                </c:pt>
                <c:pt idx="16">
                  <c:v>-2.9000000000678501</c:v>
                </c:pt>
                <c:pt idx="17">
                  <c:v>-3.0000000000427498</c:v>
                </c:pt>
                <c:pt idx="18">
                  <c:v>-3.1000000000176402</c:v>
                </c:pt>
                <c:pt idx="19">
                  <c:v>-3.30000000008113</c:v>
                </c:pt>
                <c:pt idx="20">
                  <c:v>-3.1999999999925399</c:v>
                </c:pt>
              </c:numCache>
            </c:numRef>
          </c:val>
        </c:ser>
        <c:dLbls/>
        <c:marker val="1"/>
        <c:axId val="388847488"/>
        <c:axId val="388862336"/>
      </c:lineChart>
      <c:lineChart>
        <c:grouping val="standard"/>
        <c:ser>
          <c:idx val="3"/>
          <c:order val="3"/>
          <c:tx>
            <c:strRef>
              <c:f>'zk79+433'!$AG$3:$AG$5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'zk79+433'!$A$6:$A$35</c:f>
              <c:numCache>
                <c:formatCode>m"月"d"日";@</c:formatCode>
                <c:ptCount val="30"/>
                <c:pt idx="0">
                  <c:v>44621</c:v>
                </c:pt>
                <c:pt idx="1">
                  <c:v>44622</c:v>
                </c:pt>
                <c:pt idx="2">
                  <c:v>44623</c:v>
                </c:pt>
                <c:pt idx="3">
                  <c:v>44624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44637</c:v>
                </c:pt>
                <c:pt idx="16">
                  <c:v>44639</c:v>
                </c:pt>
                <c:pt idx="17">
                  <c:v>44641</c:v>
                </c:pt>
                <c:pt idx="18">
                  <c:v>44643</c:v>
                </c:pt>
                <c:pt idx="19">
                  <c:v>44645</c:v>
                </c:pt>
                <c:pt idx="20">
                  <c:v>44647</c:v>
                </c:pt>
              </c:numCache>
            </c:numRef>
          </c:cat>
          <c:val>
            <c:numRef>
              <c:f>'zk79+433'!$AG$6:$AG$31</c:f>
              <c:numCache>
                <c:formatCode>0.0_ </c:formatCode>
                <c:ptCount val="2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20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36</c:v>
                </c:pt>
                <c:pt idx="8">
                  <c:v>40</c:v>
                </c:pt>
                <c:pt idx="9">
                  <c:v>44</c:v>
                </c:pt>
                <c:pt idx="10">
                  <c:v>48</c:v>
                </c:pt>
                <c:pt idx="11">
                  <c:v>52</c:v>
                </c:pt>
                <c:pt idx="12">
                  <c:v>56</c:v>
                </c:pt>
                <c:pt idx="13">
                  <c:v>62</c:v>
                </c:pt>
                <c:pt idx="14">
                  <c:v>68</c:v>
                </c:pt>
                <c:pt idx="15">
                  <c:v>74</c:v>
                </c:pt>
                <c:pt idx="16">
                  <c:v>87</c:v>
                </c:pt>
                <c:pt idx="17">
                  <c:v>100</c:v>
                </c:pt>
                <c:pt idx="18">
                  <c:v>113</c:v>
                </c:pt>
                <c:pt idx="19">
                  <c:v>117</c:v>
                </c:pt>
                <c:pt idx="20">
                  <c:v>126</c:v>
                </c:pt>
              </c:numCache>
            </c:numRef>
          </c:val>
        </c:ser>
        <c:dLbls/>
        <c:marker val="1"/>
        <c:axId val="388864256"/>
        <c:axId val="388878336"/>
      </c:lineChart>
      <c:dateAx>
        <c:axId val="3888474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862336"/>
        <c:crossesAt val="-50"/>
        <c:auto val="1"/>
        <c:lblOffset val="100"/>
        <c:baseTimeUnit val="days"/>
        <c:majorUnit val="3"/>
        <c:majorTimeUnit val="days"/>
      </c:dateAx>
      <c:valAx>
        <c:axId val="388862336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847488"/>
        <c:crosses val="autoZero"/>
        <c:crossBetween val="midCat"/>
        <c:majorUnit val="1.6"/>
        <c:minorUnit val="0.5"/>
      </c:valAx>
      <c:dateAx>
        <c:axId val="38886425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8878336"/>
        <c:crosses val="autoZero"/>
        <c:auto val="1"/>
        <c:lblOffset val="100"/>
        <c:baseTimeUnit val="days"/>
      </c:dateAx>
      <c:valAx>
        <c:axId val="38887833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86425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9+466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'zk79+466'!$U$4:$W$4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'zk79+466'!$S$6:$S$27</c:f>
              <c:numCache>
                <c:formatCode>m"月"d"日";@</c:formatCode>
                <c:ptCount val="22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-1.1999999999989801</c:v>
                </c:pt>
                <c:pt idx="7">
                  <c:v>-1.39999999999851</c:v>
                </c:pt>
                <c:pt idx="8">
                  <c:v>-1.6999999999995901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-2.1999999999984299</c:v>
                </c:pt>
                <c:pt idx="12">
                  <c:v>-2.3999999999997401</c:v>
                </c:pt>
                <c:pt idx="13">
                  <c:v>-2.2999999999999701</c:v>
                </c:pt>
                <c:pt idx="14">
                  <c:v>-2.7999999999987999</c:v>
                </c:pt>
                <c:pt idx="15">
                  <c:v>-3.0000000000001101</c:v>
                </c:pt>
                <c:pt idx="16">
                  <c:v>-2.8999999999985699</c:v>
                </c:pt>
                <c:pt idx="17">
                  <c:v>-0.70000000000014495</c:v>
                </c:pt>
              </c:numCache>
            </c:numRef>
          </c:val>
        </c:ser>
        <c:ser>
          <c:idx val="1"/>
          <c:order val="1"/>
          <c:tx>
            <c:strRef>
              <c:f>'zk79+466'!$Y$4:$AA$4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'zk79+466'!$S$6:$S$27</c:f>
              <c:numCache>
                <c:formatCode>m"月"d"日";@</c:formatCode>
                <c:ptCount val="22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'zk79+466'!$Z$6:$Z$33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-0.20000000000130999</c:v>
                </c:pt>
                <c:pt idx="2">
                  <c:v>-0.30000000000107702</c:v>
                </c:pt>
                <c:pt idx="3">
                  <c:v>-0.40000000000084401</c:v>
                </c:pt>
                <c:pt idx="4">
                  <c:v>-0.70000000000014495</c:v>
                </c:pt>
                <c:pt idx="5">
                  <c:v>-0.60000000000037801</c:v>
                </c:pt>
                <c:pt idx="6">
                  <c:v>-0.70000000000014495</c:v>
                </c:pt>
                <c:pt idx="7">
                  <c:v>-0.90000000000145497</c:v>
                </c:pt>
                <c:pt idx="8">
                  <c:v>-0.90000000000145497</c:v>
                </c:pt>
                <c:pt idx="9">
                  <c:v>-1.0000000000012199</c:v>
                </c:pt>
                <c:pt idx="10">
                  <c:v>-1.20000000000076</c:v>
                </c:pt>
                <c:pt idx="11">
                  <c:v>-1.10000000000099</c:v>
                </c:pt>
                <c:pt idx="12">
                  <c:v>-1.6000000000015999</c:v>
                </c:pt>
                <c:pt idx="13">
                  <c:v>-1.50000000000006</c:v>
                </c:pt>
                <c:pt idx="14">
                  <c:v>-2.0000000000006701</c:v>
                </c:pt>
                <c:pt idx="15">
                  <c:v>-2.0000000000006701</c:v>
                </c:pt>
                <c:pt idx="16">
                  <c:v>-1.9000000000009001</c:v>
                </c:pt>
                <c:pt idx="17">
                  <c:v>-2.10000000000043</c:v>
                </c:pt>
              </c:numCache>
            </c:numRef>
          </c:val>
        </c:ser>
        <c:ser>
          <c:idx val="2"/>
          <c:order val="2"/>
          <c:tx>
            <c:strRef>
              <c:f>'zk79+466'!$AC$4:$AE$4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'zk79+466'!$S$6:$S$27</c:f>
              <c:numCache>
                <c:formatCode>m"月"d"日";@</c:formatCode>
                <c:ptCount val="22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-9.99999999997669E-2</c:v>
                </c:pt>
                <c:pt idx="2">
                  <c:v>0.40000000000084401</c:v>
                </c:pt>
                <c:pt idx="3">
                  <c:v>-0.19999999999953399</c:v>
                </c:pt>
                <c:pt idx="4">
                  <c:v>-0.39999999999906799</c:v>
                </c:pt>
                <c:pt idx="5">
                  <c:v>-0.60000000000037801</c:v>
                </c:pt>
                <c:pt idx="6">
                  <c:v>-0.70000000000014495</c:v>
                </c:pt>
                <c:pt idx="7">
                  <c:v>-0.999999999999446</c:v>
                </c:pt>
                <c:pt idx="8">
                  <c:v>-1.20000000000076</c:v>
                </c:pt>
                <c:pt idx="9">
                  <c:v>-1.0999999999992101</c:v>
                </c:pt>
                <c:pt idx="10">
                  <c:v>-1.3000000000005201</c:v>
                </c:pt>
                <c:pt idx="11">
                  <c:v>-1.50000000000006</c:v>
                </c:pt>
                <c:pt idx="12">
                  <c:v>-1.59999999999982</c:v>
                </c:pt>
                <c:pt idx="13">
                  <c:v>-1.8999999999991199</c:v>
                </c:pt>
                <c:pt idx="14">
                  <c:v>-2.1000000000093202</c:v>
                </c:pt>
                <c:pt idx="15">
                  <c:v>-2.0000000000006701</c:v>
                </c:pt>
                <c:pt idx="16">
                  <c:v>-2.10000000000043</c:v>
                </c:pt>
              </c:numCache>
            </c:numRef>
          </c:val>
        </c:ser>
        <c:dLbls/>
        <c:marker val="1"/>
        <c:axId val="388946176"/>
        <c:axId val="388961024"/>
      </c:lineChart>
      <c:lineChart>
        <c:grouping val="standard"/>
        <c:ser>
          <c:idx val="3"/>
          <c:order val="3"/>
          <c:tx>
            <c:strRef>
              <c:f>'zk79+466'!$AG$3:$AG$5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'zk79+466'!$S$6:$S$27</c:f>
              <c:numCache>
                <c:formatCode>m"月"d"日";@</c:formatCode>
                <c:ptCount val="22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'zk79+466'!$AG$6:$AG$22</c:f>
              <c:numCache>
                <c:formatCode>0.0_ </c:formatCode>
                <c:ptCount val="17"/>
                <c:pt idx="0">
                  <c:v>5</c:v>
                </c:pt>
                <c:pt idx="1">
                  <c:v>11</c:v>
                </c:pt>
                <c:pt idx="2">
                  <c:v>17</c:v>
                </c:pt>
                <c:pt idx="3">
                  <c:v>23</c:v>
                </c:pt>
                <c:pt idx="4">
                  <c:v>29</c:v>
                </c:pt>
                <c:pt idx="5">
                  <c:v>35</c:v>
                </c:pt>
                <c:pt idx="6">
                  <c:v>41</c:v>
                </c:pt>
                <c:pt idx="7">
                  <c:v>48</c:v>
                </c:pt>
                <c:pt idx="8">
                  <c:v>51</c:v>
                </c:pt>
                <c:pt idx="9">
                  <c:v>54</c:v>
                </c:pt>
                <c:pt idx="10">
                  <c:v>58</c:v>
                </c:pt>
                <c:pt idx="11">
                  <c:v>62</c:v>
                </c:pt>
                <c:pt idx="12">
                  <c:v>66</c:v>
                </c:pt>
                <c:pt idx="13">
                  <c:v>70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</c:numCache>
            </c:numRef>
          </c:val>
        </c:ser>
        <c:dLbls/>
        <c:marker val="1"/>
        <c:axId val="388962944"/>
        <c:axId val="388972928"/>
      </c:lineChart>
      <c:dateAx>
        <c:axId val="388946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961024"/>
        <c:crossesAt val="-50"/>
        <c:auto val="1"/>
        <c:lblOffset val="100"/>
        <c:baseTimeUnit val="days"/>
      </c:dateAx>
      <c:valAx>
        <c:axId val="38896102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946176"/>
        <c:crosses val="autoZero"/>
        <c:crossBetween val="midCat"/>
        <c:majorUnit val="1"/>
        <c:minorUnit val="0.1"/>
      </c:valAx>
      <c:dateAx>
        <c:axId val="38896294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8972928"/>
        <c:crosses val="autoZero"/>
        <c:auto val="1"/>
        <c:lblOffset val="100"/>
        <c:baseTimeUnit val="days"/>
      </c:dateAx>
      <c:valAx>
        <c:axId val="38897292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896294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466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'zk79+466'!$C$4:$G$4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'zk79+466'!$A$6:$A$38</c:f>
              <c:numCache>
                <c:formatCode>m"月"d"日";@</c:formatCode>
                <c:ptCount val="33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'zk79+466'!$G$6:$G$34</c:f>
              <c:numCache>
                <c:formatCode>0.00_ </c:formatCode>
                <c:ptCount val="29"/>
                <c:pt idx="0">
                  <c:v>0</c:v>
                </c:pt>
                <c:pt idx="1">
                  <c:v>0.10000000008858501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-0.40000000001327901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-0.20000000006348301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-0.40000000001327901</c:v>
                </c:pt>
                <c:pt idx="13">
                  <c:v>-0.30000000003838101</c:v>
                </c:pt>
                <c:pt idx="14">
                  <c:v>-0.199999999949796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-1.4999999999645299</c:v>
                </c:pt>
              </c:numCache>
            </c:numRef>
          </c:val>
        </c:ser>
        <c:ser>
          <c:idx val="1"/>
          <c:order val="1"/>
          <c:tx>
            <c:strRef>
              <c:f>'zk79+466'!$H$4:$L$4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'zk79+466'!$A$6:$A$38</c:f>
              <c:numCache>
                <c:formatCode>m"月"d"日";@</c:formatCode>
                <c:ptCount val="33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0.10000000008858501</c:v>
                </c:pt>
                <c:pt idx="5">
                  <c:v>-0.49999999998817701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0.30000000003838101</c:v>
                </c:pt>
                <c:pt idx="13">
                  <c:v>-0.70000000005165897</c:v>
                </c:pt>
                <c:pt idx="14">
                  <c:v>-0.199999999949796</c:v>
                </c:pt>
                <c:pt idx="15">
                  <c:v>4.9999999987449001E-2</c:v>
                </c:pt>
                <c:pt idx="16">
                  <c:v>-0.24999999999408801</c:v>
                </c:pt>
              </c:numCache>
            </c:numRef>
          </c:val>
        </c:ser>
        <c:ser>
          <c:idx val="2"/>
          <c:order val="2"/>
          <c:tx>
            <c:strRef>
              <c:f>'zk79+466'!$M$4:$Q$4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'zk79+466'!$A$6:$A$38</c:f>
              <c:numCache>
                <c:formatCode>m"月"d"日";@</c:formatCode>
                <c:ptCount val="33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'zk79+466'!$Q$6:$Q$31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-0.30000000003838101</c:v>
                </c:pt>
                <c:pt idx="12">
                  <c:v>0.10000000008858501</c:v>
                </c:pt>
                <c:pt idx="13">
                  <c:v>-0.70000000005165897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-9.9999999974897905E-2</c:v>
                </c:pt>
              </c:numCache>
            </c:numRef>
          </c:val>
        </c:ser>
        <c:dLbls/>
        <c:marker val="1"/>
        <c:axId val="389013888"/>
        <c:axId val="389016192"/>
      </c:lineChart>
      <c:dateAx>
        <c:axId val="3890138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016192"/>
        <c:crossesAt val="-50"/>
        <c:auto val="1"/>
        <c:lblOffset val="100"/>
        <c:baseTimeUnit val="days"/>
      </c:dateAx>
      <c:valAx>
        <c:axId val="38901619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0138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2817847769028898"/>
          <c:y val="9.5727635956333726E-2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9+466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'zk79+466'!$U$4:$W$4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'zk79+466'!$S$6:$S$41</c:f>
              <c:numCache>
                <c:formatCode>m"月"d"日";@</c:formatCode>
                <c:ptCount val="36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0.49999999999883499</c:v>
                </c:pt>
                <c:pt idx="4">
                  <c:v>0.20000000000130999</c:v>
                </c:pt>
                <c:pt idx="5">
                  <c:v>-9.99999999997669E-2</c:v>
                </c:pt>
                <c:pt idx="6">
                  <c:v>0.49999999999883499</c:v>
                </c:pt>
                <c:pt idx="7">
                  <c:v>0.19999999999953399</c:v>
                </c:pt>
                <c:pt idx="8">
                  <c:v>0.30000000000107702</c:v>
                </c:pt>
                <c:pt idx="9">
                  <c:v>9.99999999997669E-2</c:v>
                </c:pt>
                <c:pt idx="10">
                  <c:v>0.19999999999953399</c:v>
                </c:pt>
                <c:pt idx="11">
                  <c:v>0.19999999999953399</c:v>
                </c:pt>
                <c:pt idx="12">
                  <c:v>0.20000000000130999</c:v>
                </c:pt>
                <c:pt idx="13">
                  <c:v>-9.99999999997669E-2</c:v>
                </c:pt>
                <c:pt idx="14">
                  <c:v>0.49999999999883499</c:v>
                </c:pt>
                <c:pt idx="15">
                  <c:v>0.100000000000655</c:v>
                </c:pt>
                <c:pt idx="16">
                  <c:v>-5.0000000000771601E-2</c:v>
                </c:pt>
                <c:pt idx="17">
                  <c:v>-0.799999999999912</c:v>
                </c:pt>
              </c:numCache>
            </c:numRef>
          </c:val>
        </c:ser>
        <c:ser>
          <c:idx val="1"/>
          <c:order val="1"/>
          <c:tx>
            <c:strRef>
              <c:f>'zk79+466'!$Y$4:$AA$4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'zk79+466'!$S$6:$S$41</c:f>
              <c:numCache>
                <c:formatCode>m"月"d"日";@</c:formatCode>
                <c:ptCount val="36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9.99999999997669E-2</c:v>
                </c:pt>
                <c:pt idx="6">
                  <c:v>-9.99999999997669E-2</c:v>
                </c:pt>
                <c:pt idx="7">
                  <c:v>-0.20000000000130999</c:v>
                </c:pt>
                <c:pt idx="8">
                  <c:v>0</c:v>
                </c:pt>
                <c:pt idx="9">
                  <c:v>-9.99999999997669E-2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0.10000000000154299</c:v>
                </c:pt>
                <c:pt idx="14">
                  <c:v>-0.50000000000061096</c:v>
                </c:pt>
                <c:pt idx="15">
                  <c:v>0</c:v>
                </c:pt>
                <c:pt idx="16">
                  <c:v>4.9999999999883499E-2</c:v>
                </c:pt>
                <c:pt idx="17">
                  <c:v>-8.7500000000018105E-2</c:v>
                </c:pt>
              </c:numCache>
            </c:numRef>
          </c:val>
        </c:ser>
        <c:ser>
          <c:idx val="2"/>
          <c:order val="2"/>
          <c:tx>
            <c:strRef>
              <c:f>'zk79+466'!$AC$4:$AE$4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'zk79+466'!$S$6:$S$41</c:f>
              <c:numCache>
                <c:formatCode>m"月"d"日";@</c:formatCode>
                <c:ptCount val="36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-9.99999999997669E-2</c:v>
                </c:pt>
                <c:pt idx="2">
                  <c:v>0.50000000000061096</c:v>
                </c:pt>
                <c:pt idx="3">
                  <c:v>-0.60000000000037801</c:v>
                </c:pt>
                <c:pt idx="4">
                  <c:v>-0.19999999999953399</c:v>
                </c:pt>
                <c:pt idx="5">
                  <c:v>-0.20000000000130999</c:v>
                </c:pt>
                <c:pt idx="6">
                  <c:v>-9.99999999997669E-2</c:v>
                </c:pt>
                <c:pt idx="7">
                  <c:v>-0.29999999999930099</c:v>
                </c:pt>
                <c:pt idx="8">
                  <c:v>-0.20000000000130999</c:v>
                </c:pt>
                <c:pt idx="9">
                  <c:v>0.10000000000154299</c:v>
                </c:pt>
                <c:pt idx="10">
                  <c:v>-0.20000000000130999</c:v>
                </c:pt>
                <c:pt idx="11">
                  <c:v>-0.19999999999953399</c:v>
                </c:pt>
                <c:pt idx="12">
                  <c:v>-9.99999999997669E-2</c:v>
                </c:pt>
                <c:pt idx="13">
                  <c:v>-0.29999999999930099</c:v>
                </c:pt>
                <c:pt idx="14">
                  <c:v>-0.200000000010192</c:v>
                </c:pt>
                <c:pt idx="15">
                  <c:v>5.0000000004324398E-2</c:v>
                </c:pt>
                <c:pt idx="16">
                  <c:v>-4.9999999999883499E-2</c:v>
                </c:pt>
              </c:numCache>
            </c:numRef>
          </c:val>
        </c:ser>
        <c:dLbls/>
        <c:marker val="1"/>
        <c:axId val="389141632"/>
        <c:axId val="389143936"/>
      </c:lineChart>
      <c:dateAx>
        <c:axId val="3891416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143936"/>
        <c:crossesAt val="-50"/>
        <c:auto val="1"/>
        <c:lblOffset val="100"/>
        <c:baseTimeUnit val="days"/>
      </c:dateAx>
      <c:valAx>
        <c:axId val="38914393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14163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466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'zk79+466'!$C$4:$G$4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'zk79+466'!$A$6:$A$34</c:f>
              <c:numCache>
                <c:formatCode>m"月"d"日";@</c:formatCode>
                <c:ptCount val="29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'zk79+466'!$F$6:$F$29</c:f>
              <c:numCache>
                <c:formatCode>0.00_ </c:formatCode>
                <c:ptCount val="24"/>
                <c:pt idx="0">
                  <c:v>0</c:v>
                </c:pt>
                <c:pt idx="1">
                  <c:v>0.10000000008858501</c:v>
                </c:pt>
                <c:pt idx="2">
                  <c:v>-0.39999999989959201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-1.1999999999261499</c:v>
                </c:pt>
                <c:pt idx="6">
                  <c:v>-1.39999999998963</c:v>
                </c:pt>
                <c:pt idx="7">
                  <c:v>-1.5999999999394301</c:v>
                </c:pt>
                <c:pt idx="8">
                  <c:v>-1.69999999991433</c:v>
                </c:pt>
                <c:pt idx="9">
                  <c:v>-1.8999999999778101</c:v>
                </c:pt>
                <c:pt idx="10">
                  <c:v>-2.0999999999275998</c:v>
                </c:pt>
                <c:pt idx="11">
                  <c:v>-1.9999999999527101</c:v>
                </c:pt>
                <c:pt idx="12">
                  <c:v>-2.39999999996598</c:v>
                </c:pt>
                <c:pt idx="13">
                  <c:v>-2.70000000000437</c:v>
                </c:pt>
                <c:pt idx="14">
                  <c:v>-2.8999999999541601</c:v>
                </c:pt>
                <c:pt idx="15">
                  <c:v>-3.09999999990396</c:v>
                </c:pt>
                <c:pt idx="16">
                  <c:v>-2.9999999999290599</c:v>
                </c:pt>
                <c:pt idx="17">
                  <c:v>-1.1999999999261499</c:v>
                </c:pt>
              </c:numCache>
            </c:numRef>
          </c:val>
        </c:ser>
        <c:ser>
          <c:idx val="1"/>
          <c:order val="1"/>
          <c:tx>
            <c:strRef>
              <c:f>'zk79+466'!$H$4:$L$4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'zk79+466'!$A$6:$A$34</c:f>
              <c:numCache>
                <c:formatCode>m"月"d"日";@</c:formatCode>
                <c:ptCount val="29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-0.30000000003838101</c:v>
                </c:pt>
                <c:pt idx="3">
                  <c:v>-0.60000000007676102</c:v>
                </c:pt>
                <c:pt idx="4">
                  <c:v>-0.49999999998817701</c:v>
                </c:pt>
                <c:pt idx="5">
                  <c:v>-0.99999999997635303</c:v>
                </c:pt>
                <c:pt idx="6">
                  <c:v>-1.2000000000398401</c:v>
                </c:pt>
                <c:pt idx="7">
                  <c:v>-1.1000000000649399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-1.8999999999778101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-2.70000000000437</c:v>
                </c:pt>
                <c:pt idx="16">
                  <c:v>-3.1999999999925399</c:v>
                </c:pt>
                <c:pt idx="17">
                  <c:v>-0.14999999999076899</c:v>
                </c:pt>
              </c:numCache>
            </c:numRef>
          </c:val>
        </c:ser>
        <c:ser>
          <c:idx val="2"/>
          <c:order val="2"/>
          <c:tx>
            <c:strRef>
              <c:f>'zk79+466'!$M$4:$Q$4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'zk79+466'!$A$6:$A$34</c:f>
              <c:numCache>
                <c:formatCode>m"月"d"日";@</c:formatCode>
                <c:ptCount val="29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'zk79+466'!$P$6:$P$28</c:f>
              <c:numCache>
                <c:formatCode>0.00_ </c:formatCode>
                <c:ptCount val="23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-0.80000000002655702</c:v>
                </c:pt>
                <c:pt idx="6">
                  <c:v>-0.70000000005165897</c:v>
                </c:pt>
                <c:pt idx="7">
                  <c:v>-1.2000000000398401</c:v>
                </c:pt>
                <c:pt idx="8">
                  <c:v>-1.39999999998963</c:v>
                </c:pt>
                <c:pt idx="9">
                  <c:v>-1.4999999999645299</c:v>
                </c:pt>
                <c:pt idx="10">
                  <c:v>-1.8000000000029099</c:v>
                </c:pt>
                <c:pt idx="11">
                  <c:v>-2.1000000000412902</c:v>
                </c:pt>
                <c:pt idx="12">
                  <c:v>-1.9999999999527101</c:v>
                </c:pt>
                <c:pt idx="13">
                  <c:v>-2.70000000000437</c:v>
                </c:pt>
                <c:pt idx="14">
                  <c:v>-3.0000000000427498</c:v>
                </c:pt>
                <c:pt idx="15">
                  <c:v>-3.1000000000176402</c:v>
                </c:pt>
                <c:pt idx="16">
                  <c:v>-3.2999999999674401</c:v>
                </c:pt>
              </c:numCache>
            </c:numRef>
          </c:val>
        </c:ser>
        <c:dLbls/>
        <c:marker val="1"/>
        <c:axId val="389293568"/>
        <c:axId val="389304320"/>
      </c:lineChart>
      <c:lineChart>
        <c:grouping val="standard"/>
        <c:ser>
          <c:idx val="3"/>
          <c:order val="3"/>
          <c:tx>
            <c:strRef>
              <c:f>'zk79+466'!$AG$3:$AG$5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'zk79+466'!$A$6:$A$34</c:f>
              <c:numCache>
                <c:formatCode>m"月"d"日";@</c:formatCode>
                <c:ptCount val="29"/>
                <c:pt idx="0">
                  <c:v>44630</c:v>
                </c:pt>
                <c:pt idx="1">
                  <c:v>44631</c:v>
                </c:pt>
                <c:pt idx="2">
                  <c:v>44632</c:v>
                </c:pt>
                <c:pt idx="3">
                  <c:v>44633</c:v>
                </c:pt>
                <c:pt idx="4">
                  <c:v>44634</c:v>
                </c:pt>
                <c:pt idx="5">
                  <c:v>44635</c:v>
                </c:pt>
                <c:pt idx="6">
                  <c:v>44636</c:v>
                </c:pt>
                <c:pt idx="7">
                  <c:v>44637</c:v>
                </c:pt>
                <c:pt idx="8">
                  <c:v>44638</c:v>
                </c:pt>
                <c:pt idx="9">
                  <c:v>44639</c:v>
                </c:pt>
                <c:pt idx="10">
                  <c:v>44640</c:v>
                </c:pt>
                <c:pt idx="11">
                  <c:v>44641</c:v>
                </c:pt>
                <c:pt idx="12">
                  <c:v>44642</c:v>
                </c:pt>
                <c:pt idx="13">
                  <c:v>44643</c:v>
                </c:pt>
                <c:pt idx="14">
                  <c:v>44644</c:v>
                </c:pt>
                <c:pt idx="15">
                  <c:v>44646</c:v>
                </c:pt>
                <c:pt idx="16">
                  <c:v>44648</c:v>
                </c:pt>
              </c:numCache>
            </c:numRef>
          </c:cat>
          <c:val>
            <c:numRef>
              <c:f>'zk79+466'!$AG$6:$AG$22</c:f>
              <c:numCache>
                <c:formatCode>0.0_ </c:formatCode>
                <c:ptCount val="17"/>
                <c:pt idx="0">
                  <c:v>5</c:v>
                </c:pt>
                <c:pt idx="1">
                  <c:v>11</c:v>
                </c:pt>
                <c:pt idx="2">
                  <c:v>17</c:v>
                </c:pt>
                <c:pt idx="3">
                  <c:v>23</c:v>
                </c:pt>
                <c:pt idx="4">
                  <c:v>29</c:v>
                </c:pt>
                <c:pt idx="5">
                  <c:v>35</c:v>
                </c:pt>
                <c:pt idx="6">
                  <c:v>41</c:v>
                </c:pt>
                <c:pt idx="7">
                  <c:v>48</c:v>
                </c:pt>
                <c:pt idx="8">
                  <c:v>51</c:v>
                </c:pt>
                <c:pt idx="9">
                  <c:v>54</c:v>
                </c:pt>
                <c:pt idx="10">
                  <c:v>58</c:v>
                </c:pt>
                <c:pt idx="11">
                  <c:v>62</c:v>
                </c:pt>
                <c:pt idx="12">
                  <c:v>66</c:v>
                </c:pt>
                <c:pt idx="13">
                  <c:v>70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</c:numCache>
            </c:numRef>
          </c:val>
        </c:ser>
        <c:dLbls/>
        <c:marker val="1"/>
        <c:axId val="389306240"/>
        <c:axId val="389307776"/>
      </c:lineChart>
      <c:dateAx>
        <c:axId val="3892935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304320"/>
        <c:crossesAt val="-50"/>
        <c:auto val="1"/>
        <c:lblOffset val="100"/>
        <c:baseTimeUnit val="days"/>
      </c:dateAx>
      <c:valAx>
        <c:axId val="38930432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293568"/>
        <c:crosses val="autoZero"/>
        <c:crossBetween val="midCat"/>
        <c:majorUnit val="1"/>
        <c:minorUnit val="0.5"/>
      </c:valAx>
      <c:dateAx>
        <c:axId val="3893062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9307776"/>
        <c:crosses val="autoZero"/>
        <c:auto val="1"/>
        <c:lblOffset val="100"/>
        <c:baseTimeUnit val="days"/>
      </c:dateAx>
      <c:valAx>
        <c:axId val="38930777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30624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'zk79+500'!$U$4:$W$4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'zk79+500'!$S$6:$S$27</c:f>
              <c:numCache>
                <c:formatCode>m"月"d"日";@</c:formatCode>
                <c:ptCount val="22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'zk79+500'!$V$6:$V$32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-0.20000000000130999</c:v>
                </c:pt>
                <c:pt idx="3">
                  <c:v>-0.70000000000014495</c:v>
                </c:pt>
                <c:pt idx="4">
                  <c:v>-1.3000000000005201</c:v>
                </c:pt>
                <c:pt idx="5">
                  <c:v>-1.20000000000076</c:v>
                </c:pt>
                <c:pt idx="6">
                  <c:v>-1.10000000000099</c:v>
                </c:pt>
                <c:pt idx="7">
                  <c:v>-1.3000000000005201</c:v>
                </c:pt>
                <c:pt idx="8">
                  <c:v>-1.50000000000006</c:v>
                </c:pt>
                <c:pt idx="9">
                  <c:v>-1.4000000000002899</c:v>
                </c:pt>
                <c:pt idx="10">
                  <c:v>-1.9000000000009001</c:v>
                </c:pt>
                <c:pt idx="11">
                  <c:v>-2.10000000000043</c:v>
                </c:pt>
                <c:pt idx="12">
                  <c:v>-2.2999999999999701</c:v>
                </c:pt>
                <c:pt idx="13">
                  <c:v>-2.5000000000012799</c:v>
                </c:pt>
                <c:pt idx="14">
                  <c:v>-2.4000000000015098</c:v>
                </c:pt>
                <c:pt idx="15">
                  <c:v>-2.9000000000003499</c:v>
                </c:pt>
                <c:pt idx="16">
                  <c:v>-3.1000000000016601</c:v>
                </c:pt>
                <c:pt idx="17">
                  <c:v>-3.0000000000001101</c:v>
                </c:pt>
                <c:pt idx="18">
                  <c:v>-2.10000000000043</c:v>
                </c:pt>
              </c:numCache>
            </c:numRef>
          </c:val>
        </c:ser>
        <c:ser>
          <c:idx val="1"/>
          <c:order val="1"/>
          <c:tx>
            <c:strRef>
              <c:f>'zk79+500'!$Y$4:$AA$4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'zk79+500'!$S$6:$S$27</c:f>
              <c:numCache>
                <c:formatCode>m"月"d"日";@</c:formatCode>
                <c:ptCount val="22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'zk79+500'!$Z$6:$Z$33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-0.50000000000061096</c:v>
                </c:pt>
                <c:pt idx="3">
                  <c:v>-0.30000000000107702</c:v>
                </c:pt>
                <c:pt idx="4">
                  <c:v>-0.70000000000014495</c:v>
                </c:pt>
                <c:pt idx="5">
                  <c:v>-0.89999999999967895</c:v>
                </c:pt>
                <c:pt idx="6">
                  <c:v>-1.10000000000099</c:v>
                </c:pt>
                <c:pt idx="7">
                  <c:v>-1.20000000000076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-1.9000000000009001</c:v>
                </c:pt>
                <c:pt idx="11">
                  <c:v>-1.80000000000113</c:v>
                </c:pt>
                <c:pt idx="12">
                  <c:v>-2.2999999999999701</c:v>
                </c:pt>
                <c:pt idx="13">
                  <c:v>-2.5000000000012799</c:v>
                </c:pt>
                <c:pt idx="14">
                  <c:v>-2.6000000000010499</c:v>
                </c:pt>
                <c:pt idx="15">
                  <c:v>-2.9000000000003499</c:v>
                </c:pt>
                <c:pt idx="16">
                  <c:v>-3.0999999999998802</c:v>
                </c:pt>
                <c:pt idx="17">
                  <c:v>-3.0000000000001101</c:v>
                </c:pt>
                <c:pt idx="18">
                  <c:v>-2.10000000000043</c:v>
                </c:pt>
              </c:numCache>
            </c:numRef>
          </c:val>
        </c:ser>
        <c:ser>
          <c:idx val="2"/>
          <c:order val="2"/>
          <c:tx>
            <c:strRef>
              <c:f>'zk79+500'!$AC$4:$AE$4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'zk79+500'!$S$6:$S$27</c:f>
              <c:numCache>
                <c:formatCode>m"月"d"日";@</c:formatCode>
                <c:ptCount val="22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-0.799999999999912</c:v>
                </c:pt>
                <c:pt idx="4">
                  <c:v>-0.89999999999967895</c:v>
                </c:pt>
                <c:pt idx="5">
                  <c:v>-0.999999999999446</c:v>
                </c:pt>
                <c:pt idx="6">
                  <c:v>-1.1999999999989801</c:v>
                </c:pt>
                <c:pt idx="7">
                  <c:v>-1.1999999999989801</c:v>
                </c:pt>
                <c:pt idx="8">
                  <c:v>-1.3000000000005201</c:v>
                </c:pt>
                <c:pt idx="9">
                  <c:v>-1.4000000000002899</c:v>
                </c:pt>
                <c:pt idx="10">
                  <c:v>-1.6999999999995901</c:v>
                </c:pt>
                <c:pt idx="11">
                  <c:v>-1.59999999999982</c:v>
                </c:pt>
                <c:pt idx="12">
                  <c:v>-1.6999999999995901</c:v>
                </c:pt>
                <c:pt idx="13">
                  <c:v>-1.7999999999993599</c:v>
                </c:pt>
                <c:pt idx="14">
                  <c:v>-1.99999999999889</c:v>
                </c:pt>
                <c:pt idx="15">
                  <c:v>-1.99999999999889</c:v>
                </c:pt>
                <c:pt idx="16">
                  <c:v>-2.10000000000043</c:v>
                </c:pt>
                <c:pt idx="17">
                  <c:v>-2.10000000000043</c:v>
                </c:pt>
              </c:numCache>
            </c:numRef>
          </c:val>
        </c:ser>
        <c:dLbls/>
        <c:marker val="1"/>
        <c:axId val="389428736"/>
        <c:axId val="389443584"/>
      </c:lineChart>
      <c:lineChart>
        <c:grouping val="standard"/>
        <c:ser>
          <c:idx val="3"/>
          <c:order val="3"/>
          <c:tx>
            <c:strRef>
              <c:f>'zk79+500'!$AG$3:$AG$5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'zk79+500'!$S$6:$S$27</c:f>
              <c:numCache>
                <c:formatCode>m"月"d"日";@</c:formatCode>
                <c:ptCount val="22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  <c:pt idx="10">
                  <c:v>44</c:v>
                </c:pt>
                <c:pt idx="11">
                  <c:v>48</c:v>
                </c:pt>
                <c:pt idx="12">
                  <c:v>52</c:v>
                </c:pt>
                <c:pt idx="13">
                  <c:v>56</c:v>
                </c:pt>
                <c:pt idx="14">
                  <c:v>60</c:v>
                </c:pt>
                <c:pt idx="15">
                  <c:v>64</c:v>
                </c:pt>
                <c:pt idx="16">
                  <c:v>68</c:v>
                </c:pt>
                <c:pt idx="17">
                  <c:v>72</c:v>
                </c:pt>
              </c:numCache>
            </c:numRef>
          </c:val>
        </c:ser>
        <c:dLbls/>
        <c:marker val="1"/>
        <c:axId val="389445504"/>
        <c:axId val="389447040"/>
      </c:lineChart>
      <c:dateAx>
        <c:axId val="3894287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443584"/>
        <c:crossesAt val="-50"/>
        <c:auto val="1"/>
        <c:lblOffset val="100"/>
        <c:baseTimeUnit val="days"/>
      </c:dateAx>
      <c:valAx>
        <c:axId val="38944358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428736"/>
        <c:crosses val="autoZero"/>
        <c:crossBetween val="midCat"/>
        <c:majorUnit val="1"/>
        <c:minorUnit val="0.1"/>
      </c:valAx>
      <c:dateAx>
        <c:axId val="3894455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9447040"/>
        <c:crosses val="autoZero"/>
        <c:auto val="1"/>
        <c:lblOffset val="100"/>
        <c:baseTimeUnit val="days"/>
      </c:dateAx>
      <c:valAx>
        <c:axId val="38944704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44550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'zk79+500'!$C$4:$G$4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'zk79+500'!$A$6:$A$38</c:f>
              <c:numCache>
                <c:formatCode>m"月"d"日";@</c:formatCode>
                <c:ptCount val="33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'zk79+500'!$G$6:$G$34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-0.40000000001327901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-0.29999999992469401</c:v>
                </c:pt>
                <c:pt idx="6">
                  <c:v>9.9999999974897905E-2</c:v>
                </c:pt>
                <c:pt idx="7">
                  <c:v>-0.70000000005165897</c:v>
                </c:pt>
                <c:pt idx="8">
                  <c:v>-0.29999999992469401</c:v>
                </c:pt>
                <c:pt idx="9">
                  <c:v>0.29999999992469401</c:v>
                </c:pt>
                <c:pt idx="10">
                  <c:v>-0.90000000000145497</c:v>
                </c:pt>
                <c:pt idx="11">
                  <c:v>-0.29999999992469401</c:v>
                </c:pt>
                <c:pt idx="12">
                  <c:v>0.49999999998817701</c:v>
                </c:pt>
                <c:pt idx="13">
                  <c:v>-0.30000000003838101</c:v>
                </c:pt>
                <c:pt idx="14">
                  <c:v>9.9999999974897905E-2</c:v>
                </c:pt>
                <c:pt idx="15">
                  <c:v>-9.9999999974897905E-2</c:v>
                </c:pt>
                <c:pt idx="16">
                  <c:v>-4.9999999987449001E-2</c:v>
                </c:pt>
                <c:pt idx="17">
                  <c:v>4.9999999987449001E-2</c:v>
                </c:pt>
                <c:pt idx="18">
                  <c:v>-1.00000000009004</c:v>
                </c:pt>
              </c:numCache>
            </c:numRef>
          </c:val>
        </c:ser>
        <c:ser>
          <c:idx val="1"/>
          <c:order val="1"/>
          <c:tx>
            <c:strRef>
              <c:f>'zk79+500'!$H$4:$L$4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'zk79+500'!$A$6:$A$38</c:f>
              <c:numCache>
                <c:formatCode>m"月"d"日";@</c:formatCode>
                <c:ptCount val="33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'zk79+500'!$L$6:$L$35</c:f>
              <c:numCache>
                <c:formatCode>0.00_ </c:formatCode>
                <c:ptCount val="30"/>
                <c:pt idx="0">
                  <c:v>0</c:v>
                </c:pt>
                <c:pt idx="1">
                  <c:v>-0.59999999996307496</c:v>
                </c:pt>
                <c:pt idx="2">
                  <c:v>-0.30000000003838101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9.9999999974897905E-2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-0.10000000008858501</c:v>
                </c:pt>
                <c:pt idx="10">
                  <c:v>-0.199999999949796</c:v>
                </c:pt>
                <c:pt idx="11">
                  <c:v>0</c:v>
                </c:pt>
                <c:pt idx="12">
                  <c:v>-9.9999999974897905E-2</c:v>
                </c:pt>
                <c:pt idx="13">
                  <c:v>-0.20000000006348301</c:v>
                </c:pt>
                <c:pt idx="14">
                  <c:v>0</c:v>
                </c:pt>
                <c:pt idx="15">
                  <c:v>-0.29999999998153698</c:v>
                </c:pt>
                <c:pt idx="16">
                  <c:v>0.20000000000663901</c:v>
                </c:pt>
                <c:pt idx="17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'zk79+500'!$M$4:$Q$4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'zk79+500'!$A$6:$A$38</c:f>
              <c:numCache>
                <c:formatCode>m"月"d"日";@</c:formatCode>
                <c:ptCount val="33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'zk79+500'!$Q$6:$Q$31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0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-0.10000000008858501</c:v>
                </c:pt>
                <c:pt idx="7">
                  <c:v>0.10000000008858501</c:v>
                </c:pt>
                <c:pt idx="8">
                  <c:v>-0.30000000003838101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9.9999999974897905E-2</c:v>
                </c:pt>
                <c:pt idx="12">
                  <c:v>-9.9999999974897905E-2</c:v>
                </c:pt>
                <c:pt idx="13">
                  <c:v>-9.9999999974897905E-2</c:v>
                </c:pt>
                <c:pt idx="14">
                  <c:v>0.199999999949796</c:v>
                </c:pt>
                <c:pt idx="15">
                  <c:v>-0.20000000000663901</c:v>
                </c:pt>
                <c:pt idx="16">
                  <c:v>-4.9999999987449001E-2</c:v>
                </c:pt>
                <c:pt idx="17">
                  <c:v>4.9999999987449001E-2</c:v>
                </c:pt>
              </c:numCache>
            </c:numRef>
          </c:val>
        </c:ser>
        <c:dLbls/>
        <c:marker val="1"/>
        <c:axId val="389500928"/>
        <c:axId val="389503232"/>
      </c:lineChart>
      <c:dateAx>
        <c:axId val="3895009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503232"/>
        <c:crossesAt val="-50"/>
        <c:auto val="1"/>
        <c:lblOffset val="100"/>
        <c:baseTimeUnit val="days"/>
      </c:dateAx>
      <c:valAx>
        <c:axId val="38950323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5009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'zk79+500'!$S$6:$S$41</c:f>
              <c:numCache>
                <c:formatCode>m"月"d"日";@</c:formatCode>
                <c:ptCount val="36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'zk79+500'!$W$6:$W$32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-9.99999999997669E-2</c:v>
                </c:pt>
                <c:pt idx="3">
                  <c:v>0.49999999999883499</c:v>
                </c:pt>
                <c:pt idx="4">
                  <c:v>0.60000000000037801</c:v>
                </c:pt>
                <c:pt idx="5">
                  <c:v>-9.99999999997669E-2</c:v>
                </c:pt>
                <c:pt idx="6">
                  <c:v>-9.99999999997669E-2</c:v>
                </c:pt>
                <c:pt idx="7">
                  <c:v>0.19999999999953399</c:v>
                </c:pt>
                <c:pt idx="8">
                  <c:v>0.19999999999953399</c:v>
                </c:pt>
                <c:pt idx="9">
                  <c:v>-9.99999999997669E-2</c:v>
                </c:pt>
                <c:pt idx="10">
                  <c:v>0.50000000000061096</c:v>
                </c:pt>
                <c:pt idx="11">
                  <c:v>0.19999999999953399</c:v>
                </c:pt>
                <c:pt idx="12">
                  <c:v>0.19999999999953399</c:v>
                </c:pt>
                <c:pt idx="13">
                  <c:v>0.20000000000130999</c:v>
                </c:pt>
                <c:pt idx="14">
                  <c:v>-9.99999999997669E-2</c:v>
                </c:pt>
                <c:pt idx="15">
                  <c:v>0.24999999999941699</c:v>
                </c:pt>
                <c:pt idx="16">
                  <c:v>0.100000000000655</c:v>
                </c:pt>
                <c:pt idx="17">
                  <c:v>-5.0000000000771601E-2</c:v>
                </c:pt>
                <c:pt idx="18">
                  <c:v>-1.10000000000099</c:v>
                </c:pt>
              </c:numCache>
            </c:numRef>
          </c:val>
        </c:ser>
        <c:ser>
          <c:idx val="1"/>
          <c:order val="1"/>
          <c:tx>
            <c:strRef>
              <c:f>'zk79+500'!$Y$4:$AA$4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'zk79+500'!$S$6:$S$41</c:f>
              <c:numCache>
                <c:formatCode>m"月"d"日";@</c:formatCode>
                <c:ptCount val="36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'zk79+500'!$AA$6:$AA$31</c:f>
              <c:numCache>
                <c:formatCode>0.00_ </c:formatCode>
                <c:ptCount val="26"/>
                <c:pt idx="0">
                  <c:v>0</c:v>
                </c:pt>
                <c:pt idx="1">
                  <c:v>0.19999999999953399</c:v>
                </c:pt>
                <c:pt idx="2">
                  <c:v>-0.70000000000014495</c:v>
                </c:pt>
                <c:pt idx="3">
                  <c:v>0.19999999999953399</c:v>
                </c:pt>
                <c:pt idx="4">
                  <c:v>-0.39999999999906799</c:v>
                </c:pt>
                <c:pt idx="5">
                  <c:v>-0.19999999999953399</c:v>
                </c:pt>
                <c:pt idx="6">
                  <c:v>-0.20000000000130999</c:v>
                </c:pt>
                <c:pt idx="7">
                  <c:v>-9.99999999997669E-2</c:v>
                </c:pt>
                <c:pt idx="8">
                  <c:v>-0.29999999999930099</c:v>
                </c:pt>
                <c:pt idx="9">
                  <c:v>-0.19999999999953399</c:v>
                </c:pt>
                <c:pt idx="10">
                  <c:v>-0.20000000000130999</c:v>
                </c:pt>
                <c:pt idx="11">
                  <c:v>9.99999999997669E-2</c:v>
                </c:pt>
                <c:pt idx="12">
                  <c:v>-0.49999999999883499</c:v>
                </c:pt>
                <c:pt idx="13">
                  <c:v>-0.20000000000130999</c:v>
                </c:pt>
                <c:pt idx="14">
                  <c:v>-9.99999999997669E-2</c:v>
                </c:pt>
                <c:pt idx="15">
                  <c:v>-0.14999999999965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-0.14000000000002899</c:v>
                </c:pt>
              </c:numCache>
            </c:numRef>
          </c:val>
        </c:ser>
        <c:ser>
          <c:idx val="2"/>
          <c:order val="2"/>
          <c:tx>
            <c:strRef>
              <c:f>'zk79+500'!$AC$4:$AE$4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'zk79+500'!$S$6:$S$41</c:f>
              <c:numCache>
                <c:formatCode>m"月"d"日";@</c:formatCode>
                <c:ptCount val="36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-0.40000000000084401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-0.19999999999953399</c:v>
                </c:pt>
                <c:pt idx="7">
                  <c:v>0</c:v>
                </c:pt>
                <c:pt idx="8">
                  <c:v>-0.10000000000154299</c:v>
                </c:pt>
                <c:pt idx="9">
                  <c:v>-9.99999999997669E-2</c:v>
                </c:pt>
                <c:pt idx="10">
                  <c:v>-0.29999999999930099</c:v>
                </c:pt>
                <c:pt idx="11">
                  <c:v>9.99999999997669E-2</c:v>
                </c:pt>
                <c:pt idx="12">
                  <c:v>-9.99999999997669E-2</c:v>
                </c:pt>
                <c:pt idx="13">
                  <c:v>-9.99999999997669E-2</c:v>
                </c:pt>
                <c:pt idx="14">
                  <c:v>-0.19999999999953399</c:v>
                </c:pt>
                <c:pt idx="15">
                  <c:v>0</c:v>
                </c:pt>
                <c:pt idx="16">
                  <c:v>-5.0000000000771601E-2</c:v>
                </c:pt>
                <c:pt idx="17">
                  <c:v>0</c:v>
                </c:pt>
              </c:numCache>
            </c:numRef>
          </c:val>
        </c:ser>
        <c:dLbls/>
        <c:marker val="1"/>
        <c:axId val="389563136"/>
        <c:axId val="389565440"/>
      </c:lineChart>
      <c:dateAx>
        <c:axId val="3895631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565440"/>
        <c:crossesAt val="-50"/>
        <c:auto val="1"/>
        <c:lblOffset val="100"/>
        <c:baseTimeUnit val="days"/>
      </c:dateAx>
      <c:valAx>
        <c:axId val="38956544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56313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'zk79+500'!$A$6:$A$34</c:f>
              <c:numCache>
                <c:formatCode>m"月"d"日";@</c:formatCode>
                <c:ptCount val="29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'zk79+500'!$F$6:$F$29</c:f>
              <c:numCache>
                <c:formatCode>0.00_ </c:formatCode>
                <c:ptCount val="24"/>
                <c:pt idx="0">
                  <c:v>0</c:v>
                </c:pt>
                <c:pt idx="1">
                  <c:v>0.199999999949796</c:v>
                </c:pt>
                <c:pt idx="2">
                  <c:v>-0.20000000006348301</c:v>
                </c:pt>
                <c:pt idx="3">
                  <c:v>-0.40000000001327901</c:v>
                </c:pt>
                <c:pt idx="4">
                  <c:v>-0.60000000007676102</c:v>
                </c:pt>
                <c:pt idx="5">
                  <c:v>-0.90000000000145497</c:v>
                </c:pt>
                <c:pt idx="6">
                  <c:v>-0.80000000002655702</c:v>
                </c:pt>
                <c:pt idx="7">
                  <c:v>-1.5000000000782201</c:v>
                </c:pt>
                <c:pt idx="8">
                  <c:v>-1.8000000000029099</c:v>
                </c:pt>
                <c:pt idx="9">
                  <c:v>-1.5000000000782201</c:v>
                </c:pt>
                <c:pt idx="10">
                  <c:v>-2.40000000007967</c:v>
                </c:pt>
                <c:pt idx="11">
                  <c:v>-2.70000000000437</c:v>
                </c:pt>
                <c:pt idx="12">
                  <c:v>-2.2000000000161899</c:v>
                </c:pt>
                <c:pt idx="13">
                  <c:v>-2.5000000000545701</c:v>
                </c:pt>
                <c:pt idx="14">
                  <c:v>-2.40000000007967</c:v>
                </c:pt>
                <c:pt idx="15">
                  <c:v>-2.6000000000294698</c:v>
                </c:pt>
                <c:pt idx="16">
                  <c:v>-2.70000000000437</c:v>
                </c:pt>
                <c:pt idx="17">
                  <c:v>-2.6000000000294698</c:v>
                </c:pt>
                <c:pt idx="18">
                  <c:v>-1.09999999995125</c:v>
                </c:pt>
              </c:numCache>
            </c:numRef>
          </c:val>
        </c:ser>
        <c:ser>
          <c:idx val="1"/>
          <c:order val="1"/>
          <c:tx>
            <c:strRef>
              <c:f>'zk79+500'!$H$4:$L$4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'zk79+500'!$A$6:$A$34</c:f>
              <c:numCache>
                <c:formatCode>m"月"d"日";@</c:formatCode>
                <c:ptCount val="29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'zk79+500'!$K$6:$K$30</c:f>
              <c:numCache>
                <c:formatCode>0.00_ </c:formatCode>
                <c:ptCount val="25"/>
                <c:pt idx="0">
                  <c:v>0</c:v>
                </c:pt>
                <c:pt idx="1">
                  <c:v>-0.59999999996307496</c:v>
                </c:pt>
                <c:pt idx="2">
                  <c:v>-0.90000000000145497</c:v>
                </c:pt>
                <c:pt idx="3">
                  <c:v>-1.2000000000398401</c:v>
                </c:pt>
                <c:pt idx="4">
                  <c:v>-1.39999999998963</c:v>
                </c:pt>
                <c:pt idx="5">
                  <c:v>-1.30000000001473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-1.4999999999645299</c:v>
                </c:pt>
                <c:pt idx="9">
                  <c:v>-1.60000000005311</c:v>
                </c:pt>
                <c:pt idx="10">
                  <c:v>-1.8000000000029099</c:v>
                </c:pt>
                <c:pt idx="11">
                  <c:v>-1.8000000000029099</c:v>
                </c:pt>
                <c:pt idx="12">
                  <c:v>-1.8999999999778101</c:v>
                </c:pt>
                <c:pt idx="13">
                  <c:v>-2.1000000000412902</c:v>
                </c:pt>
                <c:pt idx="14">
                  <c:v>-2.1000000000412902</c:v>
                </c:pt>
                <c:pt idx="15">
                  <c:v>-2.70000000000437</c:v>
                </c:pt>
                <c:pt idx="16">
                  <c:v>-2.2999999999910901</c:v>
                </c:pt>
                <c:pt idx="17">
                  <c:v>-2.39999999996598</c:v>
                </c:pt>
                <c:pt idx="18">
                  <c:v>-7.3333333330083406E-2</c:v>
                </c:pt>
              </c:numCache>
            </c:numRef>
          </c:val>
        </c:ser>
        <c:ser>
          <c:idx val="2"/>
          <c:order val="2"/>
          <c:tx>
            <c:strRef>
              <c:f>'zk79+500'!$M$4:$Q$4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'zk79+500'!$A$6:$A$34</c:f>
              <c:numCache>
                <c:formatCode>m"月"d"日";@</c:formatCode>
                <c:ptCount val="29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'zk79+500'!$P$6:$P$28</c:f>
              <c:numCache>
                <c:formatCode>0.00_ </c:formatCode>
                <c:ptCount val="23"/>
                <c:pt idx="0">
                  <c:v>0</c:v>
                </c:pt>
                <c:pt idx="1">
                  <c:v>-0.30000000003838101</c:v>
                </c:pt>
                <c:pt idx="2">
                  <c:v>-0.30000000003838101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-0.90000000000145497</c:v>
                </c:pt>
                <c:pt idx="6">
                  <c:v>-1.00000000009004</c:v>
                </c:pt>
                <c:pt idx="7">
                  <c:v>-0.90000000000145497</c:v>
                </c:pt>
                <c:pt idx="8">
                  <c:v>-1.2000000000398401</c:v>
                </c:pt>
                <c:pt idx="9">
                  <c:v>-1.30000000001473</c:v>
                </c:pt>
                <c:pt idx="10">
                  <c:v>-1.60000000005311</c:v>
                </c:pt>
                <c:pt idx="11">
                  <c:v>-1.5000000000782201</c:v>
                </c:pt>
                <c:pt idx="12">
                  <c:v>-1.60000000005311</c:v>
                </c:pt>
                <c:pt idx="13">
                  <c:v>-1.70000000002801</c:v>
                </c:pt>
                <c:pt idx="14">
                  <c:v>-1.5000000000782201</c:v>
                </c:pt>
                <c:pt idx="15">
                  <c:v>-1.9000000000915001</c:v>
                </c:pt>
                <c:pt idx="16">
                  <c:v>-2.00000000006639</c:v>
                </c:pt>
                <c:pt idx="17">
                  <c:v>-1.9000000000915001</c:v>
                </c:pt>
              </c:numCache>
            </c:numRef>
          </c:val>
        </c:ser>
        <c:dLbls/>
        <c:marker val="1"/>
        <c:axId val="389645440"/>
        <c:axId val="389647744"/>
      </c:lineChart>
      <c:lineChart>
        <c:grouping val="standard"/>
        <c:ser>
          <c:idx val="3"/>
          <c:order val="3"/>
          <c:tx>
            <c:strRef>
              <c:f>'zk79+500'!$AG$3:$AG$5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'zk79+500'!$A$6:$A$34</c:f>
              <c:numCache>
                <c:formatCode>m"月"d"日";@</c:formatCode>
                <c:ptCount val="29"/>
                <c:pt idx="0">
                  <c:v>44635</c:v>
                </c:pt>
                <c:pt idx="1">
                  <c:v>44636</c:v>
                </c:pt>
                <c:pt idx="2">
                  <c:v>44637</c:v>
                </c:pt>
                <c:pt idx="3">
                  <c:v>44638</c:v>
                </c:pt>
                <c:pt idx="4">
                  <c:v>44639</c:v>
                </c:pt>
                <c:pt idx="5">
                  <c:v>44640</c:v>
                </c:pt>
                <c:pt idx="6">
                  <c:v>44641</c:v>
                </c:pt>
                <c:pt idx="7">
                  <c:v>44642</c:v>
                </c:pt>
                <c:pt idx="8">
                  <c:v>44643</c:v>
                </c:pt>
                <c:pt idx="9">
                  <c:v>44644</c:v>
                </c:pt>
                <c:pt idx="10">
                  <c:v>44645</c:v>
                </c:pt>
                <c:pt idx="11">
                  <c:v>44646</c:v>
                </c:pt>
                <c:pt idx="12">
                  <c:v>44647</c:v>
                </c:pt>
                <c:pt idx="13">
                  <c:v>44648</c:v>
                </c:pt>
                <c:pt idx="14">
                  <c:v>44649</c:v>
                </c:pt>
                <c:pt idx="15">
                  <c:v>44651</c:v>
                </c:pt>
                <c:pt idx="16">
                  <c:v>44653</c:v>
                </c:pt>
                <c:pt idx="17">
                  <c:v>44655</c:v>
                </c:pt>
              </c:numCache>
            </c:numRef>
          </c:cat>
          <c:val>
            <c:numRef>
              <c:f>'zk79+500'!$AG$6:$AG$31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  <c:pt idx="10">
                  <c:v>44</c:v>
                </c:pt>
                <c:pt idx="11">
                  <c:v>48</c:v>
                </c:pt>
                <c:pt idx="12">
                  <c:v>52</c:v>
                </c:pt>
                <c:pt idx="13">
                  <c:v>56</c:v>
                </c:pt>
                <c:pt idx="14">
                  <c:v>60</c:v>
                </c:pt>
                <c:pt idx="15">
                  <c:v>64</c:v>
                </c:pt>
                <c:pt idx="16">
                  <c:v>68</c:v>
                </c:pt>
                <c:pt idx="17">
                  <c:v>72</c:v>
                </c:pt>
              </c:numCache>
            </c:numRef>
          </c:val>
        </c:ser>
        <c:dLbls/>
        <c:marker val="1"/>
        <c:axId val="389658112"/>
        <c:axId val="389659648"/>
      </c:lineChart>
      <c:dateAx>
        <c:axId val="3896454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647744"/>
        <c:crossesAt val="-50"/>
        <c:auto val="1"/>
        <c:lblOffset val="100"/>
        <c:baseTimeUnit val="days"/>
      </c:dateAx>
      <c:valAx>
        <c:axId val="389647744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645440"/>
        <c:crosses val="autoZero"/>
        <c:crossBetween val="midCat"/>
        <c:majorUnit val="1"/>
        <c:minorUnit val="0.5"/>
      </c:valAx>
      <c:dateAx>
        <c:axId val="38965811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9659648"/>
        <c:crosses val="autoZero"/>
        <c:auto val="1"/>
        <c:lblOffset val="100"/>
        <c:baseTimeUnit val="days"/>
      </c:dateAx>
      <c:valAx>
        <c:axId val="38965964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65811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'zk79+540'!$U$4:$W$4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'zk79+540'!$S$6:$S$27</c:f>
              <c:numCache>
                <c:formatCode>m"月"d"日";@</c:formatCode>
                <c:ptCount val="22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'zk79+540'!$V$6:$V$32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9.99999999997669E-2</c:v>
                </c:pt>
                <c:pt idx="4">
                  <c:v>-0.39999999999906799</c:v>
                </c:pt>
                <c:pt idx="5">
                  <c:v>-0.49999999999883499</c:v>
                </c:pt>
                <c:pt idx="6">
                  <c:v>-0.19999999999953399</c:v>
                </c:pt>
                <c:pt idx="7">
                  <c:v>-0.70000000000014495</c:v>
                </c:pt>
                <c:pt idx="8">
                  <c:v>-0.799999999999912</c:v>
                </c:pt>
                <c:pt idx="9">
                  <c:v>-0.70000000000014495</c:v>
                </c:pt>
                <c:pt idx="10">
                  <c:v>-0.999999999999446</c:v>
                </c:pt>
                <c:pt idx="11">
                  <c:v>-1.0999999999992101</c:v>
                </c:pt>
                <c:pt idx="12">
                  <c:v>-1.1999999999989801</c:v>
                </c:pt>
                <c:pt idx="13">
                  <c:v>-1.1999999999989801</c:v>
                </c:pt>
                <c:pt idx="14">
                  <c:v>-1.4000000000002899</c:v>
                </c:pt>
                <c:pt idx="15">
                  <c:v>-1.50000000000006</c:v>
                </c:pt>
                <c:pt idx="16">
                  <c:v>-1.3000000000005201</c:v>
                </c:pt>
                <c:pt idx="17">
                  <c:v>-1.6999999999995901</c:v>
                </c:pt>
                <c:pt idx="18">
                  <c:v>-1.7999999999993599</c:v>
                </c:pt>
                <c:pt idx="19">
                  <c:v>-3.2999999999994101</c:v>
                </c:pt>
              </c:numCache>
            </c:numRef>
          </c:val>
        </c:ser>
        <c:ser>
          <c:idx val="1"/>
          <c:order val="1"/>
          <c:tx>
            <c:strRef>
              <c:f>'zk79+540'!$Y$4:$AA$4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'zk79+540'!$S$6:$S$27</c:f>
              <c:numCache>
                <c:formatCode>m"月"d"日";@</c:formatCode>
                <c:ptCount val="22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'zk79+540'!$Z$6:$Z$33</c:f>
              <c:numCache>
                <c:formatCode>0.00_ </c:formatCode>
                <c:ptCount val="28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-1.0999999999992101</c:v>
                </c:pt>
                <c:pt idx="8">
                  <c:v>-0.999999999999446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-1.1999999999989801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-2.59999999999927</c:v>
                </c:pt>
                <c:pt idx="16">
                  <c:v>-2.9000000000003499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-1.9000000000009001</c:v>
                </c:pt>
              </c:numCache>
            </c:numRef>
          </c:val>
        </c:ser>
        <c:ser>
          <c:idx val="2"/>
          <c:order val="2"/>
          <c:tx>
            <c:strRef>
              <c:f>'zk79+540'!$AC$4:$AE$4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'zk79+540'!$S$6:$S$27</c:f>
              <c:numCache>
                <c:formatCode>m"月"d"日";@</c:formatCode>
                <c:ptCount val="22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-0.30000000000107702</c:v>
                </c:pt>
                <c:pt idx="3">
                  <c:v>-0.50000000000061096</c:v>
                </c:pt>
                <c:pt idx="4">
                  <c:v>-0.50000000000061096</c:v>
                </c:pt>
                <c:pt idx="5">
                  <c:v>-0.60000000000037801</c:v>
                </c:pt>
                <c:pt idx="6">
                  <c:v>-1.0000000000012199</c:v>
                </c:pt>
                <c:pt idx="7">
                  <c:v>-0.799999999999912</c:v>
                </c:pt>
                <c:pt idx="8">
                  <c:v>-0.89999999999967895</c:v>
                </c:pt>
                <c:pt idx="9">
                  <c:v>-1.0000000000012199</c:v>
                </c:pt>
                <c:pt idx="10">
                  <c:v>-0.89999999999967895</c:v>
                </c:pt>
                <c:pt idx="11">
                  <c:v>-1.20000000000076</c:v>
                </c:pt>
                <c:pt idx="12">
                  <c:v>-1.3000000000005201</c:v>
                </c:pt>
                <c:pt idx="13">
                  <c:v>-1.20000000000076</c:v>
                </c:pt>
                <c:pt idx="14">
                  <c:v>-1.50000000000006</c:v>
                </c:pt>
                <c:pt idx="15">
                  <c:v>-1.59999999999982</c:v>
                </c:pt>
                <c:pt idx="16">
                  <c:v>-1.50000000000006</c:v>
                </c:pt>
                <c:pt idx="17">
                  <c:v>-1.80000000000113</c:v>
                </c:pt>
                <c:pt idx="18">
                  <c:v>-1.9000000000009001</c:v>
                </c:pt>
              </c:numCache>
            </c:numRef>
          </c:val>
        </c:ser>
        <c:dLbls/>
        <c:marker val="1"/>
        <c:axId val="386339968"/>
        <c:axId val="386342272"/>
      </c:lineChart>
      <c:lineChart>
        <c:grouping val="standard"/>
        <c:ser>
          <c:idx val="3"/>
          <c:order val="3"/>
          <c:tx>
            <c:strRef>
              <c:f>'zk79+540'!$AG$3:$AG$5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'zk79+540'!$S$6:$S$27</c:f>
              <c:numCache>
                <c:formatCode>m"月"d"日";@</c:formatCode>
                <c:ptCount val="22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'zk79+540'!$AG$6:$AG$31</c:f>
              <c:numCache>
                <c:formatCode>0.0_ </c:formatCode>
                <c:ptCount val="26"/>
                <c:pt idx="0">
                  <c:v>8</c:v>
                </c:pt>
                <c:pt idx="1">
                  <c:v>14</c:v>
                </c:pt>
                <c:pt idx="2">
                  <c:v>20</c:v>
                </c:pt>
                <c:pt idx="3">
                  <c:v>26</c:v>
                </c:pt>
                <c:pt idx="4">
                  <c:v>32</c:v>
                </c:pt>
                <c:pt idx="5">
                  <c:v>38</c:v>
                </c:pt>
                <c:pt idx="6">
                  <c:v>44</c:v>
                </c:pt>
                <c:pt idx="7">
                  <c:v>50</c:v>
                </c:pt>
                <c:pt idx="8">
                  <c:v>56</c:v>
                </c:pt>
                <c:pt idx="9">
                  <c:v>62</c:v>
                </c:pt>
                <c:pt idx="10">
                  <c:v>68</c:v>
                </c:pt>
                <c:pt idx="11">
                  <c:v>74</c:v>
                </c:pt>
                <c:pt idx="12">
                  <c:v>80</c:v>
                </c:pt>
                <c:pt idx="13">
                  <c:v>86</c:v>
                </c:pt>
                <c:pt idx="14">
                  <c:v>92</c:v>
                </c:pt>
                <c:pt idx="15">
                  <c:v>98</c:v>
                </c:pt>
                <c:pt idx="16">
                  <c:v>104</c:v>
                </c:pt>
                <c:pt idx="17">
                  <c:v>110</c:v>
                </c:pt>
                <c:pt idx="18">
                  <c:v>116</c:v>
                </c:pt>
              </c:numCache>
            </c:numRef>
          </c:val>
        </c:ser>
        <c:dLbls/>
        <c:marker val="1"/>
        <c:axId val="386360832"/>
        <c:axId val="386362368"/>
      </c:lineChart>
      <c:dateAx>
        <c:axId val="3863399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342272"/>
        <c:crossesAt val="-50"/>
        <c:auto val="1"/>
        <c:lblOffset val="100"/>
        <c:baseTimeUnit val="days"/>
      </c:dateAx>
      <c:valAx>
        <c:axId val="38634227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339968"/>
        <c:crosses val="autoZero"/>
        <c:crossBetween val="midCat"/>
        <c:majorUnit val="1"/>
        <c:minorUnit val="0.1"/>
      </c:valAx>
      <c:dateAx>
        <c:axId val="38636083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86362368"/>
        <c:crosses val="autoZero"/>
        <c:auto val="1"/>
        <c:lblOffset val="100"/>
        <c:baseTimeUnit val="days"/>
      </c:dateAx>
      <c:valAx>
        <c:axId val="38636236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36083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'zk79+540'!$C$4:$G$4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'zk79+540'!$A$6:$A$38</c:f>
              <c:numCache>
                <c:formatCode>m"月"d"日";@</c:formatCode>
                <c:ptCount val="33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'zk79+540'!$G$6:$G$34</c:f>
              <c:numCache>
                <c:formatCode>0.00_ </c:formatCode>
                <c:ptCount val="29"/>
                <c:pt idx="0">
                  <c:v>0</c:v>
                </c:pt>
                <c:pt idx="1">
                  <c:v>0.80000000002655702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-0.20000000006348301</c:v>
                </c:pt>
                <c:pt idx="8">
                  <c:v>0.20000000006348301</c:v>
                </c:pt>
                <c:pt idx="9">
                  <c:v>-0.59999999996307496</c:v>
                </c:pt>
                <c:pt idx="10">
                  <c:v>-0.20000000006348301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-0.199999999949796</c:v>
                </c:pt>
                <c:pt idx="14">
                  <c:v>0.40000000001327901</c:v>
                </c:pt>
                <c:pt idx="15">
                  <c:v>-0.40000000001327901</c:v>
                </c:pt>
                <c:pt idx="16">
                  <c:v>-0.100000000031741</c:v>
                </c:pt>
                <c:pt idx="17">
                  <c:v>0</c:v>
                </c:pt>
                <c:pt idx="18">
                  <c:v>5.0000000044292399E-2</c:v>
                </c:pt>
                <c:pt idx="19">
                  <c:v>-3.1999999999925399</c:v>
                </c:pt>
              </c:numCache>
            </c:numRef>
          </c:val>
        </c:ser>
        <c:ser>
          <c:idx val="1"/>
          <c:order val="1"/>
          <c:tx>
            <c:strRef>
              <c:f>'zk79+540'!$H$4:$L$4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'zk79+540'!$A$6:$A$38</c:f>
              <c:numCache>
                <c:formatCode>m"月"d"日";@</c:formatCode>
                <c:ptCount val="33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'zk79+540'!$L$6:$L$35</c:f>
              <c:numCache>
                <c:formatCode>0.00_ </c:formatCode>
                <c:ptCount val="30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-0.10000000008858501</c:v>
                </c:pt>
                <c:pt idx="5">
                  <c:v>0.30000000003838101</c:v>
                </c:pt>
                <c:pt idx="6">
                  <c:v>-0.49999999998817701</c:v>
                </c:pt>
                <c:pt idx="7">
                  <c:v>-9.9999999974897905E-2</c:v>
                </c:pt>
                <c:pt idx="8">
                  <c:v>-9.9999999974897905E-2</c:v>
                </c:pt>
                <c:pt idx="9">
                  <c:v>-0.20000000006348301</c:v>
                </c:pt>
                <c:pt idx="10">
                  <c:v>0</c:v>
                </c:pt>
                <c:pt idx="11">
                  <c:v>-9.9999999974897905E-2</c:v>
                </c:pt>
                <c:pt idx="12">
                  <c:v>-9.9999999974897905E-2</c:v>
                </c:pt>
                <c:pt idx="13">
                  <c:v>9.9999999974897905E-2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-9.9999999974897905E-2</c:v>
                </c:pt>
                <c:pt idx="17">
                  <c:v>0</c:v>
                </c:pt>
                <c:pt idx="18">
                  <c:v>-5.0000000044292399E-2</c:v>
                </c:pt>
              </c:numCache>
            </c:numRef>
          </c:val>
        </c:ser>
        <c:ser>
          <c:idx val="2"/>
          <c:order val="2"/>
          <c:tx>
            <c:strRef>
              <c:f>'zk79+540'!$M$4:$Q$4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'zk79+540'!$A$6:$A$38</c:f>
              <c:numCache>
                <c:formatCode>m"月"d"日";@</c:formatCode>
                <c:ptCount val="33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0.10000000008858501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0.20000000006348301</c:v>
                </c:pt>
                <c:pt idx="11">
                  <c:v>-0.60000000007676102</c:v>
                </c:pt>
                <c:pt idx="12">
                  <c:v>-0.199999999949796</c:v>
                </c:pt>
                <c:pt idx="13">
                  <c:v>-0.49999999998817701</c:v>
                </c:pt>
                <c:pt idx="14">
                  <c:v>9.9999999974897905E-2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-4.9999999987449001E-2</c:v>
                </c:pt>
                <c:pt idx="18">
                  <c:v>4.9999999987449001E-2</c:v>
                </c:pt>
              </c:numCache>
            </c:numRef>
          </c:val>
        </c:ser>
        <c:dLbls/>
        <c:marker val="1"/>
        <c:axId val="386399616"/>
        <c:axId val="389961600"/>
      </c:lineChart>
      <c:dateAx>
        <c:axId val="3863996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961600"/>
        <c:crossesAt val="-50"/>
        <c:auto val="1"/>
        <c:lblOffset val="100"/>
        <c:baseTimeUnit val="days"/>
      </c:dateAx>
      <c:valAx>
        <c:axId val="38996160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639961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'zk79+540'!$U$4:$W$4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'zk79+540'!$S$6:$S$41</c:f>
              <c:numCache>
                <c:formatCode>m"月"d"日";@</c:formatCode>
                <c:ptCount val="36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'zk79+540'!$W$6:$W$32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9.99999999997669E-2</c:v>
                </c:pt>
                <c:pt idx="3">
                  <c:v>-0.29999999999930099</c:v>
                </c:pt>
                <c:pt idx="4">
                  <c:v>0.49999999999883499</c:v>
                </c:pt>
                <c:pt idx="5">
                  <c:v>9.99999999997669E-2</c:v>
                </c:pt>
                <c:pt idx="6">
                  <c:v>-0.29999999999930099</c:v>
                </c:pt>
                <c:pt idx="7">
                  <c:v>0.50000000000061096</c:v>
                </c:pt>
                <c:pt idx="8">
                  <c:v>9.99999999997669E-2</c:v>
                </c:pt>
                <c:pt idx="9">
                  <c:v>-9.99999999997669E-2</c:v>
                </c:pt>
                <c:pt idx="10">
                  <c:v>0.29999999999930099</c:v>
                </c:pt>
                <c:pt idx="11">
                  <c:v>9.99999999997669E-2</c:v>
                </c:pt>
                <c:pt idx="12">
                  <c:v>9.99999999997669E-2</c:v>
                </c:pt>
                <c:pt idx="13">
                  <c:v>0</c:v>
                </c:pt>
                <c:pt idx="14">
                  <c:v>0.20000000000130999</c:v>
                </c:pt>
                <c:pt idx="15">
                  <c:v>4.9999999999883499E-2</c:v>
                </c:pt>
                <c:pt idx="16">
                  <c:v>-9.99999999997669E-2</c:v>
                </c:pt>
                <c:pt idx="17">
                  <c:v>0.19999999999953399</c:v>
                </c:pt>
                <c:pt idx="18">
                  <c:v>4.9999999999883499E-2</c:v>
                </c:pt>
                <c:pt idx="19">
                  <c:v>-1.9000000000009001</c:v>
                </c:pt>
              </c:numCache>
            </c:numRef>
          </c:val>
        </c:ser>
        <c:ser>
          <c:idx val="1"/>
          <c:order val="1"/>
          <c:tx>
            <c:strRef>
              <c:f>'zk79+540'!$Y$4:$AA$4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'zk79+540'!$S$6:$S$41</c:f>
              <c:numCache>
                <c:formatCode>m"月"d"日";@</c:formatCode>
                <c:ptCount val="36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'zk79+540'!$AA$6:$AA$31</c:f>
              <c:numCache>
                <c:formatCode>0.00_ </c:formatCode>
                <c:ptCount val="26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-0.30000000000107702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-0.50000000000061096</c:v>
                </c:pt>
                <c:pt idx="10">
                  <c:v>-0.19999999999953399</c:v>
                </c:pt>
                <c:pt idx="11">
                  <c:v>0.50000000000061096</c:v>
                </c:pt>
                <c:pt idx="12">
                  <c:v>-0.90000000000145497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-4.9999999999883499E-2</c:v>
                </c:pt>
                <c:pt idx="16">
                  <c:v>-0.15000000000053901</c:v>
                </c:pt>
                <c:pt idx="17">
                  <c:v>-9.99999999997669E-2</c:v>
                </c:pt>
                <c:pt idx="18">
                  <c:v>-9.99999999997669E-2</c:v>
                </c:pt>
                <c:pt idx="19">
                  <c:v>-0.14999999999997299</c:v>
                </c:pt>
              </c:numCache>
            </c:numRef>
          </c:val>
        </c:ser>
        <c:ser>
          <c:idx val="2"/>
          <c:order val="2"/>
          <c:tx>
            <c:strRef>
              <c:f>'zk79+540'!$AC$4:$AE$4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'zk79+540'!$S$6:$S$41</c:f>
              <c:numCache>
                <c:formatCode>m"月"d"日";@</c:formatCode>
                <c:ptCount val="36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-0.19999999999953399</c:v>
                </c:pt>
                <c:pt idx="4">
                  <c:v>0</c:v>
                </c:pt>
                <c:pt idx="5">
                  <c:v>-9.99999999997669E-2</c:v>
                </c:pt>
                <c:pt idx="6">
                  <c:v>-0.40000000000084401</c:v>
                </c:pt>
                <c:pt idx="7">
                  <c:v>0.20000000000130999</c:v>
                </c:pt>
                <c:pt idx="8">
                  <c:v>-9.99999999997669E-2</c:v>
                </c:pt>
                <c:pt idx="9">
                  <c:v>-0.10000000000154299</c:v>
                </c:pt>
                <c:pt idx="10">
                  <c:v>0.10000000000154299</c:v>
                </c:pt>
                <c:pt idx="11">
                  <c:v>-0.30000000000107702</c:v>
                </c:pt>
                <c:pt idx="12">
                  <c:v>-9.99999999997669E-2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-4.9999999999883499E-2</c:v>
                </c:pt>
                <c:pt idx="16">
                  <c:v>4.9999999999883499E-2</c:v>
                </c:pt>
                <c:pt idx="17">
                  <c:v>-0.15000000000053901</c:v>
                </c:pt>
                <c:pt idx="18">
                  <c:v>-4.9999999999883499E-2</c:v>
                </c:pt>
              </c:numCache>
            </c:numRef>
          </c:val>
        </c:ser>
        <c:dLbls/>
        <c:marker val="1"/>
        <c:axId val="390017408"/>
        <c:axId val="390019712"/>
      </c:lineChart>
      <c:dateAx>
        <c:axId val="3900174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019712"/>
        <c:crossesAt val="-50"/>
        <c:auto val="1"/>
        <c:lblOffset val="100"/>
        <c:baseTimeUnit val="days"/>
      </c:dateAx>
      <c:valAx>
        <c:axId val="39001971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01740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540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'zk79+540'!$C$4:$G$4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'zk79+540'!$A$6:$A$34</c:f>
              <c:numCache>
                <c:formatCode>m"月"d"日";@</c:formatCode>
                <c:ptCount val="29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'zk79+540'!$F$6:$F$29</c:f>
              <c:numCache>
                <c:formatCode>0.00_ </c:formatCode>
                <c:ptCount val="24"/>
                <c:pt idx="0">
                  <c:v>0</c:v>
                </c:pt>
                <c:pt idx="1">
                  <c:v>0.80000000002655702</c:v>
                </c:pt>
                <c:pt idx="2">
                  <c:v>0.30000000003838101</c:v>
                </c:pt>
                <c:pt idx="3">
                  <c:v>9.9999999974897905E-2</c:v>
                </c:pt>
                <c:pt idx="4">
                  <c:v>0.199999999949796</c:v>
                </c:pt>
                <c:pt idx="5">
                  <c:v>-0.30000000003838101</c:v>
                </c:pt>
                <c:pt idx="6">
                  <c:v>-0.49999999998817701</c:v>
                </c:pt>
                <c:pt idx="7">
                  <c:v>-0.70000000005165897</c:v>
                </c:pt>
                <c:pt idx="8">
                  <c:v>-0.49999999998817701</c:v>
                </c:pt>
                <c:pt idx="9">
                  <c:v>-1.09999999995125</c:v>
                </c:pt>
                <c:pt idx="10">
                  <c:v>-1.30000000001473</c:v>
                </c:pt>
                <c:pt idx="11">
                  <c:v>-1.2000000000398401</c:v>
                </c:pt>
                <c:pt idx="12">
                  <c:v>-1.70000000002801</c:v>
                </c:pt>
                <c:pt idx="13">
                  <c:v>-1.8999999999778101</c:v>
                </c:pt>
                <c:pt idx="14">
                  <c:v>-1.4999999999645299</c:v>
                </c:pt>
                <c:pt idx="15">
                  <c:v>-2.2999999999910901</c:v>
                </c:pt>
                <c:pt idx="16">
                  <c:v>-2.5000000000545701</c:v>
                </c:pt>
                <c:pt idx="17">
                  <c:v>-2.5000000000545701</c:v>
                </c:pt>
                <c:pt idx="18">
                  <c:v>-2.39999999996598</c:v>
                </c:pt>
                <c:pt idx="19">
                  <c:v>-1.70000000002801</c:v>
                </c:pt>
              </c:numCache>
            </c:numRef>
          </c:val>
        </c:ser>
        <c:ser>
          <c:idx val="1"/>
          <c:order val="1"/>
          <c:tx>
            <c:strRef>
              <c:f>'zk79+540'!$H$4:$L$4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'zk79+540'!$A$6:$A$34</c:f>
              <c:numCache>
                <c:formatCode>m"月"d"日";@</c:formatCode>
                <c:ptCount val="29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'zk79+540'!$K$6:$K$30</c:f>
              <c:numCache>
                <c:formatCode>0.00_ </c:formatCode>
                <c:ptCount val="25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-0.199999999949796</c:v>
                </c:pt>
                <c:pt idx="4">
                  <c:v>-0.30000000003838101</c:v>
                </c:pt>
                <c:pt idx="5">
                  <c:v>0</c:v>
                </c:pt>
                <c:pt idx="6">
                  <c:v>-0.49999999998817701</c:v>
                </c:pt>
                <c:pt idx="7">
                  <c:v>-0.59999999996307496</c:v>
                </c:pt>
                <c:pt idx="8">
                  <c:v>-0.69999999993797202</c:v>
                </c:pt>
                <c:pt idx="9">
                  <c:v>-0.90000000000145497</c:v>
                </c:pt>
                <c:pt idx="10">
                  <c:v>-0.90000000000145497</c:v>
                </c:pt>
                <c:pt idx="11">
                  <c:v>-0.99999999997635303</c:v>
                </c:pt>
                <c:pt idx="12">
                  <c:v>-1.09999999995125</c:v>
                </c:pt>
                <c:pt idx="13">
                  <c:v>-0.99999999997635303</c:v>
                </c:pt>
                <c:pt idx="14">
                  <c:v>-1.30000000001473</c:v>
                </c:pt>
                <c:pt idx="15">
                  <c:v>-1.39999999998963</c:v>
                </c:pt>
                <c:pt idx="16">
                  <c:v>-1.5999999999394301</c:v>
                </c:pt>
                <c:pt idx="17">
                  <c:v>-1.5999999999394301</c:v>
                </c:pt>
                <c:pt idx="18">
                  <c:v>-1.70000000002801</c:v>
                </c:pt>
                <c:pt idx="19">
                  <c:v>-7.7272727274000599E-2</c:v>
                </c:pt>
              </c:numCache>
            </c:numRef>
          </c:val>
        </c:ser>
        <c:ser>
          <c:idx val="2"/>
          <c:order val="2"/>
          <c:tx>
            <c:strRef>
              <c:f>'zk79+540'!$M$4:$Q$4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'zk79+540'!$A$6:$A$34</c:f>
              <c:numCache>
                <c:formatCode>m"月"d"日";@</c:formatCode>
                <c:ptCount val="29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-0.29999999992469401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-0.90000000000145497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-1.8000000000029099</c:v>
                </c:pt>
                <c:pt idx="10">
                  <c:v>-1.5999999999394301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-2.8999999999541601</c:v>
                </c:pt>
                <c:pt idx="14">
                  <c:v>-2.79999999997926</c:v>
                </c:pt>
                <c:pt idx="15">
                  <c:v>-2.9999999999290599</c:v>
                </c:pt>
                <c:pt idx="16">
                  <c:v>-3.1999999999925399</c:v>
                </c:pt>
                <c:pt idx="17">
                  <c:v>-3.2999999999674401</c:v>
                </c:pt>
                <c:pt idx="18">
                  <c:v>-3.1999999999925399</c:v>
                </c:pt>
              </c:numCache>
            </c:numRef>
          </c:val>
        </c:ser>
        <c:dLbls/>
        <c:marker val="1"/>
        <c:axId val="390112000"/>
        <c:axId val="390114304"/>
      </c:lineChart>
      <c:lineChart>
        <c:grouping val="standard"/>
        <c:ser>
          <c:idx val="3"/>
          <c:order val="3"/>
          <c:tx>
            <c:strRef>
              <c:f>'zk79+540'!$AG$3:$AG$5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'zk79+540'!$A$6:$A$34</c:f>
              <c:numCache>
                <c:formatCode>m"月"d"日";@</c:formatCode>
                <c:ptCount val="29"/>
                <c:pt idx="0">
                  <c:v>44643</c:v>
                </c:pt>
                <c:pt idx="1">
                  <c:v>44644</c:v>
                </c:pt>
                <c:pt idx="2">
                  <c:v>44645</c:v>
                </c:pt>
                <c:pt idx="3">
                  <c:v>44646</c:v>
                </c:pt>
                <c:pt idx="4">
                  <c:v>44647</c:v>
                </c:pt>
                <c:pt idx="5">
                  <c:v>44648</c:v>
                </c:pt>
                <c:pt idx="6">
                  <c:v>44649</c:v>
                </c:pt>
                <c:pt idx="7">
                  <c:v>44650</c:v>
                </c:pt>
                <c:pt idx="8">
                  <c:v>44651</c:v>
                </c:pt>
                <c:pt idx="9">
                  <c:v>44652</c:v>
                </c:pt>
                <c:pt idx="10">
                  <c:v>44653</c:v>
                </c:pt>
                <c:pt idx="11">
                  <c:v>44654</c:v>
                </c:pt>
                <c:pt idx="12">
                  <c:v>44655</c:v>
                </c:pt>
                <c:pt idx="13">
                  <c:v>44656</c:v>
                </c:pt>
                <c:pt idx="14">
                  <c:v>44657</c:v>
                </c:pt>
                <c:pt idx="15">
                  <c:v>44659</c:v>
                </c:pt>
                <c:pt idx="16">
                  <c:v>44661</c:v>
                </c:pt>
                <c:pt idx="17">
                  <c:v>44663</c:v>
                </c:pt>
                <c:pt idx="18">
                  <c:v>44665</c:v>
                </c:pt>
              </c:numCache>
            </c:numRef>
          </c:cat>
          <c:val>
            <c:numRef>
              <c:f>'zk79+540'!$AG$6:$AG$31</c:f>
              <c:numCache>
                <c:formatCode>0.0_ </c:formatCode>
                <c:ptCount val="26"/>
                <c:pt idx="0">
                  <c:v>8</c:v>
                </c:pt>
                <c:pt idx="1">
                  <c:v>14</c:v>
                </c:pt>
                <c:pt idx="2">
                  <c:v>20</c:v>
                </c:pt>
                <c:pt idx="3">
                  <c:v>26</c:v>
                </c:pt>
                <c:pt idx="4">
                  <c:v>32</c:v>
                </c:pt>
                <c:pt idx="5">
                  <c:v>38</c:v>
                </c:pt>
                <c:pt idx="6">
                  <c:v>44</c:v>
                </c:pt>
                <c:pt idx="7">
                  <c:v>50</c:v>
                </c:pt>
                <c:pt idx="8">
                  <c:v>56</c:v>
                </c:pt>
                <c:pt idx="9">
                  <c:v>62</c:v>
                </c:pt>
                <c:pt idx="10">
                  <c:v>68</c:v>
                </c:pt>
                <c:pt idx="11">
                  <c:v>74</c:v>
                </c:pt>
                <c:pt idx="12">
                  <c:v>80</c:v>
                </c:pt>
                <c:pt idx="13">
                  <c:v>86</c:v>
                </c:pt>
                <c:pt idx="14">
                  <c:v>92</c:v>
                </c:pt>
                <c:pt idx="15">
                  <c:v>98</c:v>
                </c:pt>
                <c:pt idx="16">
                  <c:v>104</c:v>
                </c:pt>
                <c:pt idx="17">
                  <c:v>110</c:v>
                </c:pt>
                <c:pt idx="18">
                  <c:v>116</c:v>
                </c:pt>
              </c:numCache>
            </c:numRef>
          </c:val>
        </c:ser>
        <c:dLbls/>
        <c:marker val="1"/>
        <c:axId val="390120576"/>
        <c:axId val="390122112"/>
      </c:lineChart>
      <c:dateAx>
        <c:axId val="3901120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114304"/>
        <c:crossesAt val="-50"/>
        <c:auto val="1"/>
        <c:lblOffset val="100"/>
        <c:baseTimeUnit val="days"/>
      </c:dateAx>
      <c:valAx>
        <c:axId val="39011430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112000"/>
        <c:crosses val="autoZero"/>
        <c:crossBetween val="midCat"/>
        <c:majorUnit val="1"/>
        <c:minorUnit val="0.5"/>
      </c:valAx>
      <c:dateAx>
        <c:axId val="3901205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122112"/>
        <c:crosses val="autoZero"/>
        <c:auto val="1"/>
        <c:lblOffset val="100"/>
        <c:baseTimeUnit val="days"/>
      </c:dateAx>
      <c:valAx>
        <c:axId val="390122112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12057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'zk79+565'!$U$4:$W$4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'zk79+565'!$S$6:$S$28</c:f>
              <c:numCache>
                <c:formatCode>m"月"d"日";@</c:formatCode>
                <c:ptCount val="23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'zk79+565'!$V$6:$V$33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-0.29999999999930099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-0.89999999999967895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-1.7999999999993599</c:v>
                </c:pt>
                <c:pt idx="10">
                  <c:v>-1.50000000000006</c:v>
                </c:pt>
                <c:pt idx="11">
                  <c:v>-2.2000000000002</c:v>
                </c:pt>
                <c:pt idx="12">
                  <c:v>-2.3999999999890802</c:v>
                </c:pt>
                <c:pt idx="13">
                  <c:v>-2.2999999999999701</c:v>
                </c:pt>
                <c:pt idx="14">
                  <c:v>-2.7999999999899199</c:v>
                </c:pt>
                <c:pt idx="15">
                  <c:v>-2.99999999998946</c:v>
                </c:pt>
                <c:pt idx="16">
                  <c:v>-2.9000000000003499</c:v>
                </c:pt>
                <c:pt idx="17">
                  <c:v>-2.7999999999987999</c:v>
                </c:pt>
                <c:pt idx="18">
                  <c:v>-2.59999999999927</c:v>
                </c:pt>
                <c:pt idx="19">
                  <c:v>-2.3999999999997401</c:v>
                </c:pt>
                <c:pt idx="20">
                  <c:v>-2.2999999999999701</c:v>
                </c:pt>
                <c:pt idx="21">
                  <c:v>-2.2000000000002</c:v>
                </c:pt>
                <c:pt idx="22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'zk79+565'!$Y$4:$AA$4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'zk79+565'!$S$6:$S$28</c:f>
              <c:numCache>
                <c:formatCode>m"月"d"日";@</c:formatCode>
                <c:ptCount val="23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'zk79+565'!$Z$6:$Z$34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0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-1.1999999999989801</c:v>
                </c:pt>
                <c:pt idx="7">
                  <c:v>-1.39999999999851</c:v>
                </c:pt>
                <c:pt idx="8">
                  <c:v>-1.1999999999989801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-1.8999999999991199</c:v>
                </c:pt>
                <c:pt idx="12">
                  <c:v>-2.3999999999997401</c:v>
                </c:pt>
                <c:pt idx="13">
                  <c:v>-2.59999999999927</c:v>
                </c:pt>
                <c:pt idx="14">
                  <c:v>-2.7999999999987999</c:v>
                </c:pt>
                <c:pt idx="15">
                  <c:v>-2.6999999999990401</c:v>
                </c:pt>
                <c:pt idx="16">
                  <c:v>-3.1999999999996498</c:v>
                </c:pt>
                <c:pt idx="17">
                  <c:v>-3.3999999999991801</c:v>
                </c:pt>
                <c:pt idx="18">
                  <c:v>-3.4999999999989502</c:v>
                </c:pt>
                <c:pt idx="19">
                  <c:v>-3.5999999999987198</c:v>
                </c:pt>
                <c:pt idx="20">
                  <c:v>-3.8999999999997899</c:v>
                </c:pt>
                <c:pt idx="21">
                  <c:v>-3.6999999999984801</c:v>
                </c:pt>
                <c:pt idx="22">
                  <c:v>-2.2000000000002</c:v>
                </c:pt>
              </c:numCache>
            </c:numRef>
          </c:val>
        </c:ser>
        <c:ser>
          <c:idx val="2"/>
          <c:order val="2"/>
          <c:tx>
            <c:strRef>
              <c:f>'zk79+565'!$AC$4:$AE$4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'zk79+565'!$S$6:$S$28</c:f>
              <c:numCache>
                <c:formatCode>m"月"d"日";@</c:formatCode>
                <c:ptCount val="23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'zk79+565'!$AD$6:$AD$38</c:f>
              <c:numCache>
                <c:formatCode>0.00_ </c:formatCode>
                <c:ptCount val="33"/>
                <c:pt idx="0">
                  <c:v>0</c:v>
                </c:pt>
                <c:pt idx="1">
                  <c:v>-9.99999999997669E-2</c:v>
                </c:pt>
                <c:pt idx="2">
                  <c:v>9.99999999997669E-2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-0.19999999999953399</c:v>
                </c:pt>
                <c:pt idx="6">
                  <c:v>-0.60000000000037801</c:v>
                </c:pt>
                <c:pt idx="7">
                  <c:v>-0.70000000000014495</c:v>
                </c:pt>
                <c:pt idx="8">
                  <c:v>-0.60000000000037801</c:v>
                </c:pt>
                <c:pt idx="9">
                  <c:v>-0.89999999999967895</c:v>
                </c:pt>
                <c:pt idx="10">
                  <c:v>-0.999999999999446</c:v>
                </c:pt>
                <c:pt idx="11">
                  <c:v>-1.1999999999989801</c:v>
                </c:pt>
                <c:pt idx="12">
                  <c:v>-1.1999999999989801</c:v>
                </c:pt>
                <c:pt idx="13">
                  <c:v>-1.2999999999987499</c:v>
                </c:pt>
                <c:pt idx="14">
                  <c:v>-0.999999999999446</c:v>
                </c:pt>
                <c:pt idx="15">
                  <c:v>-1.50000000000006</c:v>
                </c:pt>
                <c:pt idx="16">
                  <c:v>-1.59999999999982</c:v>
                </c:pt>
                <c:pt idx="17">
                  <c:v>-1.59999999999982</c:v>
                </c:pt>
                <c:pt idx="18">
                  <c:v>-1.7999999999993599</c:v>
                </c:pt>
                <c:pt idx="19">
                  <c:v>-1.99999999999889</c:v>
                </c:pt>
                <c:pt idx="20">
                  <c:v>-1.8999999999991199</c:v>
                </c:pt>
                <c:pt idx="21">
                  <c:v>-2.2000000000002</c:v>
                </c:pt>
              </c:numCache>
            </c:numRef>
          </c:val>
        </c:ser>
        <c:dLbls/>
        <c:marker val="1"/>
        <c:axId val="390238976"/>
        <c:axId val="390241280"/>
      </c:lineChart>
      <c:lineChart>
        <c:grouping val="standard"/>
        <c:ser>
          <c:idx val="3"/>
          <c:order val="3"/>
          <c:tx>
            <c:strRef>
              <c:f>'zk79+565'!$AG$3:$AG$5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'zk79+565'!$S$6:$S$28</c:f>
              <c:numCache>
                <c:formatCode>m"月"d"日";@</c:formatCode>
                <c:ptCount val="23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'zk79+565'!$AG$6:$AG$32</c:f>
              <c:numCache>
                <c:formatCode>0.0_ </c:formatCode>
                <c:ptCount val="27"/>
                <c:pt idx="0">
                  <c:v>12</c:v>
                </c:pt>
                <c:pt idx="1">
                  <c:v>18</c:v>
                </c:pt>
                <c:pt idx="2">
                  <c:v>24</c:v>
                </c:pt>
                <c:pt idx="3">
                  <c:v>30</c:v>
                </c:pt>
                <c:pt idx="4">
                  <c:v>36</c:v>
                </c:pt>
                <c:pt idx="5">
                  <c:v>42</c:v>
                </c:pt>
                <c:pt idx="6">
                  <c:v>48</c:v>
                </c:pt>
                <c:pt idx="7">
                  <c:v>54</c:v>
                </c:pt>
                <c:pt idx="8">
                  <c:v>60</c:v>
                </c:pt>
                <c:pt idx="9">
                  <c:v>66</c:v>
                </c:pt>
                <c:pt idx="10">
                  <c:v>72</c:v>
                </c:pt>
                <c:pt idx="11">
                  <c:v>78</c:v>
                </c:pt>
                <c:pt idx="12">
                  <c:v>81</c:v>
                </c:pt>
                <c:pt idx="13">
                  <c:v>84</c:v>
                </c:pt>
                <c:pt idx="14">
                  <c:v>87</c:v>
                </c:pt>
                <c:pt idx="15">
                  <c:v>90</c:v>
                </c:pt>
                <c:pt idx="16">
                  <c:v>93</c:v>
                </c:pt>
                <c:pt idx="17">
                  <c:v>96</c:v>
                </c:pt>
                <c:pt idx="18">
                  <c:v>99</c:v>
                </c:pt>
                <c:pt idx="19">
                  <c:v>102</c:v>
                </c:pt>
                <c:pt idx="20">
                  <c:v>105</c:v>
                </c:pt>
                <c:pt idx="21">
                  <c:v>107</c:v>
                </c:pt>
              </c:numCache>
            </c:numRef>
          </c:val>
        </c:ser>
        <c:dLbls/>
        <c:marker val="1"/>
        <c:axId val="390247552"/>
        <c:axId val="390249088"/>
      </c:lineChart>
      <c:dateAx>
        <c:axId val="3902389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241280"/>
        <c:crossesAt val="-50"/>
        <c:auto val="1"/>
        <c:lblOffset val="100"/>
        <c:baseTimeUnit val="days"/>
        <c:majorUnit val="4"/>
        <c:majorTimeUnit val="days"/>
      </c:dateAx>
      <c:valAx>
        <c:axId val="39024128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238976"/>
        <c:crosses val="autoZero"/>
        <c:crossBetween val="midCat"/>
        <c:majorUnit val="1"/>
        <c:minorUnit val="0.1"/>
      </c:valAx>
      <c:dateAx>
        <c:axId val="3902475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249088"/>
        <c:crosses val="autoZero"/>
        <c:auto val="1"/>
        <c:lblOffset val="100"/>
        <c:baseTimeUnit val="days"/>
      </c:dateAx>
      <c:valAx>
        <c:axId val="39024908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24755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'zk79+565'!$C$4:$G$4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'zk79+565'!$A$6:$A$39</c:f>
              <c:numCache>
                <c:formatCode>m"月"d"日";@</c:formatCode>
                <c:ptCount val="34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'zk79+565'!$G$6:$G$35</c:f>
              <c:numCache>
                <c:formatCode>0.00_ </c:formatCode>
                <c:ptCount val="30"/>
                <c:pt idx="0">
                  <c:v>0</c:v>
                </c:pt>
                <c:pt idx="1">
                  <c:v>9.9999999974897905E-2</c:v>
                </c:pt>
                <c:pt idx="2">
                  <c:v>-0.30000000003838101</c:v>
                </c:pt>
                <c:pt idx="3">
                  <c:v>-9.9999999974897905E-2</c:v>
                </c:pt>
                <c:pt idx="4">
                  <c:v>0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-9.9999999974897905E-2</c:v>
                </c:pt>
                <c:pt idx="8">
                  <c:v>9.9999999974897905E-2</c:v>
                </c:pt>
                <c:pt idx="9">
                  <c:v>-0.29999999992469401</c:v>
                </c:pt>
                <c:pt idx="10">
                  <c:v>-9.9999999974897905E-2</c:v>
                </c:pt>
                <c:pt idx="11">
                  <c:v>0.199999999949796</c:v>
                </c:pt>
                <c:pt idx="12">
                  <c:v>-0.40000000001327901</c:v>
                </c:pt>
                <c:pt idx="13">
                  <c:v>-9.9999999974897905E-2</c:v>
                </c:pt>
                <c:pt idx="14">
                  <c:v>9.9999999974897905E-2</c:v>
                </c:pt>
                <c:pt idx="15">
                  <c:v>-0.15000000001919001</c:v>
                </c:pt>
                <c:pt idx="16">
                  <c:v>-4.9999999987449001E-2</c:v>
                </c:pt>
                <c:pt idx="17">
                  <c:v>-9.9999999974897905E-2</c:v>
                </c:pt>
                <c:pt idx="18">
                  <c:v>0</c:v>
                </c:pt>
                <c:pt idx="19">
                  <c:v>-0.100000000031741</c:v>
                </c:pt>
                <c:pt idx="20">
                  <c:v>5.0000000044292399E-2</c:v>
                </c:pt>
                <c:pt idx="21">
                  <c:v>-0.100000000031741</c:v>
                </c:pt>
                <c:pt idx="22">
                  <c:v>-0.199999999949796</c:v>
                </c:pt>
              </c:numCache>
            </c:numRef>
          </c:val>
        </c:ser>
        <c:ser>
          <c:idx val="1"/>
          <c:order val="1"/>
          <c:tx>
            <c:strRef>
              <c:f>'zk79+565'!$H$4:$L$4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'zk79+565'!$A$6:$A$39</c:f>
              <c:numCache>
                <c:formatCode>m"月"d"日";@</c:formatCode>
                <c:ptCount val="34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'zk79+565'!$L$6:$L$36</c:f>
              <c:numCache>
                <c:formatCode>0.00_ </c:formatCode>
                <c:ptCount val="31"/>
                <c:pt idx="0">
                  <c:v>0</c:v>
                </c:pt>
                <c:pt idx="1">
                  <c:v>-0.10000000008858501</c:v>
                </c:pt>
                <c:pt idx="2">
                  <c:v>-9.9999999974897905E-2</c:v>
                </c:pt>
                <c:pt idx="3">
                  <c:v>9.9999999974897905E-2</c:v>
                </c:pt>
                <c:pt idx="4">
                  <c:v>-0.29999999992469401</c:v>
                </c:pt>
                <c:pt idx="5">
                  <c:v>9.9999999974897905E-2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-9.9999999974897905E-2</c:v>
                </c:pt>
                <c:pt idx="9">
                  <c:v>-0.20000000006348301</c:v>
                </c:pt>
                <c:pt idx="10">
                  <c:v>0</c:v>
                </c:pt>
                <c:pt idx="11">
                  <c:v>-9.9999999974897905E-2</c:v>
                </c:pt>
                <c:pt idx="12">
                  <c:v>0.20000000006348301</c:v>
                </c:pt>
                <c:pt idx="13">
                  <c:v>-0.40000000001327901</c:v>
                </c:pt>
                <c:pt idx="14">
                  <c:v>-9.9999999974897905E-2</c:v>
                </c:pt>
                <c:pt idx="15">
                  <c:v>9.9999999974897905E-2</c:v>
                </c:pt>
                <c:pt idx="16">
                  <c:v>-0.20000000000663901</c:v>
                </c:pt>
                <c:pt idx="17">
                  <c:v>-4.9999999987449001E-2</c:v>
                </c:pt>
                <c:pt idx="18">
                  <c:v>-0.100000000031741</c:v>
                </c:pt>
                <c:pt idx="19">
                  <c:v>-0.149999999962347</c:v>
                </c:pt>
                <c:pt idx="20">
                  <c:v>9.9999999974897905E-2</c:v>
                </c:pt>
                <c:pt idx="21">
                  <c:v>-9.9999999974897905E-2</c:v>
                </c:pt>
              </c:numCache>
            </c:numRef>
          </c:val>
        </c:ser>
        <c:ser>
          <c:idx val="2"/>
          <c:order val="2"/>
          <c:tx>
            <c:strRef>
              <c:f>'zk79+565'!$M$4:$Q$4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'zk79+565'!$A$6:$A$39</c:f>
              <c:numCache>
                <c:formatCode>m"月"d"日";@</c:formatCode>
                <c:ptCount val="34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'zk79+565'!$Q$6:$Q$32</c:f>
              <c:numCache>
                <c:formatCode>0.00_ </c:formatCode>
                <c:ptCount val="27"/>
                <c:pt idx="0">
                  <c:v>0</c:v>
                </c:pt>
                <c:pt idx="1">
                  <c:v>-9.9999999974897905E-2</c:v>
                </c:pt>
                <c:pt idx="2">
                  <c:v>-9.9999999974897905E-2</c:v>
                </c:pt>
                <c:pt idx="3">
                  <c:v>0.199999999949796</c:v>
                </c:pt>
                <c:pt idx="4">
                  <c:v>-0.39999999989959201</c:v>
                </c:pt>
                <c:pt idx="5">
                  <c:v>-0.10000000008858501</c:v>
                </c:pt>
                <c:pt idx="6">
                  <c:v>-9.9999999974897905E-2</c:v>
                </c:pt>
                <c:pt idx="7">
                  <c:v>0.30000000003838101</c:v>
                </c:pt>
                <c:pt idx="8">
                  <c:v>-0.49999999998817701</c:v>
                </c:pt>
                <c:pt idx="9">
                  <c:v>-0.10000000008858501</c:v>
                </c:pt>
                <c:pt idx="10">
                  <c:v>0.30000000003838101</c:v>
                </c:pt>
                <c:pt idx="11">
                  <c:v>-0.49999999998817701</c:v>
                </c:pt>
                <c:pt idx="12">
                  <c:v>-9.9999999974897905E-2</c:v>
                </c:pt>
                <c:pt idx="13">
                  <c:v>9.9999999974897905E-2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0.100000000031741</c:v>
                </c:pt>
                <c:pt idx="17">
                  <c:v>-0.20000000000663901</c:v>
                </c:pt>
                <c:pt idx="18">
                  <c:v>-5.0000000044292399E-2</c:v>
                </c:pt>
                <c:pt idx="19">
                  <c:v>-4.9999999987449001E-2</c:v>
                </c:pt>
                <c:pt idx="20">
                  <c:v>-0.149999999962347</c:v>
                </c:pt>
                <c:pt idx="21">
                  <c:v>9.9999999974897905E-2</c:v>
                </c:pt>
              </c:numCache>
            </c:numRef>
          </c:val>
        </c:ser>
        <c:dLbls/>
        <c:marker val="1"/>
        <c:axId val="389696896"/>
        <c:axId val="389715456"/>
      </c:lineChart>
      <c:dateAx>
        <c:axId val="3896968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715456"/>
        <c:crossesAt val="-50"/>
        <c:auto val="1"/>
        <c:lblOffset val="100"/>
        <c:baseTimeUnit val="days"/>
        <c:majorUnit val="4"/>
        <c:majorTimeUnit val="days"/>
      </c:dateAx>
      <c:valAx>
        <c:axId val="38971545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69689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'zk79+565'!$U$4:$W$4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'zk79+565'!$S$6:$S$42</c:f>
              <c:numCache>
                <c:formatCode>m"月"d"日";@</c:formatCode>
                <c:ptCount val="37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'zk79+565'!$W$6:$W$33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-9.99999999997669E-2</c:v>
                </c:pt>
                <c:pt idx="4">
                  <c:v>0.50000000000061096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0.50000000000061096</c:v>
                </c:pt>
                <c:pt idx="8">
                  <c:v>0.19999999999953399</c:v>
                </c:pt>
                <c:pt idx="9">
                  <c:v>0.19999999999953399</c:v>
                </c:pt>
                <c:pt idx="10">
                  <c:v>-0.29999999999930099</c:v>
                </c:pt>
                <c:pt idx="11">
                  <c:v>0.70000000000014495</c:v>
                </c:pt>
                <c:pt idx="12">
                  <c:v>0.19999999998887599</c:v>
                </c:pt>
                <c:pt idx="13">
                  <c:v>-9.9999999989108801E-2</c:v>
                </c:pt>
                <c:pt idx="14">
                  <c:v>0.49999999998995298</c:v>
                </c:pt>
                <c:pt idx="15">
                  <c:v>9.99999999997669E-2</c:v>
                </c:pt>
                <c:pt idx="16">
                  <c:v>-4.99999999945544E-2</c:v>
                </c:pt>
                <c:pt idx="17">
                  <c:v>-5.0000000000771601E-2</c:v>
                </c:pt>
                <c:pt idx="18">
                  <c:v>-9.99999999997669E-2</c:v>
                </c:pt>
                <c:pt idx="19">
                  <c:v>-9.99999999997669E-2</c:v>
                </c:pt>
                <c:pt idx="20">
                  <c:v>-4.9999999999883499E-2</c:v>
                </c:pt>
                <c:pt idx="21">
                  <c:v>-4.9999999999883499E-2</c:v>
                </c:pt>
                <c:pt idx="22">
                  <c:v>-0.40000000000084401</c:v>
                </c:pt>
              </c:numCache>
            </c:numRef>
          </c:val>
        </c:ser>
        <c:ser>
          <c:idx val="1"/>
          <c:order val="1"/>
          <c:tx>
            <c:strRef>
              <c:f>'zk79+565'!$Y$4:$AA$4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'zk79+565'!$S$6:$S$42</c:f>
              <c:numCache>
                <c:formatCode>m"月"d"日";@</c:formatCode>
                <c:ptCount val="37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'zk79+565'!$AA$6:$AA$32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0.19999999999953399</c:v>
                </c:pt>
                <c:pt idx="3">
                  <c:v>-0.59999999999860198</c:v>
                </c:pt>
                <c:pt idx="4">
                  <c:v>-0.20000000000130999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-0.19999999999953399</c:v>
                </c:pt>
                <c:pt idx="8">
                  <c:v>0.19999999999953399</c:v>
                </c:pt>
                <c:pt idx="9">
                  <c:v>-0.60000000000037801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4.9999999999883499E-2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-4.9999999999883499E-2</c:v>
                </c:pt>
                <c:pt idx="19">
                  <c:v>-4.9999999999883499E-2</c:v>
                </c:pt>
                <c:pt idx="20">
                  <c:v>-0.15000000000053901</c:v>
                </c:pt>
                <c:pt idx="21">
                  <c:v>0.100000000000655</c:v>
                </c:pt>
                <c:pt idx="22">
                  <c:v>-3.3333333333255603E-2</c:v>
                </c:pt>
              </c:numCache>
            </c:numRef>
          </c:val>
        </c:ser>
        <c:ser>
          <c:idx val="2"/>
          <c:order val="2"/>
          <c:tx>
            <c:strRef>
              <c:f>'zk79+565'!$AC$4:$AE$4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'zk79+565'!$S$6:$S$42</c:f>
              <c:numCache>
                <c:formatCode>m"月"d"日";@</c:formatCode>
                <c:ptCount val="37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'zk79+565'!$AE$6:$AE$39</c:f>
              <c:numCache>
                <c:formatCode>0.00_ </c:formatCode>
                <c:ptCount val="34"/>
                <c:pt idx="0">
                  <c:v>0</c:v>
                </c:pt>
                <c:pt idx="1">
                  <c:v>-9.99999999997669E-2</c:v>
                </c:pt>
                <c:pt idx="2">
                  <c:v>0.19999999999953399</c:v>
                </c:pt>
                <c:pt idx="3">
                  <c:v>-0.39999999999906799</c:v>
                </c:pt>
                <c:pt idx="4">
                  <c:v>-9.99999999997669E-2</c:v>
                </c:pt>
                <c:pt idx="5">
                  <c:v>0.19999999999953399</c:v>
                </c:pt>
                <c:pt idx="6">
                  <c:v>-0.40000000000084401</c:v>
                </c:pt>
                <c:pt idx="7">
                  <c:v>-9.99999999997669E-2</c:v>
                </c:pt>
                <c:pt idx="8">
                  <c:v>9.99999999997669E-2</c:v>
                </c:pt>
                <c:pt idx="9">
                  <c:v>-0.29999999999930099</c:v>
                </c:pt>
                <c:pt idx="10">
                  <c:v>-9.99999999997669E-2</c:v>
                </c:pt>
                <c:pt idx="11">
                  <c:v>-0.19999999999953399</c:v>
                </c:pt>
                <c:pt idx="12">
                  <c:v>0</c:v>
                </c:pt>
                <c:pt idx="13">
                  <c:v>-9.99999999997669E-2</c:v>
                </c:pt>
                <c:pt idx="14">
                  <c:v>0.29999999999930099</c:v>
                </c:pt>
                <c:pt idx="15">
                  <c:v>-0.25000000000030598</c:v>
                </c:pt>
                <c:pt idx="16">
                  <c:v>-4.9999999999883499E-2</c:v>
                </c:pt>
                <c:pt idx="17">
                  <c:v>0</c:v>
                </c:pt>
                <c:pt idx="18">
                  <c:v>-9.99999999997669E-2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-0.15000000000053901</c:v>
                </c:pt>
              </c:numCache>
            </c:numRef>
          </c:val>
        </c:ser>
        <c:dLbls/>
        <c:marker val="1"/>
        <c:axId val="390311936"/>
        <c:axId val="390314240"/>
      </c:lineChart>
      <c:dateAx>
        <c:axId val="3903119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314240"/>
        <c:crossesAt val="-50"/>
        <c:auto val="1"/>
        <c:lblOffset val="100"/>
        <c:baseTimeUnit val="days"/>
        <c:majorUnit val="4"/>
        <c:majorTimeUnit val="days"/>
      </c:dateAx>
      <c:valAx>
        <c:axId val="39031424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31193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'zk79+565'!$C$4:$G$4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'zk79+565'!$A$6:$A$35</c:f>
              <c:numCache>
                <c:formatCode>m"月"d"日";@</c:formatCode>
                <c:ptCount val="30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'zk79+565'!$F$6:$F$30</c:f>
              <c:numCache>
                <c:formatCode>0.00_ </c:formatCode>
                <c:ptCount val="25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-0.30000000003838101</c:v>
                </c:pt>
                <c:pt idx="4">
                  <c:v>-0.30000000003838101</c:v>
                </c:pt>
                <c:pt idx="5">
                  <c:v>-0.49999999998817701</c:v>
                </c:pt>
                <c:pt idx="6">
                  <c:v>-0.60000000007676102</c:v>
                </c:pt>
                <c:pt idx="7">
                  <c:v>-0.70000000005165897</c:v>
                </c:pt>
                <c:pt idx="8">
                  <c:v>-0.60000000007676102</c:v>
                </c:pt>
                <c:pt idx="9">
                  <c:v>-0.90000000000145497</c:v>
                </c:pt>
                <c:pt idx="10">
                  <c:v>-0.99999999997635303</c:v>
                </c:pt>
                <c:pt idx="11">
                  <c:v>-0.80000000002655702</c:v>
                </c:pt>
                <c:pt idx="12">
                  <c:v>-1.2000000000398401</c:v>
                </c:pt>
                <c:pt idx="13">
                  <c:v>-1.30000000001473</c:v>
                </c:pt>
                <c:pt idx="14">
                  <c:v>-1.2000000000398401</c:v>
                </c:pt>
                <c:pt idx="15">
                  <c:v>-1.5000000000782201</c:v>
                </c:pt>
                <c:pt idx="16">
                  <c:v>-1.60000000005311</c:v>
                </c:pt>
                <c:pt idx="17">
                  <c:v>-1.8000000000029099</c:v>
                </c:pt>
                <c:pt idx="18">
                  <c:v>-1.8000000000029099</c:v>
                </c:pt>
                <c:pt idx="19">
                  <c:v>-2.00000000006639</c:v>
                </c:pt>
                <c:pt idx="20">
                  <c:v>-1.8999999999778101</c:v>
                </c:pt>
                <c:pt idx="21">
                  <c:v>-2.1000000000412902</c:v>
                </c:pt>
                <c:pt idx="22">
                  <c:v>-0.29999999992469401</c:v>
                </c:pt>
              </c:numCache>
            </c:numRef>
          </c:val>
        </c:ser>
        <c:ser>
          <c:idx val="1"/>
          <c:order val="1"/>
          <c:tx>
            <c:strRef>
              <c:f>'zk79+565'!$H$4:$L$4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'zk79+565'!$A$6:$A$35</c:f>
              <c:numCache>
                <c:formatCode>m"月"d"日";@</c:formatCode>
                <c:ptCount val="30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'zk79+565'!$K$6:$K$31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-0.10000000008858501</c:v>
                </c:pt>
                <c:pt idx="2">
                  <c:v>-0.20000000006348301</c:v>
                </c:pt>
                <c:pt idx="3">
                  <c:v>-0.10000000008858501</c:v>
                </c:pt>
                <c:pt idx="4">
                  <c:v>-0.40000000001327901</c:v>
                </c:pt>
                <c:pt idx="5">
                  <c:v>-0.30000000003838101</c:v>
                </c:pt>
                <c:pt idx="6">
                  <c:v>-0.60000000007676102</c:v>
                </c:pt>
                <c:pt idx="7">
                  <c:v>-0.70000000005165897</c:v>
                </c:pt>
                <c:pt idx="8">
                  <c:v>-0.80000000002655702</c:v>
                </c:pt>
                <c:pt idx="9">
                  <c:v>-1.00000000009004</c:v>
                </c:pt>
                <c:pt idx="10">
                  <c:v>-1.00000000009004</c:v>
                </c:pt>
                <c:pt idx="11">
                  <c:v>-1.1000000000649399</c:v>
                </c:pt>
                <c:pt idx="12">
                  <c:v>-0.90000000000145497</c:v>
                </c:pt>
                <c:pt idx="13">
                  <c:v>-1.30000000001473</c:v>
                </c:pt>
                <c:pt idx="14">
                  <c:v>-1.39999999998963</c:v>
                </c:pt>
                <c:pt idx="15">
                  <c:v>-1.2000000000398401</c:v>
                </c:pt>
                <c:pt idx="16">
                  <c:v>-1.60000000005311</c:v>
                </c:pt>
                <c:pt idx="17">
                  <c:v>-1.70000000002801</c:v>
                </c:pt>
                <c:pt idx="18">
                  <c:v>-1.9000000000915001</c:v>
                </c:pt>
                <c:pt idx="19">
                  <c:v>-2.2000000000161899</c:v>
                </c:pt>
                <c:pt idx="20">
                  <c:v>-2.00000000006639</c:v>
                </c:pt>
                <c:pt idx="21">
                  <c:v>-2.2000000000161899</c:v>
                </c:pt>
                <c:pt idx="22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'zk79+565'!$M$4:$Q$4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'zk79+565'!$A$6:$A$35</c:f>
              <c:numCache>
                <c:formatCode>m"月"d"日";@</c:formatCode>
                <c:ptCount val="30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'zk79+565'!$P$6:$P$29</c:f>
              <c:numCache>
                <c:formatCode>0.00_ </c:formatCode>
                <c:ptCount val="24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0</c:v>
                </c:pt>
                <c:pt idx="4">
                  <c:v>-0.39999999989959201</c:v>
                </c:pt>
                <c:pt idx="5">
                  <c:v>-0.49999999998817701</c:v>
                </c:pt>
                <c:pt idx="6">
                  <c:v>-0.59999999996307496</c:v>
                </c:pt>
                <c:pt idx="7">
                  <c:v>-0.29999999992469401</c:v>
                </c:pt>
                <c:pt idx="8">
                  <c:v>-0.79999999991286996</c:v>
                </c:pt>
                <c:pt idx="9">
                  <c:v>-0.90000000000145497</c:v>
                </c:pt>
                <c:pt idx="10">
                  <c:v>-0.59999999996307496</c:v>
                </c:pt>
                <c:pt idx="11">
                  <c:v>-1.09999999995125</c:v>
                </c:pt>
                <c:pt idx="12">
                  <c:v>-1.1999999999261499</c:v>
                </c:pt>
                <c:pt idx="13">
                  <c:v>-1.09999999995125</c:v>
                </c:pt>
                <c:pt idx="14">
                  <c:v>-1.39999999998963</c:v>
                </c:pt>
                <c:pt idx="15">
                  <c:v>-1.4999999999645299</c:v>
                </c:pt>
                <c:pt idx="16">
                  <c:v>-1.2999999999010501</c:v>
                </c:pt>
                <c:pt idx="17">
                  <c:v>-1.69999999991433</c:v>
                </c:pt>
                <c:pt idx="18">
                  <c:v>-1.8000000000029099</c:v>
                </c:pt>
                <c:pt idx="19">
                  <c:v>-1.8999999999778101</c:v>
                </c:pt>
                <c:pt idx="20">
                  <c:v>-2.1999999999024999</c:v>
                </c:pt>
                <c:pt idx="21">
                  <c:v>-1.9999999999527101</c:v>
                </c:pt>
              </c:numCache>
            </c:numRef>
          </c:val>
        </c:ser>
        <c:dLbls/>
        <c:marker val="1"/>
        <c:axId val="390406144"/>
        <c:axId val="390408448"/>
      </c:lineChart>
      <c:lineChart>
        <c:grouping val="standard"/>
        <c:ser>
          <c:idx val="3"/>
          <c:order val="3"/>
          <c:tx>
            <c:strRef>
              <c:f>'zk79+565'!$AG$3:$AG$5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'zk79+565'!$A$6:$A$35</c:f>
              <c:numCache>
                <c:formatCode>m"月"d"日";@</c:formatCode>
                <c:ptCount val="30"/>
                <c:pt idx="0">
                  <c:v>44648</c:v>
                </c:pt>
                <c:pt idx="1">
                  <c:v>44649</c:v>
                </c:pt>
                <c:pt idx="2">
                  <c:v>44650</c:v>
                </c:pt>
                <c:pt idx="3">
                  <c:v>44651</c:v>
                </c:pt>
                <c:pt idx="4">
                  <c:v>44652</c:v>
                </c:pt>
                <c:pt idx="5">
                  <c:v>44653</c:v>
                </c:pt>
                <c:pt idx="6">
                  <c:v>44654</c:v>
                </c:pt>
                <c:pt idx="7">
                  <c:v>44655</c:v>
                </c:pt>
                <c:pt idx="8">
                  <c:v>44656</c:v>
                </c:pt>
                <c:pt idx="9">
                  <c:v>44657</c:v>
                </c:pt>
                <c:pt idx="10">
                  <c:v>44658</c:v>
                </c:pt>
                <c:pt idx="11">
                  <c:v>44659</c:v>
                </c:pt>
                <c:pt idx="12">
                  <c:v>44660</c:v>
                </c:pt>
                <c:pt idx="13">
                  <c:v>44661</c:v>
                </c:pt>
                <c:pt idx="14">
                  <c:v>44662</c:v>
                </c:pt>
                <c:pt idx="15">
                  <c:v>44664</c:v>
                </c:pt>
                <c:pt idx="16">
                  <c:v>44666</c:v>
                </c:pt>
                <c:pt idx="17">
                  <c:v>44668</c:v>
                </c:pt>
                <c:pt idx="18">
                  <c:v>44670</c:v>
                </c:pt>
                <c:pt idx="19">
                  <c:v>44672</c:v>
                </c:pt>
                <c:pt idx="20">
                  <c:v>44674</c:v>
                </c:pt>
                <c:pt idx="21">
                  <c:v>44676</c:v>
                </c:pt>
              </c:numCache>
            </c:numRef>
          </c:cat>
          <c:val>
            <c:numRef>
              <c:f>'zk79+565'!$AG$6:$AG$32</c:f>
              <c:numCache>
                <c:formatCode>0.0_ </c:formatCode>
                <c:ptCount val="27"/>
                <c:pt idx="0">
                  <c:v>12</c:v>
                </c:pt>
                <c:pt idx="1">
                  <c:v>18</c:v>
                </c:pt>
                <c:pt idx="2">
                  <c:v>24</c:v>
                </c:pt>
                <c:pt idx="3">
                  <c:v>30</c:v>
                </c:pt>
                <c:pt idx="4">
                  <c:v>36</c:v>
                </c:pt>
                <c:pt idx="5">
                  <c:v>42</c:v>
                </c:pt>
                <c:pt idx="6">
                  <c:v>48</c:v>
                </c:pt>
                <c:pt idx="7">
                  <c:v>54</c:v>
                </c:pt>
                <c:pt idx="8">
                  <c:v>60</c:v>
                </c:pt>
                <c:pt idx="9">
                  <c:v>66</c:v>
                </c:pt>
                <c:pt idx="10">
                  <c:v>72</c:v>
                </c:pt>
                <c:pt idx="11">
                  <c:v>78</c:v>
                </c:pt>
                <c:pt idx="12">
                  <c:v>81</c:v>
                </c:pt>
                <c:pt idx="13">
                  <c:v>84</c:v>
                </c:pt>
                <c:pt idx="14">
                  <c:v>87</c:v>
                </c:pt>
                <c:pt idx="15">
                  <c:v>90</c:v>
                </c:pt>
                <c:pt idx="16">
                  <c:v>93</c:v>
                </c:pt>
                <c:pt idx="17">
                  <c:v>96</c:v>
                </c:pt>
                <c:pt idx="18">
                  <c:v>99</c:v>
                </c:pt>
                <c:pt idx="19">
                  <c:v>102</c:v>
                </c:pt>
                <c:pt idx="20">
                  <c:v>105</c:v>
                </c:pt>
                <c:pt idx="21">
                  <c:v>107</c:v>
                </c:pt>
              </c:numCache>
            </c:numRef>
          </c:val>
        </c:ser>
        <c:dLbls/>
        <c:marker val="1"/>
        <c:axId val="390427008"/>
        <c:axId val="390428544"/>
      </c:lineChart>
      <c:dateAx>
        <c:axId val="3904061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408448"/>
        <c:crossesAt val="-50"/>
        <c:auto val="1"/>
        <c:lblOffset val="100"/>
        <c:baseTimeUnit val="days"/>
        <c:majorUnit val="4"/>
        <c:majorTimeUnit val="days"/>
      </c:dateAx>
      <c:valAx>
        <c:axId val="390408448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406144"/>
        <c:crosses val="autoZero"/>
        <c:crossBetween val="midCat"/>
        <c:majorUnit val="1"/>
        <c:minorUnit val="0.5"/>
      </c:valAx>
      <c:dateAx>
        <c:axId val="39042700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428544"/>
        <c:crosses val="autoZero"/>
        <c:auto val="1"/>
        <c:lblOffset val="100"/>
        <c:baseTimeUnit val="days"/>
      </c:dateAx>
      <c:valAx>
        <c:axId val="390428544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42700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8946851769315001"/>
          <c:y val="1.067690382118610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'zk79+593'!$U$4:$W$4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'zk79+593'!$S$6:$S$28</c:f>
              <c:numCache>
                <c:formatCode>m"月"d"日";@</c:formatCode>
                <c:ptCount val="23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'zk79+593'!$V$6:$V$33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-0.19999999999953399</c:v>
                </c:pt>
                <c:pt idx="4">
                  <c:v>-0.499999999999723</c:v>
                </c:pt>
                <c:pt idx="5">
                  <c:v>-0.59999999999949005</c:v>
                </c:pt>
                <c:pt idx="6">
                  <c:v>-0.499999999999723</c:v>
                </c:pt>
                <c:pt idx="7">
                  <c:v>-0.799999999999912</c:v>
                </c:pt>
                <c:pt idx="8">
                  <c:v>-0.89999999999967895</c:v>
                </c:pt>
                <c:pt idx="9">
                  <c:v>-0.999999999999446</c:v>
                </c:pt>
                <c:pt idx="10">
                  <c:v>-1.50000000000006</c:v>
                </c:pt>
                <c:pt idx="11">
                  <c:v>-1.1999999999998701</c:v>
                </c:pt>
                <c:pt idx="12">
                  <c:v>-1.2999999999996299</c:v>
                </c:pt>
                <c:pt idx="13">
                  <c:v>-1.3999999999993999</c:v>
                </c:pt>
                <c:pt idx="14">
                  <c:v>-1.3999999999993999</c:v>
                </c:pt>
                <c:pt idx="15">
                  <c:v>-1.59999999999982</c:v>
                </c:pt>
                <c:pt idx="16">
                  <c:v>-1.7999999999993599</c:v>
                </c:pt>
                <c:pt idx="17">
                  <c:v>-2.0999999999995498</c:v>
                </c:pt>
                <c:pt idx="18">
                  <c:v>-2.1999999999993101</c:v>
                </c:pt>
                <c:pt idx="19">
                  <c:v>-2.2999999999999701</c:v>
                </c:pt>
                <c:pt idx="20">
                  <c:v>-2.59999999999927</c:v>
                </c:pt>
                <c:pt idx="21">
                  <c:v>-2.7999999999996898</c:v>
                </c:pt>
                <c:pt idx="22">
                  <c:v>-2.4999999999995</c:v>
                </c:pt>
                <c:pt idx="23">
                  <c:v>-0.799999999999912</c:v>
                </c:pt>
              </c:numCache>
            </c:numRef>
          </c:val>
        </c:ser>
        <c:ser>
          <c:idx val="1"/>
          <c:order val="1"/>
          <c:tx>
            <c:strRef>
              <c:f>'zk79+593'!$Y$4:$AA$4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'zk79+593'!$S$6:$S$28</c:f>
              <c:numCache>
                <c:formatCode>m"月"d"日";@</c:formatCode>
                <c:ptCount val="23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'zk79+593'!$Z$6:$Z$34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-0.49999999999883499</c:v>
                </c:pt>
                <c:pt idx="6">
                  <c:v>-0.39999999999906799</c:v>
                </c:pt>
                <c:pt idx="7">
                  <c:v>-0.89999999999967895</c:v>
                </c:pt>
                <c:pt idx="8">
                  <c:v>-1.0999999999992101</c:v>
                </c:pt>
                <c:pt idx="9">
                  <c:v>-1.2999999999987499</c:v>
                </c:pt>
                <c:pt idx="10">
                  <c:v>-1.0999999999992101</c:v>
                </c:pt>
                <c:pt idx="11">
                  <c:v>-1.6999999999995901</c:v>
                </c:pt>
                <c:pt idx="12">
                  <c:v>-1.8999999999991199</c:v>
                </c:pt>
                <c:pt idx="13">
                  <c:v>-1.7999999999993599</c:v>
                </c:pt>
                <c:pt idx="14">
                  <c:v>-2.2999999999999701</c:v>
                </c:pt>
                <c:pt idx="15">
                  <c:v>-2.4999999999995</c:v>
                </c:pt>
                <c:pt idx="16">
                  <c:v>-2.6999999999990401</c:v>
                </c:pt>
                <c:pt idx="17">
                  <c:v>-2.59999999999927</c:v>
                </c:pt>
                <c:pt idx="18">
                  <c:v>-3.0999999999998802</c:v>
                </c:pt>
                <c:pt idx="19">
                  <c:v>-3.1999999999996498</c:v>
                </c:pt>
                <c:pt idx="20">
                  <c:v>-3.4999999999989502</c:v>
                </c:pt>
                <c:pt idx="21">
                  <c:v>-3.5999999999987198</c:v>
                </c:pt>
                <c:pt idx="22">
                  <c:v>-3.2999999999994101</c:v>
                </c:pt>
                <c:pt idx="23">
                  <c:v>-4.0000000000013403</c:v>
                </c:pt>
              </c:numCache>
            </c:numRef>
          </c:val>
        </c:ser>
        <c:ser>
          <c:idx val="2"/>
          <c:order val="2"/>
          <c:tx>
            <c:strRef>
              <c:f>'zk79+593'!$AC$4:$AE$4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'zk79+593'!$S$6:$S$28</c:f>
              <c:numCache>
                <c:formatCode>m"月"d"日";@</c:formatCode>
                <c:ptCount val="23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'zk79+593'!$AD$6:$AD$38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-0.10000000000154299</c:v>
                </c:pt>
                <c:pt idx="3">
                  <c:v>-0.60000000000037801</c:v>
                </c:pt>
                <c:pt idx="4">
                  <c:v>-0.80000000000168803</c:v>
                </c:pt>
                <c:pt idx="5">
                  <c:v>-0.70000000000014495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-1.4000000000002899</c:v>
                </c:pt>
                <c:pt idx="9">
                  <c:v>-1.80000000000113</c:v>
                </c:pt>
                <c:pt idx="10">
                  <c:v>-2.0000000000006701</c:v>
                </c:pt>
                <c:pt idx="11">
                  <c:v>-1.80000000000113</c:v>
                </c:pt>
                <c:pt idx="12">
                  <c:v>-2.4000000000015098</c:v>
                </c:pt>
                <c:pt idx="13">
                  <c:v>-2.6000000000010499</c:v>
                </c:pt>
                <c:pt idx="14">
                  <c:v>-2.7000000000008102</c:v>
                </c:pt>
                <c:pt idx="15">
                  <c:v>-3.0000000000001101</c:v>
                </c:pt>
                <c:pt idx="16">
                  <c:v>-3.30000000000119</c:v>
                </c:pt>
                <c:pt idx="17">
                  <c:v>-3.70000000000026</c:v>
                </c:pt>
                <c:pt idx="18">
                  <c:v>-3.9000000000015702</c:v>
                </c:pt>
                <c:pt idx="19">
                  <c:v>-4.2000000000008697</c:v>
                </c:pt>
                <c:pt idx="20">
                  <c:v>-4.1000000000011001</c:v>
                </c:pt>
                <c:pt idx="21">
                  <c:v>-3.80000000000003</c:v>
                </c:pt>
                <c:pt idx="22">
                  <c:v>-4.0000000000013403</c:v>
                </c:pt>
              </c:numCache>
            </c:numRef>
          </c:val>
        </c:ser>
        <c:dLbls/>
        <c:marker val="1"/>
        <c:axId val="390644480"/>
        <c:axId val="390646784"/>
      </c:lineChart>
      <c:lineChart>
        <c:grouping val="standard"/>
        <c:ser>
          <c:idx val="3"/>
          <c:order val="3"/>
          <c:tx>
            <c:strRef>
              <c:f>'zk79+593'!$AG$3:$AG$5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'zk79+593'!$S$6:$S$28</c:f>
              <c:numCache>
                <c:formatCode>m"月"d"日";@</c:formatCode>
                <c:ptCount val="23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'zk79+593'!$AG$6:$AG$28</c:f>
              <c:numCache>
                <c:formatCode>0.0_ </c:formatCode>
                <c:ptCount val="23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40</c:v>
                </c:pt>
                <c:pt idx="11">
                  <c:v>46</c:v>
                </c:pt>
                <c:pt idx="12">
                  <c:v>52</c:v>
                </c:pt>
                <c:pt idx="13">
                  <c:v>58</c:v>
                </c:pt>
                <c:pt idx="14">
                  <c:v>64</c:v>
                </c:pt>
                <c:pt idx="15">
                  <c:v>70</c:v>
                </c:pt>
                <c:pt idx="16">
                  <c:v>76</c:v>
                </c:pt>
                <c:pt idx="17">
                  <c:v>82</c:v>
                </c:pt>
                <c:pt idx="18">
                  <c:v>88</c:v>
                </c:pt>
                <c:pt idx="19">
                  <c:v>94</c:v>
                </c:pt>
                <c:pt idx="20">
                  <c:v>100</c:v>
                </c:pt>
                <c:pt idx="21">
                  <c:v>112</c:v>
                </c:pt>
                <c:pt idx="22">
                  <c:v>124</c:v>
                </c:pt>
              </c:numCache>
            </c:numRef>
          </c:val>
        </c:ser>
        <c:dLbls/>
        <c:marker val="1"/>
        <c:axId val="390657152"/>
        <c:axId val="390658688"/>
      </c:lineChart>
      <c:dateAx>
        <c:axId val="3906444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646784"/>
        <c:crossesAt val="-50"/>
        <c:auto val="1"/>
        <c:lblOffset val="100"/>
        <c:baseTimeUnit val="days"/>
        <c:majorUnit val="5"/>
        <c:majorTimeUnit val="days"/>
      </c:dateAx>
      <c:valAx>
        <c:axId val="390646784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644480"/>
        <c:crosses val="autoZero"/>
        <c:crossBetween val="midCat"/>
        <c:majorUnit val="2"/>
        <c:minorUnit val="0.1"/>
      </c:valAx>
      <c:dateAx>
        <c:axId val="3906571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658688"/>
        <c:crosses val="autoZero"/>
        <c:auto val="1"/>
        <c:lblOffset val="100"/>
        <c:baseTimeUnit val="days"/>
      </c:dateAx>
      <c:valAx>
        <c:axId val="39065868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65715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65354331"/>
          <c:y val="0.21524493687917506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'zk79+593'!$C$4:$G$4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'zk79+593'!$A$6:$A$39</c:f>
              <c:numCache>
                <c:formatCode>m"月"d"日";@</c:formatCode>
                <c:ptCount val="34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'zk79+593'!$G$6:$G$35</c:f>
              <c:numCache>
                <c:formatCode>0.00_ </c:formatCode>
                <c:ptCount val="30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0.40000000001327901</c:v>
                </c:pt>
                <c:pt idx="11">
                  <c:v>-0.79999999991286996</c:v>
                </c:pt>
                <c:pt idx="12">
                  <c:v>-0.20000000006348301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-4.9999999987449001E-2</c:v>
                </c:pt>
                <c:pt idx="18">
                  <c:v>-0.149999999962347</c:v>
                </c:pt>
                <c:pt idx="19">
                  <c:v>9.9999999974897905E-2</c:v>
                </c:pt>
                <c:pt idx="20">
                  <c:v>-0.29999999998153698</c:v>
                </c:pt>
                <c:pt idx="21">
                  <c:v>-5.0000000044292399E-2</c:v>
                </c:pt>
                <c:pt idx="22">
                  <c:v>0.15000000001919001</c:v>
                </c:pt>
                <c:pt idx="23">
                  <c:v>-1.09999999995125</c:v>
                </c:pt>
              </c:numCache>
            </c:numRef>
          </c:val>
        </c:ser>
        <c:ser>
          <c:idx val="1"/>
          <c:order val="1"/>
          <c:tx>
            <c:strRef>
              <c:f>'zk79+593'!$H$4:$L$4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'zk79+593'!$A$6:$A$39</c:f>
              <c:numCache>
                <c:formatCode>m"月"d"日";@</c:formatCode>
                <c:ptCount val="34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'zk79+593'!$L$6:$L$36</c:f>
              <c:numCache>
                <c:formatCode>0.00_ </c:formatCode>
                <c:ptCount val="31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9.9999999974897905E-2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-9.9999999974897905E-2</c:v>
                </c:pt>
                <c:pt idx="7">
                  <c:v>9.9999999974897905E-2</c:v>
                </c:pt>
                <c:pt idx="8">
                  <c:v>-0.30000000003838101</c:v>
                </c:pt>
                <c:pt idx="9">
                  <c:v>-9.9999999974897905E-2</c:v>
                </c:pt>
                <c:pt idx="10">
                  <c:v>-0.199999999949796</c:v>
                </c:pt>
                <c:pt idx="11">
                  <c:v>0</c:v>
                </c:pt>
                <c:pt idx="12">
                  <c:v>-9.9999999974897905E-2</c:v>
                </c:pt>
                <c:pt idx="13">
                  <c:v>-0.10000000008858501</c:v>
                </c:pt>
                <c:pt idx="14">
                  <c:v>0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-9.9999999974897905E-2</c:v>
                </c:pt>
                <c:pt idx="18">
                  <c:v>-4.9999999987449001E-2</c:v>
                </c:pt>
                <c:pt idx="19">
                  <c:v>-0.15000000001919001</c:v>
                </c:pt>
                <c:pt idx="20">
                  <c:v>4.9999999987449001E-2</c:v>
                </c:pt>
                <c:pt idx="21">
                  <c:v>-9.9999999974897905E-2</c:v>
                </c:pt>
                <c:pt idx="22">
                  <c:v>0.15000000001919001</c:v>
                </c:pt>
              </c:numCache>
            </c:numRef>
          </c:val>
        </c:ser>
        <c:ser>
          <c:idx val="2"/>
          <c:order val="2"/>
          <c:tx>
            <c:strRef>
              <c:f>'zk79+593'!$M$4:$Q$4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'zk79+593'!$A$6:$A$39</c:f>
              <c:numCache>
                <c:formatCode>m"月"d"日";@</c:formatCode>
                <c:ptCount val="34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'zk79+593'!$Q$6:$Q$32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0.20000000006348301</c:v>
                </c:pt>
                <c:pt idx="8">
                  <c:v>-0.60000000007676102</c:v>
                </c:pt>
                <c:pt idx="9">
                  <c:v>-0.199999999949796</c:v>
                </c:pt>
                <c:pt idx="10">
                  <c:v>-0.199999999949796</c:v>
                </c:pt>
                <c:pt idx="11">
                  <c:v>0.49999999998817701</c:v>
                </c:pt>
                <c:pt idx="12">
                  <c:v>-0.90000000000145497</c:v>
                </c:pt>
                <c:pt idx="13">
                  <c:v>-0.20000000006348301</c:v>
                </c:pt>
                <c:pt idx="14">
                  <c:v>-9.9999999974897905E-2</c:v>
                </c:pt>
                <c:pt idx="15">
                  <c:v>-0.15000000001919001</c:v>
                </c:pt>
                <c:pt idx="16">
                  <c:v>-9.9999999974897905E-2</c:v>
                </c:pt>
                <c:pt idx="17">
                  <c:v>-0.15000000001919001</c:v>
                </c:pt>
                <c:pt idx="18">
                  <c:v>-0.20000000000663901</c:v>
                </c:pt>
                <c:pt idx="19">
                  <c:v>-4.9999999987449001E-2</c:v>
                </c:pt>
                <c:pt idx="20">
                  <c:v>-0.24999999999408801</c:v>
                </c:pt>
                <c:pt idx="21">
                  <c:v>0.15000000001919001</c:v>
                </c:pt>
                <c:pt idx="22">
                  <c:v>4.9999999987449001E-2</c:v>
                </c:pt>
              </c:numCache>
            </c:numRef>
          </c:val>
        </c:ser>
        <c:dLbls/>
        <c:marker val="1"/>
        <c:axId val="390503040"/>
        <c:axId val="390599808"/>
      </c:lineChart>
      <c:dateAx>
        <c:axId val="3905030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599808"/>
        <c:crossesAt val="-50"/>
        <c:auto val="1"/>
        <c:lblOffset val="100"/>
        <c:baseTimeUnit val="days"/>
        <c:majorUnit val="5"/>
        <c:majorTimeUnit val="days"/>
      </c:dateAx>
      <c:valAx>
        <c:axId val="39059980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50304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9+593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'zk79+593'!$U$4:$W$4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'zk79+593'!$S$6:$S$42</c:f>
              <c:numCache>
                <c:formatCode>m"月"d"日";@</c:formatCode>
                <c:ptCount val="37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'zk79+593'!$W$6:$W$33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9.99999999997669E-2</c:v>
                </c:pt>
                <c:pt idx="3">
                  <c:v>-9.99999999997669E-2</c:v>
                </c:pt>
                <c:pt idx="4">
                  <c:v>0.300000000000189</c:v>
                </c:pt>
                <c:pt idx="5">
                  <c:v>9.99999999997669E-2</c:v>
                </c:pt>
                <c:pt idx="6">
                  <c:v>-9.99999999997669E-2</c:v>
                </c:pt>
                <c:pt idx="7">
                  <c:v>0.300000000000189</c:v>
                </c:pt>
                <c:pt idx="8">
                  <c:v>9.99999999997669E-2</c:v>
                </c:pt>
                <c:pt idx="9">
                  <c:v>9.99999999997669E-2</c:v>
                </c:pt>
                <c:pt idx="10">
                  <c:v>0.50000000000061096</c:v>
                </c:pt>
                <c:pt idx="11">
                  <c:v>-0.300000000000189</c:v>
                </c:pt>
                <c:pt idx="12">
                  <c:v>9.99999999997669E-2</c:v>
                </c:pt>
                <c:pt idx="13">
                  <c:v>9.99999999997669E-2</c:v>
                </c:pt>
                <c:pt idx="14">
                  <c:v>0</c:v>
                </c:pt>
                <c:pt idx="15">
                  <c:v>0.100000000000211</c:v>
                </c:pt>
                <c:pt idx="16">
                  <c:v>9.99999999997669E-2</c:v>
                </c:pt>
                <c:pt idx="17">
                  <c:v>0.150000000000095</c:v>
                </c:pt>
                <c:pt idx="18">
                  <c:v>4.9999999999883499E-2</c:v>
                </c:pt>
                <c:pt idx="19">
                  <c:v>5.0000000000327602E-2</c:v>
                </c:pt>
                <c:pt idx="20">
                  <c:v>0.14999999999965</c:v>
                </c:pt>
                <c:pt idx="21">
                  <c:v>0.100000000000211</c:v>
                </c:pt>
                <c:pt idx="22">
                  <c:v>-0.150000000000095</c:v>
                </c:pt>
                <c:pt idx="23">
                  <c:v>-1.0000000000012199</c:v>
                </c:pt>
              </c:numCache>
            </c:numRef>
          </c:val>
        </c:ser>
        <c:ser>
          <c:idx val="1"/>
          <c:order val="1"/>
          <c:tx>
            <c:strRef>
              <c:f>'zk79+593'!$Y$4:$AA$4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'zk79+593'!$S$6:$S$42</c:f>
              <c:numCache>
                <c:formatCode>m"月"d"日";@</c:formatCode>
                <c:ptCount val="37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'zk79+593'!$AA$6:$AA$32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0.29999999999930099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9.99999999997669E-2</c:v>
                </c:pt>
                <c:pt idx="7">
                  <c:v>-0.50000000000061096</c:v>
                </c:pt>
                <c:pt idx="8">
                  <c:v>-0.19999999999953399</c:v>
                </c:pt>
                <c:pt idx="9">
                  <c:v>-0.19999999999953399</c:v>
                </c:pt>
                <c:pt idx="10">
                  <c:v>0.19999999999953399</c:v>
                </c:pt>
                <c:pt idx="11">
                  <c:v>-0.60000000000037801</c:v>
                </c:pt>
                <c:pt idx="12">
                  <c:v>-0.19999999999953399</c:v>
                </c:pt>
                <c:pt idx="13">
                  <c:v>9.99999999997669E-2</c:v>
                </c:pt>
                <c:pt idx="14">
                  <c:v>-0.50000000000061096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-0.25000000000030598</c:v>
                </c:pt>
                <c:pt idx="19">
                  <c:v>-4.9999999999883499E-2</c:v>
                </c:pt>
                <c:pt idx="20">
                  <c:v>-0.14999999999965</c:v>
                </c:pt>
                <c:pt idx="21">
                  <c:v>-4.9999999999883499E-2</c:v>
                </c:pt>
                <c:pt idx="22">
                  <c:v>0.14999999999965</c:v>
                </c:pt>
                <c:pt idx="23">
                  <c:v>-5.7142857142850799E-2</c:v>
                </c:pt>
              </c:numCache>
            </c:numRef>
          </c:val>
        </c:ser>
        <c:ser>
          <c:idx val="2"/>
          <c:order val="2"/>
          <c:tx>
            <c:strRef>
              <c:f>'zk79+593'!$AC$4:$AE$4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'zk79+593'!$S$6:$S$42</c:f>
              <c:numCache>
                <c:formatCode>m"月"d"日";@</c:formatCode>
                <c:ptCount val="37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'zk79+593'!$AE$6:$AE$39</c:f>
              <c:numCache>
                <c:formatCode>0.00_ </c:formatCode>
                <c:ptCount val="34"/>
                <c:pt idx="0">
                  <c:v>0</c:v>
                </c:pt>
                <c:pt idx="1">
                  <c:v>-0.20000000000130999</c:v>
                </c:pt>
                <c:pt idx="2">
                  <c:v>9.99999999997669E-2</c:v>
                </c:pt>
                <c:pt idx="3">
                  <c:v>-0.49999999999883499</c:v>
                </c:pt>
                <c:pt idx="4">
                  <c:v>-0.20000000000130999</c:v>
                </c:pt>
                <c:pt idx="5">
                  <c:v>0.10000000000154299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0</c:v>
                </c:pt>
                <c:pt idx="9">
                  <c:v>-0.40000000000084401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-0.60000000000037801</c:v>
                </c:pt>
                <c:pt idx="13">
                  <c:v>-0.19999999999953399</c:v>
                </c:pt>
                <c:pt idx="14">
                  <c:v>-9.99999999997669E-2</c:v>
                </c:pt>
                <c:pt idx="15">
                  <c:v>-0.14999999999965</c:v>
                </c:pt>
                <c:pt idx="16">
                  <c:v>-0.15000000000053901</c:v>
                </c:pt>
                <c:pt idx="17">
                  <c:v>-0.19999999999953399</c:v>
                </c:pt>
                <c:pt idx="18">
                  <c:v>-0.100000000000655</c:v>
                </c:pt>
                <c:pt idx="19">
                  <c:v>-0.14999999999965</c:v>
                </c:pt>
                <c:pt idx="20">
                  <c:v>4.9999999999883499E-2</c:v>
                </c:pt>
                <c:pt idx="21">
                  <c:v>0.15000000000053901</c:v>
                </c:pt>
                <c:pt idx="22">
                  <c:v>-0.100000000000655</c:v>
                </c:pt>
              </c:numCache>
            </c:numRef>
          </c:val>
        </c:ser>
        <c:dLbls/>
        <c:marker val="1"/>
        <c:axId val="390700416"/>
        <c:axId val="390731648"/>
      </c:lineChart>
      <c:dateAx>
        <c:axId val="3907004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731648"/>
        <c:crossesAt val="-50"/>
        <c:auto val="1"/>
        <c:lblOffset val="100"/>
        <c:baseTimeUnit val="days"/>
        <c:majorUnit val="5"/>
        <c:majorTimeUnit val="days"/>
      </c:dateAx>
      <c:valAx>
        <c:axId val="39073164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7004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593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607796724796012"/>
          <c:y val="1.7857130915960407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'zk79+593'!$C$4:$G$4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'zk79+593'!$A$6:$A$35</c:f>
              <c:numCache>
                <c:formatCode>m"月"d"日";@</c:formatCode>
                <c:ptCount val="30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'zk79+593'!$F$6:$F$30</c:f>
              <c:numCache>
                <c:formatCode>0.00_ </c:formatCode>
                <c:ptCount val="25"/>
                <c:pt idx="0">
                  <c:v>0</c:v>
                </c:pt>
                <c:pt idx="1">
                  <c:v>-9.9999999974897905E-2</c:v>
                </c:pt>
                <c:pt idx="2">
                  <c:v>-0.29999999992469401</c:v>
                </c:pt>
                <c:pt idx="3">
                  <c:v>-0.199999999949796</c:v>
                </c:pt>
                <c:pt idx="4">
                  <c:v>-0.69999999993797202</c:v>
                </c:pt>
                <c:pt idx="5">
                  <c:v>-0.90000000000145497</c:v>
                </c:pt>
                <c:pt idx="6">
                  <c:v>-0.80000000002655702</c:v>
                </c:pt>
                <c:pt idx="7">
                  <c:v>-1.30000000001473</c:v>
                </c:pt>
                <c:pt idx="8">
                  <c:v>-1.4999999999645299</c:v>
                </c:pt>
                <c:pt idx="9">
                  <c:v>-1.70000000002801</c:v>
                </c:pt>
                <c:pt idx="10">
                  <c:v>-1.30000000001473</c:v>
                </c:pt>
                <c:pt idx="11">
                  <c:v>-2.0999999999275998</c:v>
                </c:pt>
                <c:pt idx="12">
                  <c:v>-2.2999999999910901</c:v>
                </c:pt>
                <c:pt idx="13">
                  <c:v>-2.2000000000161899</c:v>
                </c:pt>
                <c:pt idx="14">
                  <c:v>-2.70000000000437</c:v>
                </c:pt>
                <c:pt idx="15">
                  <c:v>-2.8999999999541601</c:v>
                </c:pt>
                <c:pt idx="16">
                  <c:v>-3.1000000000176402</c:v>
                </c:pt>
                <c:pt idx="17">
                  <c:v>-3.1999999999925399</c:v>
                </c:pt>
                <c:pt idx="18">
                  <c:v>-3.49999999991724</c:v>
                </c:pt>
                <c:pt idx="19">
                  <c:v>-3.2999999999674401</c:v>
                </c:pt>
                <c:pt idx="20">
                  <c:v>-3.8999999999305102</c:v>
                </c:pt>
                <c:pt idx="21">
                  <c:v>-4.0000000000191003</c:v>
                </c:pt>
                <c:pt idx="22">
                  <c:v>-3.69999999998072</c:v>
                </c:pt>
                <c:pt idx="23">
                  <c:v>-0.59999999996307496</c:v>
                </c:pt>
              </c:numCache>
            </c:numRef>
          </c:val>
        </c:ser>
        <c:ser>
          <c:idx val="1"/>
          <c:order val="1"/>
          <c:tx>
            <c:strRef>
              <c:f>'zk79+593'!$H$4:$L$4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'zk79+593'!$A$6:$A$35</c:f>
              <c:numCache>
                <c:formatCode>m"月"d"日";@</c:formatCode>
                <c:ptCount val="30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'zk79+593'!$K$6:$K$31</c:f>
              <c:numCache>
                <c:formatCode>0.00_ </c:formatCode>
                <c:ptCount val="26"/>
                <c:pt idx="0">
                  <c:v>0</c:v>
                </c:pt>
                <c:pt idx="1">
                  <c:v>9.9999999974897905E-2</c:v>
                </c:pt>
                <c:pt idx="2">
                  <c:v>0</c:v>
                </c:pt>
                <c:pt idx="3">
                  <c:v>9.9999999974897905E-2</c:v>
                </c:pt>
                <c:pt idx="4">
                  <c:v>-0.20000000006348301</c:v>
                </c:pt>
                <c:pt idx="5">
                  <c:v>-0.30000000003838101</c:v>
                </c:pt>
                <c:pt idx="6">
                  <c:v>-0.40000000001327901</c:v>
                </c:pt>
                <c:pt idx="7">
                  <c:v>-0.30000000003838101</c:v>
                </c:pt>
                <c:pt idx="8">
                  <c:v>-0.60000000007676102</c:v>
                </c:pt>
                <c:pt idx="9">
                  <c:v>-0.70000000005165897</c:v>
                </c:pt>
                <c:pt idx="10">
                  <c:v>-0.90000000000145497</c:v>
                </c:pt>
                <c:pt idx="11">
                  <c:v>-0.90000000000145497</c:v>
                </c:pt>
                <c:pt idx="12">
                  <c:v>-0.99999999997635303</c:v>
                </c:pt>
                <c:pt idx="13">
                  <c:v>-1.1000000000649399</c:v>
                </c:pt>
                <c:pt idx="14">
                  <c:v>-1.1000000000649399</c:v>
                </c:pt>
                <c:pt idx="15">
                  <c:v>-1.30000000001473</c:v>
                </c:pt>
                <c:pt idx="16">
                  <c:v>-1.5000000000782201</c:v>
                </c:pt>
                <c:pt idx="17">
                  <c:v>-1.70000000002801</c:v>
                </c:pt>
                <c:pt idx="18">
                  <c:v>-1.8000000000029099</c:v>
                </c:pt>
                <c:pt idx="19">
                  <c:v>-2.1000000000412902</c:v>
                </c:pt>
                <c:pt idx="20">
                  <c:v>-2.00000000006639</c:v>
                </c:pt>
                <c:pt idx="21">
                  <c:v>-2.2000000000161899</c:v>
                </c:pt>
                <c:pt idx="22">
                  <c:v>-1.8999999999778101</c:v>
                </c:pt>
                <c:pt idx="23">
                  <c:v>-4.2857142854505301E-2</c:v>
                </c:pt>
              </c:numCache>
            </c:numRef>
          </c:val>
        </c:ser>
        <c:ser>
          <c:idx val="2"/>
          <c:order val="2"/>
          <c:tx>
            <c:strRef>
              <c:f>'zk79+593'!$M$4:$Q$4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'zk79+593'!$A$6:$A$35</c:f>
              <c:numCache>
                <c:formatCode>m"月"d"日";@</c:formatCode>
                <c:ptCount val="30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'zk79+593'!$P$6:$P$29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-1.2000000000398401</c:v>
                </c:pt>
                <c:pt idx="7">
                  <c:v>-0.99999999997635303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-1.4999999999645299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-2.70000000000437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-3.5000000000309202</c:v>
                </c:pt>
                <c:pt idx="18">
                  <c:v>-3.9000000000442001</c:v>
                </c:pt>
                <c:pt idx="19">
                  <c:v>-4.0000000000191003</c:v>
                </c:pt>
                <c:pt idx="20">
                  <c:v>-4.5000000000072804</c:v>
                </c:pt>
                <c:pt idx="21">
                  <c:v>-4.1999999999688997</c:v>
                </c:pt>
                <c:pt idx="22">
                  <c:v>-4.099999999994</c:v>
                </c:pt>
              </c:numCache>
            </c:numRef>
          </c:val>
        </c:ser>
        <c:dLbls/>
        <c:marker val="1"/>
        <c:axId val="390794624"/>
        <c:axId val="390813568"/>
      </c:lineChart>
      <c:lineChart>
        <c:grouping val="standard"/>
        <c:ser>
          <c:idx val="3"/>
          <c:order val="3"/>
          <c:tx>
            <c:strRef>
              <c:f>'zk79+593'!$AG$3:$AG$5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'zk79+593'!$A$6:$A$35</c:f>
              <c:numCache>
                <c:formatCode>m"月"d"日";@</c:formatCode>
                <c:ptCount val="30"/>
                <c:pt idx="0">
                  <c:v>44655</c:v>
                </c:pt>
                <c:pt idx="1">
                  <c:v>44656</c:v>
                </c:pt>
                <c:pt idx="2">
                  <c:v>44657</c:v>
                </c:pt>
                <c:pt idx="3">
                  <c:v>44658</c:v>
                </c:pt>
                <c:pt idx="4">
                  <c:v>44659</c:v>
                </c:pt>
                <c:pt idx="5">
                  <c:v>44660</c:v>
                </c:pt>
                <c:pt idx="6">
                  <c:v>44661</c:v>
                </c:pt>
                <c:pt idx="7">
                  <c:v>44662</c:v>
                </c:pt>
                <c:pt idx="8">
                  <c:v>44663</c:v>
                </c:pt>
                <c:pt idx="9">
                  <c:v>44664</c:v>
                </c:pt>
                <c:pt idx="10">
                  <c:v>44665</c:v>
                </c:pt>
                <c:pt idx="11">
                  <c:v>44666</c:v>
                </c:pt>
                <c:pt idx="12">
                  <c:v>44667</c:v>
                </c:pt>
                <c:pt idx="13">
                  <c:v>44668</c:v>
                </c:pt>
                <c:pt idx="14">
                  <c:v>44669</c:v>
                </c:pt>
                <c:pt idx="15">
                  <c:v>44671</c:v>
                </c:pt>
                <c:pt idx="16">
                  <c:v>44673</c:v>
                </c:pt>
                <c:pt idx="17">
                  <c:v>44675</c:v>
                </c:pt>
                <c:pt idx="18">
                  <c:v>44677</c:v>
                </c:pt>
                <c:pt idx="19">
                  <c:v>44679</c:v>
                </c:pt>
                <c:pt idx="20">
                  <c:v>44681</c:v>
                </c:pt>
                <c:pt idx="21">
                  <c:v>44683</c:v>
                </c:pt>
                <c:pt idx="22">
                  <c:v>44685</c:v>
                </c:pt>
              </c:numCache>
            </c:numRef>
          </c:cat>
          <c:val>
            <c:numRef>
              <c:f>'zk79+593'!$AG$6:$AG$31</c:f>
              <c:numCache>
                <c:formatCode>0.0_ </c:formatCode>
                <c:ptCount val="26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40</c:v>
                </c:pt>
                <c:pt idx="11">
                  <c:v>46</c:v>
                </c:pt>
                <c:pt idx="12">
                  <c:v>52</c:v>
                </c:pt>
                <c:pt idx="13">
                  <c:v>58</c:v>
                </c:pt>
                <c:pt idx="14">
                  <c:v>64</c:v>
                </c:pt>
                <c:pt idx="15">
                  <c:v>70</c:v>
                </c:pt>
                <c:pt idx="16">
                  <c:v>76</c:v>
                </c:pt>
                <c:pt idx="17">
                  <c:v>82</c:v>
                </c:pt>
                <c:pt idx="18">
                  <c:v>88</c:v>
                </c:pt>
                <c:pt idx="19">
                  <c:v>94</c:v>
                </c:pt>
                <c:pt idx="20">
                  <c:v>100</c:v>
                </c:pt>
                <c:pt idx="21">
                  <c:v>112</c:v>
                </c:pt>
                <c:pt idx="22">
                  <c:v>124</c:v>
                </c:pt>
              </c:numCache>
            </c:numRef>
          </c:val>
        </c:ser>
        <c:dLbls/>
        <c:marker val="1"/>
        <c:axId val="390823936"/>
        <c:axId val="390825472"/>
      </c:lineChart>
      <c:dateAx>
        <c:axId val="3907946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813568"/>
        <c:crossesAt val="-50"/>
        <c:auto val="1"/>
        <c:lblOffset val="100"/>
        <c:baseTimeUnit val="days"/>
        <c:majorUnit val="5"/>
        <c:majorTimeUnit val="days"/>
      </c:dateAx>
      <c:valAx>
        <c:axId val="390813568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794624"/>
        <c:crosses val="autoZero"/>
        <c:crossBetween val="midCat"/>
        <c:majorUnit val="2"/>
        <c:minorUnit val="0.5"/>
      </c:valAx>
      <c:dateAx>
        <c:axId val="3908239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825472"/>
        <c:crosses val="autoZero"/>
        <c:auto val="1"/>
        <c:lblOffset val="100"/>
        <c:baseTimeUnit val="days"/>
      </c:dateAx>
      <c:valAx>
        <c:axId val="390825472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82393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9+631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'zk79+631'!$U$4:$W$4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'zk79+631'!$S$6:$S$29</c:f>
              <c:numCache>
                <c:formatCode>m"月"d"日";@</c:formatCode>
                <c:ptCount val="24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'zk79+631'!$V$6:$V$34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-0.29999999999930099</c:v>
                </c:pt>
                <c:pt idx="2">
                  <c:v>-0.39999999999906799</c:v>
                </c:pt>
                <c:pt idx="3">
                  <c:v>-0.29999999999930099</c:v>
                </c:pt>
                <c:pt idx="4">
                  <c:v>-0.60000000000037801</c:v>
                </c:pt>
                <c:pt idx="5">
                  <c:v>-0.70000000000014495</c:v>
                </c:pt>
                <c:pt idx="6">
                  <c:v>-0.799999999999912</c:v>
                </c:pt>
                <c:pt idx="7">
                  <c:v>-1.0999999999992101</c:v>
                </c:pt>
                <c:pt idx="8">
                  <c:v>-0.999999999999446</c:v>
                </c:pt>
                <c:pt idx="9">
                  <c:v>-1.1999999999989801</c:v>
                </c:pt>
                <c:pt idx="10">
                  <c:v>-1.2999999999987499</c:v>
                </c:pt>
                <c:pt idx="11">
                  <c:v>-1.59999999999982</c:v>
                </c:pt>
                <c:pt idx="12">
                  <c:v>-1.7999999999993599</c:v>
                </c:pt>
                <c:pt idx="13">
                  <c:v>-1.99999999999889</c:v>
                </c:pt>
                <c:pt idx="14">
                  <c:v>-1.7999999999993599</c:v>
                </c:pt>
                <c:pt idx="15">
                  <c:v>-2.3999999999997401</c:v>
                </c:pt>
                <c:pt idx="16">
                  <c:v>-2.59999999999927</c:v>
                </c:pt>
                <c:pt idx="17">
                  <c:v>-2.4999999999995</c:v>
                </c:pt>
                <c:pt idx="18">
                  <c:v>-3.0000000000001101</c:v>
                </c:pt>
                <c:pt idx="19">
                  <c:v>-2.9000000000003499</c:v>
                </c:pt>
                <c:pt idx="20">
                  <c:v>-3.3999999999903001</c:v>
                </c:pt>
                <c:pt idx="21">
                  <c:v>-3.2999999999994101</c:v>
                </c:pt>
                <c:pt idx="22">
                  <c:v>-3.0000000000001101</c:v>
                </c:pt>
                <c:pt idx="23">
                  <c:v>-3.0999999999998802</c:v>
                </c:pt>
                <c:pt idx="24">
                  <c:v>-1.0999999999992101</c:v>
                </c:pt>
              </c:numCache>
            </c:numRef>
          </c:val>
        </c:ser>
        <c:ser>
          <c:idx val="1"/>
          <c:order val="1"/>
          <c:tx>
            <c:strRef>
              <c:f>'zk79+631'!$Y$4:$AA$4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'zk79+631'!$S$6:$S$29</c:f>
              <c:numCache>
                <c:formatCode>m"月"d"日";@</c:formatCode>
                <c:ptCount val="24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'zk79+631'!$Z$6:$Z$35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-0.29999999999930099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-1.59999999999982</c:v>
                </c:pt>
                <c:pt idx="10">
                  <c:v>-2.0000000000006701</c:v>
                </c:pt>
                <c:pt idx="11">
                  <c:v>-1.7999999999993599</c:v>
                </c:pt>
                <c:pt idx="12">
                  <c:v>-1.8999999999991199</c:v>
                </c:pt>
                <c:pt idx="13">
                  <c:v>-2.2999999999999701</c:v>
                </c:pt>
                <c:pt idx="14">
                  <c:v>-2.10000000000043</c:v>
                </c:pt>
                <c:pt idx="15">
                  <c:v>-2.2000000000002</c:v>
                </c:pt>
                <c:pt idx="16">
                  <c:v>-2.4999999999995</c:v>
                </c:pt>
                <c:pt idx="17">
                  <c:v>-2.3999999999997401</c:v>
                </c:pt>
                <c:pt idx="18">
                  <c:v>-2.7000000000008102</c:v>
                </c:pt>
                <c:pt idx="19">
                  <c:v>-2.59999999999927</c:v>
                </c:pt>
                <c:pt idx="20">
                  <c:v>-2.7000000000008102</c:v>
                </c:pt>
                <c:pt idx="21">
                  <c:v>-3.0000000000001101</c:v>
                </c:pt>
                <c:pt idx="22">
                  <c:v>-2.8000000000005798</c:v>
                </c:pt>
                <c:pt idx="23">
                  <c:v>-2.59999999999927</c:v>
                </c:pt>
                <c:pt idx="24">
                  <c:v>-3.70000000000026</c:v>
                </c:pt>
              </c:numCache>
            </c:numRef>
          </c:val>
        </c:ser>
        <c:ser>
          <c:idx val="2"/>
          <c:order val="2"/>
          <c:tx>
            <c:strRef>
              <c:f>'zk79+631'!$AC$4:$AE$4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'zk79+631'!$S$6:$S$29</c:f>
              <c:numCache>
                <c:formatCode>m"月"d"日";@</c:formatCode>
                <c:ptCount val="24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'zk79+631'!$AD$6:$AD$39</c:f>
              <c:numCache>
                <c:formatCode>0.00_ </c:formatCode>
                <c:ptCount val="34"/>
                <c:pt idx="0">
                  <c:v>0</c:v>
                </c:pt>
                <c:pt idx="1">
                  <c:v>0.20000000000130999</c:v>
                </c:pt>
                <c:pt idx="2">
                  <c:v>9.99999999997669E-2</c:v>
                </c:pt>
                <c:pt idx="3">
                  <c:v>-0.49999999999883499</c:v>
                </c:pt>
                <c:pt idx="4">
                  <c:v>-0.70000000000014495</c:v>
                </c:pt>
                <c:pt idx="5">
                  <c:v>-0.89999999999967895</c:v>
                </c:pt>
                <c:pt idx="6">
                  <c:v>-0.999999999999446</c:v>
                </c:pt>
                <c:pt idx="7">
                  <c:v>-1.2999999999987499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-1.6999999999995901</c:v>
                </c:pt>
                <c:pt idx="11">
                  <c:v>-2.0999999999986598</c:v>
                </c:pt>
                <c:pt idx="12">
                  <c:v>-2.3000000000088501</c:v>
                </c:pt>
                <c:pt idx="13">
                  <c:v>-2.2000000000002</c:v>
                </c:pt>
                <c:pt idx="14">
                  <c:v>-2.7000000000096902</c:v>
                </c:pt>
                <c:pt idx="15">
                  <c:v>-2.9000000000092299</c:v>
                </c:pt>
                <c:pt idx="16">
                  <c:v>-2.7999999999987999</c:v>
                </c:pt>
                <c:pt idx="17">
                  <c:v>-3.30000000001007</c:v>
                </c:pt>
                <c:pt idx="18">
                  <c:v>-3.5000000000096101</c:v>
                </c:pt>
                <c:pt idx="19">
                  <c:v>-3.80000000000003</c:v>
                </c:pt>
                <c:pt idx="20">
                  <c:v>-3.9000000000193298</c:v>
                </c:pt>
                <c:pt idx="21">
                  <c:v>-3.5999999999987198</c:v>
                </c:pt>
                <c:pt idx="22">
                  <c:v>-3.80000000000003</c:v>
                </c:pt>
                <c:pt idx="23">
                  <c:v>-3.70000000000026</c:v>
                </c:pt>
              </c:numCache>
            </c:numRef>
          </c:val>
        </c:ser>
        <c:dLbls/>
        <c:marker val="1"/>
        <c:axId val="390865280"/>
        <c:axId val="390867200"/>
      </c:lineChart>
      <c:lineChart>
        <c:grouping val="standard"/>
        <c:ser>
          <c:idx val="3"/>
          <c:order val="3"/>
          <c:tx>
            <c:strRef>
              <c:f>'zk79+631'!$AG$3:$AG$5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'zk79+631'!$S$6:$S$29</c:f>
              <c:numCache>
                <c:formatCode>m"月"d"日";@</c:formatCode>
                <c:ptCount val="24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'zk79+631'!$AG$6:$AG$31</c:f>
              <c:numCache>
                <c:formatCode>0.0_ </c:formatCode>
                <c:ptCount val="26"/>
                <c:pt idx="0">
                  <c:v>7</c:v>
                </c:pt>
                <c:pt idx="1">
                  <c:v>10</c:v>
                </c:pt>
                <c:pt idx="2">
                  <c:v>16</c:v>
                </c:pt>
                <c:pt idx="3">
                  <c:v>22</c:v>
                </c:pt>
                <c:pt idx="4">
                  <c:v>28</c:v>
                </c:pt>
                <c:pt idx="5">
                  <c:v>34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58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82</c:v>
                </c:pt>
                <c:pt idx="14">
                  <c:v>88</c:v>
                </c:pt>
                <c:pt idx="15">
                  <c:v>94</c:v>
                </c:pt>
                <c:pt idx="16">
                  <c:v>100</c:v>
                </c:pt>
                <c:pt idx="17">
                  <c:v>106</c:v>
                </c:pt>
                <c:pt idx="18">
                  <c:v>112</c:v>
                </c:pt>
                <c:pt idx="19">
                  <c:v>118</c:v>
                </c:pt>
                <c:pt idx="20">
                  <c:v>124</c:v>
                </c:pt>
                <c:pt idx="21">
                  <c:v>130</c:v>
                </c:pt>
                <c:pt idx="22">
                  <c:v>134</c:v>
                </c:pt>
                <c:pt idx="23">
                  <c:v>146</c:v>
                </c:pt>
              </c:numCache>
            </c:numRef>
          </c:val>
        </c:ser>
        <c:dLbls/>
        <c:marker val="1"/>
        <c:axId val="390873472"/>
        <c:axId val="390875008"/>
      </c:lineChart>
      <c:dateAx>
        <c:axId val="3908652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867200"/>
        <c:crossesAt val="-50"/>
        <c:auto val="1"/>
        <c:lblOffset val="100"/>
        <c:baseTimeUnit val="days"/>
        <c:majorUnit val="4"/>
        <c:majorTimeUnit val="days"/>
      </c:dateAx>
      <c:valAx>
        <c:axId val="39086720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865280"/>
        <c:crosses val="autoZero"/>
        <c:crossBetween val="midCat"/>
        <c:majorUnit val="1"/>
        <c:minorUnit val="0.1"/>
      </c:valAx>
      <c:dateAx>
        <c:axId val="3908734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0875008"/>
        <c:crosses val="autoZero"/>
        <c:auto val="1"/>
        <c:lblOffset val="100"/>
        <c:baseTimeUnit val="days"/>
      </c:dateAx>
      <c:valAx>
        <c:axId val="39087500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087347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631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692458803474299"/>
          <c:y val="0.21949032002500404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'zk79+631'!$C$4:$G$4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'zk79+631'!$A$6:$A$40</c:f>
              <c:numCache>
                <c:formatCode>m"月"d"日";@</c:formatCode>
                <c:ptCount val="35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'zk79+631'!$G$6:$G$36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-0.10000000008858501</c:v>
                </c:pt>
                <c:pt idx="10">
                  <c:v>-9.9999999974897905E-2</c:v>
                </c:pt>
                <c:pt idx="11">
                  <c:v>0.30000000003838101</c:v>
                </c:pt>
                <c:pt idx="12">
                  <c:v>-0.49999999998817701</c:v>
                </c:pt>
                <c:pt idx="13">
                  <c:v>-9.9999999974897905E-2</c:v>
                </c:pt>
                <c:pt idx="14">
                  <c:v>9.9999999974897905E-2</c:v>
                </c:pt>
                <c:pt idx="15">
                  <c:v>-0.15000000001919001</c:v>
                </c:pt>
                <c:pt idx="16">
                  <c:v>-4.9999999987449001E-2</c:v>
                </c:pt>
                <c:pt idx="17">
                  <c:v>-0.15000000001919001</c:v>
                </c:pt>
                <c:pt idx="18">
                  <c:v>5.0000000044292399E-2</c:v>
                </c:pt>
                <c:pt idx="19">
                  <c:v>-5.0000000044292399E-2</c:v>
                </c:pt>
                <c:pt idx="20">
                  <c:v>-4.9999999987449001E-2</c:v>
                </c:pt>
                <c:pt idx="21">
                  <c:v>4.9999999987449001E-2</c:v>
                </c:pt>
                <c:pt idx="22">
                  <c:v>-9.9999999974897905E-2</c:v>
                </c:pt>
                <c:pt idx="23">
                  <c:v>0.20000000000663901</c:v>
                </c:pt>
                <c:pt idx="24">
                  <c:v>-0.80000000002655702</c:v>
                </c:pt>
              </c:numCache>
            </c:numRef>
          </c:val>
        </c:ser>
        <c:ser>
          <c:idx val="1"/>
          <c:order val="1"/>
          <c:tx>
            <c:strRef>
              <c:f>'zk79+631'!$H$4:$L$4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'zk79+631'!$A$6:$A$40</c:f>
              <c:numCache>
                <c:formatCode>m"月"d"日";@</c:formatCode>
                <c:ptCount val="35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'zk79+631'!$L$6:$L$37</c:f>
              <c:numCache>
                <c:formatCode>0.00_ </c:formatCode>
                <c:ptCount val="32"/>
                <c:pt idx="0">
                  <c:v>0</c:v>
                </c:pt>
                <c:pt idx="1">
                  <c:v>0.20000000006348301</c:v>
                </c:pt>
                <c:pt idx="2">
                  <c:v>-0.10000000008858501</c:v>
                </c:pt>
                <c:pt idx="3">
                  <c:v>-0.199999999949796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-0.199999999949796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9.9999999974897905E-2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0.10000000008858501</c:v>
                </c:pt>
                <c:pt idx="15">
                  <c:v>-5.0000000044292399E-2</c:v>
                </c:pt>
                <c:pt idx="16">
                  <c:v>-9.9999999974897905E-2</c:v>
                </c:pt>
                <c:pt idx="17">
                  <c:v>0</c:v>
                </c:pt>
                <c:pt idx="18">
                  <c:v>-4.9999999987449001E-2</c:v>
                </c:pt>
                <c:pt idx="19">
                  <c:v>0</c:v>
                </c:pt>
                <c:pt idx="20">
                  <c:v>-0.100000000031741</c:v>
                </c:pt>
                <c:pt idx="21">
                  <c:v>0.100000000031741</c:v>
                </c:pt>
                <c:pt idx="22">
                  <c:v>-4.9999999987449001E-2</c:v>
                </c:pt>
                <c:pt idx="23">
                  <c:v>9.9999999974897905E-2</c:v>
                </c:pt>
              </c:numCache>
            </c:numRef>
          </c:val>
        </c:ser>
        <c:ser>
          <c:idx val="2"/>
          <c:order val="2"/>
          <c:tx>
            <c:strRef>
              <c:f>'zk79+631'!$M$4:$Q$4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'zk79+631'!$A$6:$A$40</c:f>
              <c:numCache>
                <c:formatCode>m"月"d"日";@</c:formatCode>
                <c:ptCount val="35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'zk79+631'!$Q$6:$Q$33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-0.40000000001327901</c:v>
                </c:pt>
                <c:pt idx="8">
                  <c:v>-9.9999999974897905E-2</c:v>
                </c:pt>
                <c:pt idx="9">
                  <c:v>-9.9999999974897905E-2</c:v>
                </c:pt>
                <c:pt idx="10">
                  <c:v>-0.20000000006348301</c:v>
                </c:pt>
                <c:pt idx="11">
                  <c:v>0</c:v>
                </c:pt>
                <c:pt idx="12">
                  <c:v>-9.9999999974897905E-2</c:v>
                </c:pt>
                <c:pt idx="13">
                  <c:v>0.20000000006348301</c:v>
                </c:pt>
                <c:pt idx="14">
                  <c:v>-0.40000000001327901</c:v>
                </c:pt>
                <c:pt idx="15">
                  <c:v>-5.0000000044292399E-2</c:v>
                </c:pt>
                <c:pt idx="16">
                  <c:v>-0.149999999962347</c:v>
                </c:pt>
                <c:pt idx="17">
                  <c:v>4.9999999987449001E-2</c:v>
                </c:pt>
                <c:pt idx="18">
                  <c:v>-4.9999999987449001E-2</c:v>
                </c:pt>
                <c:pt idx="19">
                  <c:v>-4.9999999987449001E-2</c:v>
                </c:pt>
                <c:pt idx="20">
                  <c:v>-5.0000000044292399E-2</c:v>
                </c:pt>
                <c:pt idx="21">
                  <c:v>0.100000000031741</c:v>
                </c:pt>
                <c:pt idx="22">
                  <c:v>4.9999999987449001E-2</c:v>
                </c:pt>
                <c:pt idx="23">
                  <c:v>4.9999999987449001E-2</c:v>
                </c:pt>
              </c:numCache>
            </c:numRef>
          </c:val>
        </c:ser>
        <c:dLbls/>
        <c:marker val="1"/>
        <c:axId val="391129344"/>
        <c:axId val="391144192"/>
      </c:lineChart>
      <c:dateAx>
        <c:axId val="3911293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144192"/>
        <c:crossesAt val="-50"/>
        <c:auto val="1"/>
        <c:lblOffset val="100"/>
        <c:baseTimeUnit val="days"/>
        <c:majorUnit val="4"/>
        <c:majorTimeUnit val="days"/>
      </c:dateAx>
      <c:valAx>
        <c:axId val="39114419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12934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9+631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'zk79+631'!$U$4:$W$4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'zk79+631'!$S$6:$S$43</c:f>
              <c:numCache>
                <c:formatCode>m"月"d"日";@</c:formatCode>
                <c:ptCount val="38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'zk79+631'!$W$6:$W$34</c:f>
              <c:numCache>
                <c:formatCode>0.00_ </c:formatCode>
                <c:ptCount val="29"/>
                <c:pt idx="0">
                  <c:v>0</c:v>
                </c:pt>
                <c:pt idx="1">
                  <c:v>0.29999999999930099</c:v>
                </c:pt>
                <c:pt idx="2">
                  <c:v>9.99999999997669E-2</c:v>
                </c:pt>
                <c:pt idx="3">
                  <c:v>-9.99999999997669E-2</c:v>
                </c:pt>
                <c:pt idx="4">
                  <c:v>0.30000000000107702</c:v>
                </c:pt>
                <c:pt idx="5">
                  <c:v>9.99999999997669E-2</c:v>
                </c:pt>
                <c:pt idx="6">
                  <c:v>9.99999999997669E-2</c:v>
                </c:pt>
                <c:pt idx="7">
                  <c:v>0.29999999999930099</c:v>
                </c:pt>
                <c:pt idx="8">
                  <c:v>-9.99999999997669E-2</c:v>
                </c:pt>
                <c:pt idx="9">
                  <c:v>0.19999999999953399</c:v>
                </c:pt>
                <c:pt idx="10">
                  <c:v>9.99999999997669E-2</c:v>
                </c:pt>
                <c:pt idx="11">
                  <c:v>0.30000000000107702</c:v>
                </c:pt>
                <c:pt idx="12">
                  <c:v>0.19999999999953399</c:v>
                </c:pt>
                <c:pt idx="13">
                  <c:v>0.19999999999953399</c:v>
                </c:pt>
                <c:pt idx="14">
                  <c:v>-0.19999999999953399</c:v>
                </c:pt>
                <c:pt idx="15">
                  <c:v>0.300000000000189</c:v>
                </c:pt>
                <c:pt idx="16">
                  <c:v>9.99999999997669E-2</c:v>
                </c:pt>
                <c:pt idx="17">
                  <c:v>-4.9999999999883499E-2</c:v>
                </c:pt>
                <c:pt idx="18">
                  <c:v>0.25000000000030598</c:v>
                </c:pt>
                <c:pt idx="19">
                  <c:v>-4.9999999999883499E-2</c:v>
                </c:pt>
                <c:pt idx="20">
                  <c:v>0.24999999999497599</c:v>
                </c:pt>
                <c:pt idx="21">
                  <c:v>-4.99999999954426E-2</c:v>
                </c:pt>
                <c:pt idx="22">
                  <c:v>-0.14999999999965</c:v>
                </c:pt>
                <c:pt idx="23">
                  <c:v>4.9999999999883499E-2</c:v>
                </c:pt>
                <c:pt idx="24">
                  <c:v>-2.2000000000002</c:v>
                </c:pt>
              </c:numCache>
            </c:numRef>
          </c:val>
        </c:ser>
        <c:ser>
          <c:idx val="1"/>
          <c:order val="1"/>
          <c:tx>
            <c:strRef>
              <c:f>'zk79+631'!$Y$4:$AA$4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'zk79+631'!$S$6:$S$43</c:f>
              <c:numCache>
                <c:formatCode>m"月"d"日";@</c:formatCode>
                <c:ptCount val="38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-0.20000000000130999</c:v>
                </c:pt>
                <c:pt idx="3">
                  <c:v>0.10000000000154299</c:v>
                </c:pt>
                <c:pt idx="4">
                  <c:v>-0.50000000000061096</c:v>
                </c:pt>
                <c:pt idx="5">
                  <c:v>9.99999999997669E-2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-9.99999999997669E-2</c:v>
                </c:pt>
                <c:pt idx="10">
                  <c:v>-0.40000000000084401</c:v>
                </c:pt>
                <c:pt idx="11">
                  <c:v>0.20000000000130999</c:v>
                </c:pt>
                <c:pt idx="12">
                  <c:v>-9.99999999997669E-2</c:v>
                </c:pt>
                <c:pt idx="13">
                  <c:v>-0.40000000000084401</c:v>
                </c:pt>
                <c:pt idx="14">
                  <c:v>0.19999999999953399</c:v>
                </c:pt>
                <c:pt idx="15">
                  <c:v>-4.9999999999883499E-2</c:v>
                </c:pt>
                <c:pt idx="16">
                  <c:v>-0.14999999999965</c:v>
                </c:pt>
                <c:pt idx="17">
                  <c:v>4.9999999999883499E-2</c:v>
                </c:pt>
                <c:pt idx="18">
                  <c:v>-0.15000000000053901</c:v>
                </c:pt>
                <c:pt idx="19">
                  <c:v>5.0000000000771601E-2</c:v>
                </c:pt>
                <c:pt idx="20">
                  <c:v>-5.0000000000771601E-2</c:v>
                </c:pt>
                <c:pt idx="21">
                  <c:v>-0.14999999999965</c:v>
                </c:pt>
                <c:pt idx="22">
                  <c:v>9.99999999997669E-2</c:v>
                </c:pt>
                <c:pt idx="23">
                  <c:v>0.100000000000655</c:v>
                </c:pt>
                <c:pt idx="24">
                  <c:v>-8.4000000000017394E-2</c:v>
                </c:pt>
              </c:numCache>
            </c:numRef>
          </c:val>
        </c:ser>
        <c:ser>
          <c:idx val="2"/>
          <c:order val="2"/>
          <c:tx>
            <c:strRef>
              <c:f>'zk79+631'!$AC$4:$AE$4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'zk79+631'!$S$6:$S$43</c:f>
              <c:numCache>
                <c:formatCode>m"月"d"日";@</c:formatCode>
                <c:ptCount val="38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'zk79+631'!$AE$6:$AE$40</c:f>
              <c:numCache>
                <c:formatCode>0.00_ </c:formatCode>
                <c:ptCount val="35"/>
                <c:pt idx="0">
                  <c:v>0</c:v>
                </c:pt>
                <c:pt idx="1">
                  <c:v>0.20000000000130999</c:v>
                </c:pt>
                <c:pt idx="2">
                  <c:v>-0.10000000000154299</c:v>
                </c:pt>
                <c:pt idx="3">
                  <c:v>-0.59999999999860198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-9.99999999997669E-2</c:v>
                </c:pt>
                <c:pt idx="7">
                  <c:v>-0.29999999999930099</c:v>
                </c:pt>
                <c:pt idx="8">
                  <c:v>-0.20000000000130999</c:v>
                </c:pt>
                <c:pt idx="9">
                  <c:v>-0.19999999999953399</c:v>
                </c:pt>
                <c:pt idx="10">
                  <c:v>0</c:v>
                </c:pt>
                <c:pt idx="11">
                  <c:v>-0.39999999999906799</c:v>
                </c:pt>
                <c:pt idx="12">
                  <c:v>-0.200000000010192</c:v>
                </c:pt>
                <c:pt idx="13">
                  <c:v>0.100000000008649</c:v>
                </c:pt>
                <c:pt idx="14">
                  <c:v>-0.50000000000949296</c:v>
                </c:pt>
                <c:pt idx="15">
                  <c:v>-9.99999999997669E-2</c:v>
                </c:pt>
                <c:pt idx="16">
                  <c:v>5.00000000052125E-2</c:v>
                </c:pt>
                <c:pt idx="17">
                  <c:v>-0.25000000000563499</c:v>
                </c:pt>
                <c:pt idx="18">
                  <c:v>-9.99999999997669E-2</c:v>
                </c:pt>
                <c:pt idx="19">
                  <c:v>-0.14999999999520999</c:v>
                </c:pt>
                <c:pt idx="20">
                  <c:v>-5.0000000009653399E-2</c:v>
                </c:pt>
                <c:pt idx="21">
                  <c:v>0.150000000010309</c:v>
                </c:pt>
                <c:pt idx="22">
                  <c:v>-0.100000000000655</c:v>
                </c:pt>
                <c:pt idx="23">
                  <c:v>4.9999999999883499E-2</c:v>
                </c:pt>
              </c:numCache>
            </c:numRef>
          </c:val>
        </c:ser>
        <c:dLbls/>
        <c:marker val="1"/>
        <c:axId val="391216128"/>
        <c:axId val="391222784"/>
      </c:lineChart>
      <c:dateAx>
        <c:axId val="3912161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222784"/>
        <c:crossesAt val="-50"/>
        <c:auto val="1"/>
        <c:lblOffset val="100"/>
        <c:baseTimeUnit val="days"/>
        <c:majorUnit val="4"/>
        <c:majorTimeUnit val="days"/>
      </c:dateAx>
      <c:valAx>
        <c:axId val="39122278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21612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631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'zk79+631'!$C$4:$G$4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'zk79+631'!$A$6:$A$36</c:f>
              <c:numCache>
                <c:formatCode>m"月"d"日";@</c:formatCode>
                <c:ptCount val="31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'zk79+631'!$F$6:$F$31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-0.70000000005165897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-1.4999999999645299</c:v>
                </c:pt>
                <c:pt idx="9">
                  <c:v>-1.60000000005311</c:v>
                </c:pt>
                <c:pt idx="10">
                  <c:v>-1.70000000002801</c:v>
                </c:pt>
                <c:pt idx="11">
                  <c:v>-1.39999999998963</c:v>
                </c:pt>
                <c:pt idx="12">
                  <c:v>-1.8999999999778101</c:v>
                </c:pt>
                <c:pt idx="13">
                  <c:v>-1.9999999999527101</c:v>
                </c:pt>
                <c:pt idx="14">
                  <c:v>-1.8999999999778101</c:v>
                </c:pt>
                <c:pt idx="15">
                  <c:v>-2.2000000000161899</c:v>
                </c:pt>
                <c:pt idx="16">
                  <c:v>-2.2999999999910901</c:v>
                </c:pt>
                <c:pt idx="17">
                  <c:v>-2.6000000000294698</c:v>
                </c:pt>
                <c:pt idx="18">
                  <c:v>-2.4999999999408802</c:v>
                </c:pt>
                <c:pt idx="19">
                  <c:v>-2.6000000000294698</c:v>
                </c:pt>
                <c:pt idx="20">
                  <c:v>-2.70000000000437</c:v>
                </c:pt>
                <c:pt idx="21">
                  <c:v>-2.6000000000294698</c:v>
                </c:pt>
                <c:pt idx="22">
                  <c:v>-2.79999999997926</c:v>
                </c:pt>
                <c:pt idx="23">
                  <c:v>-2.39999999996598</c:v>
                </c:pt>
                <c:pt idx="24">
                  <c:v>-0.90000000000145497</c:v>
                </c:pt>
              </c:numCache>
            </c:numRef>
          </c:val>
        </c:ser>
        <c:ser>
          <c:idx val="1"/>
          <c:order val="1"/>
          <c:tx>
            <c:strRef>
              <c:f>'zk79+631'!$H$4:$L$4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'zk79+631'!$A$6:$A$36</c:f>
              <c:numCache>
                <c:formatCode>m"月"d"日";@</c:formatCode>
                <c:ptCount val="31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'zk79+631'!$K$6:$K$32</c:f>
              <c:numCache>
                <c:formatCode>0.00_ </c:formatCode>
                <c:ptCount val="27"/>
                <c:pt idx="0">
                  <c:v>0</c:v>
                </c:pt>
                <c:pt idx="1">
                  <c:v>0.20000000006348301</c:v>
                </c:pt>
                <c:pt idx="2">
                  <c:v>9.9999999974897905E-2</c:v>
                </c:pt>
                <c:pt idx="3">
                  <c:v>-9.9999999974897905E-2</c:v>
                </c:pt>
                <c:pt idx="4">
                  <c:v>-0.40000000001327901</c:v>
                </c:pt>
                <c:pt idx="5">
                  <c:v>-0.49999999998817701</c:v>
                </c:pt>
                <c:pt idx="6">
                  <c:v>-0.69999999993797202</c:v>
                </c:pt>
                <c:pt idx="7">
                  <c:v>-0.90000000000145497</c:v>
                </c:pt>
                <c:pt idx="8">
                  <c:v>-0.99999999997635303</c:v>
                </c:pt>
                <c:pt idx="9">
                  <c:v>-1.09999999995125</c:v>
                </c:pt>
                <c:pt idx="10">
                  <c:v>-1.39999999998963</c:v>
                </c:pt>
                <c:pt idx="11">
                  <c:v>-1.30000000001473</c:v>
                </c:pt>
                <c:pt idx="12">
                  <c:v>-1.39999999998963</c:v>
                </c:pt>
                <c:pt idx="13">
                  <c:v>-1.70000000002801</c:v>
                </c:pt>
                <c:pt idx="14">
                  <c:v>-1.5999999999394301</c:v>
                </c:pt>
                <c:pt idx="15">
                  <c:v>-1.70000000002801</c:v>
                </c:pt>
                <c:pt idx="16">
                  <c:v>-1.8999999999778101</c:v>
                </c:pt>
                <c:pt idx="17">
                  <c:v>-1.8999999999778101</c:v>
                </c:pt>
                <c:pt idx="18">
                  <c:v>-1.9999999999527101</c:v>
                </c:pt>
                <c:pt idx="19">
                  <c:v>-1.9999999999527101</c:v>
                </c:pt>
                <c:pt idx="20">
                  <c:v>-2.2000000000161899</c:v>
                </c:pt>
                <c:pt idx="21">
                  <c:v>-1.9999999999527101</c:v>
                </c:pt>
                <c:pt idx="22">
                  <c:v>-2.0999999999275998</c:v>
                </c:pt>
                <c:pt idx="23">
                  <c:v>-1.8999999999778101</c:v>
                </c:pt>
                <c:pt idx="24">
                  <c:v>-3.6000000000058201E-2</c:v>
                </c:pt>
              </c:numCache>
            </c:numRef>
          </c:val>
        </c:ser>
        <c:ser>
          <c:idx val="2"/>
          <c:order val="2"/>
          <c:tx>
            <c:strRef>
              <c:f>'zk79+631'!$M$4:$Q$4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'zk79+631'!$A$6:$A$36</c:f>
              <c:numCache>
                <c:formatCode>m"月"d"日";@</c:formatCode>
                <c:ptCount val="31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'zk79+631'!$P$6:$P$30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-1.2000000000398401</c:v>
                </c:pt>
                <c:pt idx="7">
                  <c:v>-1.60000000005311</c:v>
                </c:pt>
                <c:pt idx="8">
                  <c:v>-1.70000000002801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-2.00000000006639</c:v>
                </c:pt>
                <c:pt idx="12">
                  <c:v>-2.1000000000412902</c:v>
                </c:pt>
                <c:pt idx="13">
                  <c:v>-1.8999999999778101</c:v>
                </c:pt>
                <c:pt idx="14">
                  <c:v>-2.2999999999910901</c:v>
                </c:pt>
                <c:pt idx="15">
                  <c:v>-2.40000000007967</c:v>
                </c:pt>
                <c:pt idx="16">
                  <c:v>-2.70000000000437</c:v>
                </c:pt>
                <c:pt idx="17">
                  <c:v>-2.6000000000294698</c:v>
                </c:pt>
                <c:pt idx="18">
                  <c:v>-2.70000000000437</c:v>
                </c:pt>
                <c:pt idx="19">
                  <c:v>-2.79999999997926</c:v>
                </c:pt>
                <c:pt idx="20">
                  <c:v>-2.9000000000678501</c:v>
                </c:pt>
                <c:pt idx="21">
                  <c:v>-2.70000000000437</c:v>
                </c:pt>
                <c:pt idx="22">
                  <c:v>-2.6000000000294698</c:v>
                </c:pt>
                <c:pt idx="23">
                  <c:v>-2.5000000000545701</c:v>
                </c:pt>
              </c:numCache>
            </c:numRef>
          </c:val>
        </c:ser>
        <c:dLbls/>
        <c:marker val="1"/>
        <c:axId val="391268992"/>
        <c:axId val="391304320"/>
      </c:lineChart>
      <c:lineChart>
        <c:grouping val="standard"/>
        <c:ser>
          <c:idx val="3"/>
          <c:order val="3"/>
          <c:tx>
            <c:strRef>
              <c:f>'zk79+631'!$AG$3:$AG$5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'zk79+631'!$A$6:$A$36</c:f>
              <c:numCache>
                <c:formatCode>m"月"d"日";@</c:formatCode>
                <c:ptCount val="31"/>
                <c:pt idx="0">
                  <c:v>44663</c:v>
                </c:pt>
                <c:pt idx="1">
                  <c:v>44664</c:v>
                </c:pt>
                <c:pt idx="2">
                  <c:v>44665</c:v>
                </c:pt>
                <c:pt idx="3">
                  <c:v>44666</c:v>
                </c:pt>
                <c:pt idx="4">
                  <c:v>44667</c:v>
                </c:pt>
                <c:pt idx="5">
                  <c:v>44668</c:v>
                </c:pt>
                <c:pt idx="6">
                  <c:v>44669</c:v>
                </c:pt>
                <c:pt idx="7">
                  <c:v>44670</c:v>
                </c:pt>
                <c:pt idx="8">
                  <c:v>44671</c:v>
                </c:pt>
                <c:pt idx="9">
                  <c:v>44672</c:v>
                </c:pt>
                <c:pt idx="10">
                  <c:v>44673</c:v>
                </c:pt>
                <c:pt idx="11">
                  <c:v>44674</c:v>
                </c:pt>
                <c:pt idx="12">
                  <c:v>44675</c:v>
                </c:pt>
                <c:pt idx="13">
                  <c:v>44676</c:v>
                </c:pt>
                <c:pt idx="14">
                  <c:v>44677</c:v>
                </c:pt>
                <c:pt idx="15">
                  <c:v>44679</c:v>
                </c:pt>
                <c:pt idx="16">
                  <c:v>44681</c:v>
                </c:pt>
                <c:pt idx="17">
                  <c:v>44683</c:v>
                </c:pt>
                <c:pt idx="18">
                  <c:v>44685</c:v>
                </c:pt>
                <c:pt idx="19">
                  <c:v>44687</c:v>
                </c:pt>
                <c:pt idx="20">
                  <c:v>44689</c:v>
                </c:pt>
                <c:pt idx="21">
                  <c:v>44691</c:v>
                </c:pt>
                <c:pt idx="22">
                  <c:v>44693</c:v>
                </c:pt>
                <c:pt idx="23">
                  <c:v>44695</c:v>
                </c:pt>
              </c:numCache>
            </c:numRef>
          </c:cat>
          <c:val>
            <c:numRef>
              <c:f>'zk79+631'!$AG$6:$AG$31</c:f>
              <c:numCache>
                <c:formatCode>0.0_ </c:formatCode>
                <c:ptCount val="26"/>
                <c:pt idx="0">
                  <c:v>7</c:v>
                </c:pt>
                <c:pt idx="1">
                  <c:v>10</c:v>
                </c:pt>
                <c:pt idx="2">
                  <c:v>16</c:v>
                </c:pt>
                <c:pt idx="3">
                  <c:v>22</c:v>
                </c:pt>
                <c:pt idx="4">
                  <c:v>28</c:v>
                </c:pt>
                <c:pt idx="5">
                  <c:v>34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58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82</c:v>
                </c:pt>
                <c:pt idx="14">
                  <c:v>88</c:v>
                </c:pt>
                <c:pt idx="15">
                  <c:v>94</c:v>
                </c:pt>
                <c:pt idx="16">
                  <c:v>100</c:v>
                </c:pt>
                <c:pt idx="17">
                  <c:v>106</c:v>
                </c:pt>
                <c:pt idx="18">
                  <c:v>112</c:v>
                </c:pt>
                <c:pt idx="19">
                  <c:v>118</c:v>
                </c:pt>
                <c:pt idx="20">
                  <c:v>124</c:v>
                </c:pt>
                <c:pt idx="21">
                  <c:v>130</c:v>
                </c:pt>
                <c:pt idx="22">
                  <c:v>134</c:v>
                </c:pt>
                <c:pt idx="23">
                  <c:v>146</c:v>
                </c:pt>
              </c:numCache>
            </c:numRef>
          </c:val>
        </c:ser>
        <c:dLbls/>
        <c:marker val="1"/>
        <c:axId val="391306240"/>
        <c:axId val="391312128"/>
      </c:lineChart>
      <c:dateAx>
        <c:axId val="3912689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304320"/>
        <c:crossesAt val="-50"/>
        <c:auto val="1"/>
        <c:lblOffset val="100"/>
        <c:baseTimeUnit val="days"/>
        <c:majorUnit val="4"/>
        <c:majorTimeUnit val="days"/>
      </c:dateAx>
      <c:valAx>
        <c:axId val="391304320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268992"/>
        <c:crosses val="autoZero"/>
        <c:crossBetween val="midCat"/>
        <c:majorUnit val="1"/>
        <c:minorUnit val="0.5"/>
      </c:valAx>
      <c:dateAx>
        <c:axId val="3913062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1312128"/>
        <c:crosses val="autoZero"/>
        <c:auto val="1"/>
        <c:lblOffset val="100"/>
        <c:baseTimeUnit val="days"/>
      </c:dateAx>
      <c:valAx>
        <c:axId val="39131212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30624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9+657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'zk79+657'!$U$4:$W$4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'zk79+657'!$S$6:$S$27</c:f>
              <c:numCache>
                <c:formatCode>m"月"d"日";@</c:formatCode>
                <c:ptCount val="22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-1.50000000000006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-1.39999999999851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-1.99999999999889</c:v>
                </c:pt>
                <c:pt idx="11">
                  <c:v>-2.1999999999984299</c:v>
                </c:pt>
                <c:pt idx="12">
                  <c:v>-2.3999999999997401</c:v>
                </c:pt>
                <c:pt idx="13">
                  <c:v>-2.2999999999999701</c:v>
                </c:pt>
                <c:pt idx="14">
                  <c:v>-2.7999999999899199</c:v>
                </c:pt>
                <c:pt idx="15">
                  <c:v>-2.99999999998946</c:v>
                </c:pt>
                <c:pt idx="16">
                  <c:v>-3.0999999999998802</c:v>
                </c:pt>
                <c:pt idx="17">
                  <c:v>-3.3999999999885202</c:v>
                </c:pt>
                <c:pt idx="18">
                  <c:v>-3.2999999999994101</c:v>
                </c:pt>
                <c:pt idx="19">
                  <c:v>-3.7999999999893701</c:v>
                </c:pt>
                <c:pt idx="20">
                  <c:v>-3.3999999999991801</c:v>
                </c:pt>
                <c:pt idx="21">
                  <c:v>-0.999999999999446</c:v>
                </c:pt>
              </c:numCache>
            </c:numRef>
          </c:val>
        </c:ser>
        <c:ser>
          <c:idx val="1"/>
          <c:order val="1"/>
          <c:tx>
            <c:strRef>
              <c:f>'zk79+657'!$Y$4:$AA$4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'zk79+657'!$S$6:$S$27</c:f>
              <c:numCache>
                <c:formatCode>m"月"d"日";@</c:formatCode>
                <c:ptCount val="22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-0.40000000000084401</c:v>
                </c:pt>
                <c:pt idx="4">
                  <c:v>-0.19999999999953399</c:v>
                </c:pt>
                <c:pt idx="5">
                  <c:v>-0.60000000000037801</c:v>
                </c:pt>
                <c:pt idx="6">
                  <c:v>-0.70000000000014495</c:v>
                </c:pt>
                <c:pt idx="7">
                  <c:v>-0.50000000000061096</c:v>
                </c:pt>
                <c:pt idx="8">
                  <c:v>-0.89999999999967895</c:v>
                </c:pt>
                <c:pt idx="9">
                  <c:v>-0.999999999999446</c:v>
                </c:pt>
                <c:pt idx="10">
                  <c:v>-0.70000000000014495</c:v>
                </c:pt>
                <c:pt idx="11">
                  <c:v>-1.20000000000076</c:v>
                </c:pt>
                <c:pt idx="12">
                  <c:v>-1.3000000000005201</c:v>
                </c:pt>
                <c:pt idx="13">
                  <c:v>-1.3000000000005201</c:v>
                </c:pt>
                <c:pt idx="14">
                  <c:v>-1.50000000000006</c:v>
                </c:pt>
                <c:pt idx="15">
                  <c:v>-1.59999999999982</c:v>
                </c:pt>
                <c:pt idx="16">
                  <c:v>-1.4000000000002899</c:v>
                </c:pt>
                <c:pt idx="17">
                  <c:v>-1.7999999999993599</c:v>
                </c:pt>
                <c:pt idx="18">
                  <c:v>-1.9000000000009001</c:v>
                </c:pt>
                <c:pt idx="19">
                  <c:v>-1.6999999999995901</c:v>
                </c:pt>
                <c:pt idx="20">
                  <c:v>-1.59999999999982</c:v>
                </c:pt>
                <c:pt idx="21">
                  <c:v>-3.1000000000016601</c:v>
                </c:pt>
              </c:numCache>
            </c:numRef>
          </c:val>
        </c:ser>
        <c:ser>
          <c:idx val="2"/>
          <c:order val="2"/>
          <c:tx>
            <c:strRef>
              <c:f>'zk79+657'!$AC$4:$AE$4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'zk79+657'!$S$6:$S$27</c:f>
              <c:numCache>
                <c:formatCode>m"月"d"日";@</c:formatCode>
                <c:ptCount val="22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'zk79+657'!$AD$6:$AD$37</c:f>
              <c:numCache>
                <c:formatCode>0.00_ </c:formatCode>
                <c:ptCount val="32"/>
                <c:pt idx="0">
                  <c:v>0</c:v>
                </c:pt>
                <c:pt idx="1">
                  <c:v>0.39999999999906799</c:v>
                </c:pt>
                <c:pt idx="2">
                  <c:v>-0.10000000000154299</c:v>
                </c:pt>
                <c:pt idx="3">
                  <c:v>-0.30000000000107702</c:v>
                </c:pt>
                <c:pt idx="4">
                  <c:v>-0.60000000000037801</c:v>
                </c:pt>
                <c:pt idx="5">
                  <c:v>-0.70000000000014495</c:v>
                </c:pt>
                <c:pt idx="6">
                  <c:v>-0.90000000000145497</c:v>
                </c:pt>
                <c:pt idx="7">
                  <c:v>-1.10000000000099</c:v>
                </c:pt>
                <c:pt idx="8">
                  <c:v>-0.90000000000145497</c:v>
                </c:pt>
                <c:pt idx="9">
                  <c:v>-1.50000000000006</c:v>
                </c:pt>
                <c:pt idx="10">
                  <c:v>-1.70000000000137</c:v>
                </c:pt>
                <c:pt idx="11">
                  <c:v>-1.10000000000099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-2.2999999999999701</c:v>
                </c:pt>
                <c:pt idx="15">
                  <c:v>-2.6999999999901498</c:v>
                </c:pt>
                <c:pt idx="16">
                  <c:v>-2.8999999999914601</c:v>
                </c:pt>
                <c:pt idx="17">
                  <c:v>-2.8000000000005798</c:v>
                </c:pt>
                <c:pt idx="18">
                  <c:v>-3.2999999999905301</c:v>
                </c:pt>
                <c:pt idx="19">
                  <c:v>-3.2000000000014199</c:v>
                </c:pt>
                <c:pt idx="20">
                  <c:v>-3.1000000000016601</c:v>
                </c:pt>
              </c:numCache>
            </c:numRef>
          </c:val>
        </c:ser>
        <c:dLbls/>
        <c:marker val="1"/>
        <c:axId val="391323648"/>
        <c:axId val="391325568"/>
      </c:lineChart>
      <c:lineChart>
        <c:grouping val="standard"/>
        <c:ser>
          <c:idx val="3"/>
          <c:order val="3"/>
          <c:tx>
            <c:strRef>
              <c:f>'zk79+657'!$AG$3:$AG$5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'zk79+657'!$S$6:$S$27</c:f>
              <c:numCache>
                <c:formatCode>m"月"d"日";@</c:formatCode>
                <c:ptCount val="22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'zk79+657'!$AG$6:$AG$31</c:f>
              <c:numCache>
                <c:formatCode>0.0_ </c:formatCode>
                <c:ptCount val="26"/>
                <c:pt idx="0">
                  <c:v>8</c:v>
                </c:pt>
                <c:pt idx="1">
                  <c:v>12</c:v>
                </c:pt>
                <c:pt idx="2">
                  <c:v>17</c:v>
                </c:pt>
                <c:pt idx="3">
                  <c:v>22</c:v>
                </c:pt>
                <c:pt idx="4">
                  <c:v>27</c:v>
                </c:pt>
                <c:pt idx="5">
                  <c:v>32</c:v>
                </c:pt>
                <c:pt idx="6">
                  <c:v>37</c:v>
                </c:pt>
                <c:pt idx="7">
                  <c:v>42</c:v>
                </c:pt>
                <c:pt idx="8">
                  <c:v>47</c:v>
                </c:pt>
                <c:pt idx="9">
                  <c:v>52</c:v>
                </c:pt>
                <c:pt idx="10">
                  <c:v>57</c:v>
                </c:pt>
                <c:pt idx="11">
                  <c:v>62</c:v>
                </c:pt>
                <c:pt idx="12">
                  <c:v>67</c:v>
                </c:pt>
                <c:pt idx="13">
                  <c:v>72</c:v>
                </c:pt>
                <c:pt idx="14">
                  <c:v>77</c:v>
                </c:pt>
                <c:pt idx="15">
                  <c:v>82</c:v>
                </c:pt>
                <c:pt idx="16">
                  <c:v>87</c:v>
                </c:pt>
                <c:pt idx="17">
                  <c:v>92</c:v>
                </c:pt>
                <c:pt idx="18">
                  <c:v>97</c:v>
                </c:pt>
                <c:pt idx="19">
                  <c:v>102</c:v>
                </c:pt>
                <c:pt idx="20">
                  <c:v>120</c:v>
                </c:pt>
              </c:numCache>
            </c:numRef>
          </c:val>
        </c:ser>
        <c:dLbls/>
        <c:marker val="1"/>
        <c:axId val="391344128"/>
        <c:axId val="391345664"/>
      </c:lineChart>
      <c:dateAx>
        <c:axId val="3913236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325568"/>
        <c:crossesAt val="-50"/>
        <c:auto val="1"/>
        <c:lblOffset val="100"/>
        <c:baseTimeUnit val="days"/>
      </c:dateAx>
      <c:valAx>
        <c:axId val="39132556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323648"/>
        <c:crosses val="autoZero"/>
        <c:crossBetween val="midCat"/>
        <c:majorUnit val="1"/>
        <c:minorUnit val="0.1"/>
      </c:valAx>
      <c:dateAx>
        <c:axId val="39134412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1345664"/>
        <c:crosses val="autoZero"/>
        <c:auto val="1"/>
        <c:lblOffset val="100"/>
        <c:baseTimeUnit val="days"/>
      </c:dateAx>
      <c:valAx>
        <c:axId val="39134566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34412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657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'zk79+657'!$C$4:$G$4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'zk79+657'!$A$6:$A$38</c:f>
              <c:numCache>
                <c:formatCode>m"月"d"日";@</c:formatCode>
                <c:ptCount val="33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-0.29999999992469401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-0.40000000001327901</c:v>
                </c:pt>
                <c:pt idx="5">
                  <c:v>-0.20000000006348301</c:v>
                </c:pt>
                <c:pt idx="6">
                  <c:v>0.10000000008858501</c:v>
                </c:pt>
                <c:pt idx="7">
                  <c:v>-0.50000000010186296</c:v>
                </c:pt>
                <c:pt idx="8">
                  <c:v>-0.29999999992469401</c:v>
                </c:pt>
                <c:pt idx="9">
                  <c:v>-9.9999999974897905E-2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0.20000000000663901</c:v>
                </c:pt>
                <c:pt idx="16">
                  <c:v>-0.40000000001327901</c:v>
                </c:pt>
                <c:pt idx="17">
                  <c:v>-9.9999999974897905E-2</c:v>
                </c:pt>
                <c:pt idx="18">
                  <c:v>-0.15000000001919001</c:v>
                </c:pt>
                <c:pt idx="19">
                  <c:v>-4.9999999987449001E-2</c:v>
                </c:pt>
                <c:pt idx="20">
                  <c:v>0.15000000001919001</c:v>
                </c:pt>
                <c:pt idx="21">
                  <c:v>-2.6000000000294698</c:v>
                </c:pt>
              </c:numCache>
            </c:numRef>
          </c:val>
        </c:ser>
        <c:ser>
          <c:idx val="1"/>
          <c:order val="1"/>
          <c:tx>
            <c:strRef>
              <c:f>'zk79+657'!$H$4:$L$4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'zk79+657'!$A$6:$A$38</c:f>
              <c:numCache>
                <c:formatCode>m"月"d"日";@</c:formatCode>
                <c:ptCount val="33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-0.49999999998817701</c:v>
                </c:pt>
                <c:pt idx="3">
                  <c:v>-9.9999999974897905E-2</c:v>
                </c:pt>
                <c:pt idx="4">
                  <c:v>-9.9999999974897905E-2</c:v>
                </c:pt>
                <c:pt idx="5">
                  <c:v>0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0.20000000006348301</c:v>
                </c:pt>
                <c:pt idx="9">
                  <c:v>-0.40000000001327901</c:v>
                </c:pt>
                <c:pt idx="10">
                  <c:v>9.9999999974897905E-2</c:v>
                </c:pt>
                <c:pt idx="11">
                  <c:v>-0.30000000003838101</c:v>
                </c:pt>
                <c:pt idx="12">
                  <c:v>-9.9999999974897905E-2</c:v>
                </c:pt>
                <c:pt idx="13">
                  <c:v>-0.199999999949796</c:v>
                </c:pt>
                <c:pt idx="14">
                  <c:v>0</c:v>
                </c:pt>
                <c:pt idx="15">
                  <c:v>-5.0000000044292399E-2</c:v>
                </c:pt>
                <c:pt idx="16">
                  <c:v>0.15000000001919001</c:v>
                </c:pt>
                <c:pt idx="17">
                  <c:v>-0.24999999999408801</c:v>
                </c:pt>
                <c:pt idx="18">
                  <c:v>-4.9999999987449001E-2</c:v>
                </c:pt>
                <c:pt idx="19">
                  <c:v>-0.15000000001919001</c:v>
                </c:pt>
                <c:pt idx="20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'zk79+657'!$M$4:$Q$4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'zk79+657'!$A$6:$A$38</c:f>
              <c:numCache>
                <c:formatCode>m"月"d"日";@</c:formatCode>
                <c:ptCount val="33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'zk79+657'!$Q$6:$Q$31</c:f>
              <c:numCache>
                <c:formatCode>0.00_ </c:formatCode>
                <c:ptCount val="26"/>
                <c:pt idx="0">
                  <c:v>0</c:v>
                </c:pt>
                <c:pt idx="1">
                  <c:v>-0.40000000001327901</c:v>
                </c:pt>
                <c:pt idx="2">
                  <c:v>-0.199999999949796</c:v>
                </c:pt>
                <c:pt idx="3">
                  <c:v>-0.199999999949796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0.199999999949796</c:v>
                </c:pt>
                <c:pt idx="9">
                  <c:v>-0.59999999996307496</c:v>
                </c:pt>
                <c:pt idx="10">
                  <c:v>-0.20000000006348301</c:v>
                </c:pt>
                <c:pt idx="11">
                  <c:v>0.10000000008858501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-0.199999999949796</c:v>
                </c:pt>
                <c:pt idx="15">
                  <c:v>9.9999999974897905E-2</c:v>
                </c:pt>
                <c:pt idx="16">
                  <c:v>-0.29999999998153698</c:v>
                </c:pt>
                <c:pt idx="17">
                  <c:v>-0.100000000031741</c:v>
                </c:pt>
                <c:pt idx="18">
                  <c:v>5.0000000044292399E-2</c:v>
                </c:pt>
                <c:pt idx="19">
                  <c:v>-0.25000000005093198</c:v>
                </c:pt>
                <c:pt idx="20">
                  <c:v>0.100000000031741</c:v>
                </c:pt>
              </c:numCache>
            </c:numRef>
          </c:val>
        </c:ser>
        <c:dLbls/>
        <c:marker val="1"/>
        <c:axId val="391530368"/>
        <c:axId val="391537024"/>
      </c:lineChart>
      <c:dateAx>
        <c:axId val="3915303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537024"/>
        <c:crossesAt val="-50"/>
        <c:auto val="1"/>
        <c:lblOffset val="100"/>
        <c:baseTimeUnit val="days"/>
      </c:dateAx>
      <c:valAx>
        <c:axId val="39153702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53036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9+657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'zk79+657'!$U$4:$W$4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'zk79+657'!$S$6:$S$41</c:f>
              <c:numCache>
                <c:formatCode>m"月"d"日";@</c:formatCode>
                <c:ptCount val="36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1.10000000000099</c:v>
                </c:pt>
                <c:pt idx="4">
                  <c:v>-0.70000000000014495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0.29999999999930099</c:v>
                </c:pt>
                <c:pt idx="8">
                  <c:v>0.20000000000130999</c:v>
                </c:pt>
                <c:pt idx="9">
                  <c:v>-9.99999999997669E-2</c:v>
                </c:pt>
                <c:pt idx="10">
                  <c:v>0.49999999999883499</c:v>
                </c:pt>
                <c:pt idx="11">
                  <c:v>0.19999999999953399</c:v>
                </c:pt>
                <c:pt idx="12">
                  <c:v>0.20000000000130999</c:v>
                </c:pt>
                <c:pt idx="13">
                  <c:v>-9.99999999997669E-2</c:v>
                </c:pt>
                <c:pt idx="14">
                  <c:v>0.49999999998995298</c:v>
                </c:pt>
                <c:pt idx="15">
                  <c:v>9.99999999997669E-2</c:v>
                </c:pt>
                <c:pt idx="16">
                  <c:v>5.00000000052125E-2</c:v>
                </c:pt>
                <c:pt idx="17">
                  <c:v>0.14999999999432101</c:v>
                </c:pt>
                <c:pt idx="18">
                  <c:v>-4.99999999945544E-2</c:v>
                </c:pt>
                <c:pt idx="19">
                  <c:v>0.24999999999497599</c:v>
                </c:pt>
                <c:pt idx="20">
                  <c:v>-0.19999999999509299</c:v>
                </c:pt>
                <c:pt idx="21">
                  <c:v>-2.4000000000015098</c:v>
                </c:pt>
              </c:numCache>
            </c:numRef>
          </c:val>
        </c:ser>
        <c:ser>
          <c:idx val="1"/>
          <c:order val="1"/>
          <c:tx>
            <c:strRef>
              <c:f>'zk79+657'!$Y$4:$AA$4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'zk79+657'!$S$6:$S$41</c:f>
              <c:numCache>
                <c:formatCode>m"月"d"日";@</c:formatCode>
                <c:ptCount val="36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-0.10000000000154299</c:v>
                </c:pt>
                <c:pt idx="4">
                  <c:v>0.20000000000130999</c:v>
                </c:pt>
                <c:pt idx="5">
                  <c:v>-0.40000000000084401</c:v>
                </c:pt>
                <c:pt idx="6">
                  <c:v>-9.99999999997669E-2</c:v>
                </c:pt>
                <c:pt idx="7">
                  <c:v>0.19999999999953399</c:v>
                </c:pt>
                <c:pt idx="8">
                  <c:v>-0.39999999999906799</c:v>
                </c:pt>
                <c:pt idx="9">
                  <c:v>-9.99999999997669E-2</c:v>
                </c:pt>
                <c:pt idx="10">
                  <c:v>0.29999999999930099</c:v>
                </c:pt>
                <c:pt idx="11">
                  <c:v>-0.50000000000061096</c:v>
                </c:pt>
                <c:pt idx="12">
                  <c:v>-9.99999999997669E-2</c:v>
                </c:pt>
                <c:pt idx="13">
                  <c:v>0</c:v>
                </c:pt>
                <c:pt idx="14">
                  <c:v>-0.19999999999953399</c:v>
                </c:pt>
                <c:pt idx="15">
                  <c:v>-4.9999999999883499E-2</c:v>
                </c:pt>
                <c:pt idx="16">
                  <c:v>9.99999999997669E-2</c:v>
                </c:pt>
                <c:pt idx="17">
                  <c:v>-0.19999999999953399</c:v>
                </c:pt>
                <c:pt idx="18">
                  <c:v>-5.0000000000771601E-2</c:v>
                </c:pt>
                <c:pt idx="19">
                  <c:v>0.100000000000655</c:v>
                </c:pt>
                <c:pt idx="20">
                  <c:v>4.9999999999883499E-2</c:v>
                </c:pt>
                <c:pt idx="21">
                  <c:v>-9.5999999999989399E-2</c:v>
                </c:pt>
              </c:numCache>
            </c:numRef>
          </c:val>
        </c:ser>
        <c:ser>
          <c:idx val="2"/>
          <c:order val="2"/>
          <c:tx>
            <c:strRef>
              <c:f>'zk79+657'!$AC$4:$AE$4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'zk79+657'!$S$6:$S$41</c:f>
              <c:numCache>
                <c:formatCode>m"月"d"日";@</c:formatCode>
                <c:ptCount val="36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'zk79+657'!$AE$6:$AE$38</c:f>
              <c:numCache>
                <c:formatCode>0.00_ </c:formatCode>
                <c:ptCount val="33"/>
                <c:pt idx="0">
                  <c:v>0</c:v>
                </c:pt>
                <c:pt idx="1">
                  <c:v>0.39999999999906799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-0.29999999999930099</c:v>
                </c:pt>
                <c:pt idx="5">
                  <c:v>-9.99999999997669E-2</c:v>
                </c:pt>
                <c:pt idx="6">
                  <c:v>-0.20000000000130999</c:v>
                </c:pt>
                <c:pt idx="7">
                  <c:v>-0.19999999999953399</c:v>
                </c:pt>
                <c:pt idx="8">
                  <c:v>0.19999999999953399</c:v>
                </c:pt>
                <c:pt idx="9">
                  <c:v>-0.59999999999860198</c:v>
                </c:pt>
                <c:pt idx="10">
                  <c:v>-0.20000000000130999</c:v>
                </c:pt>
                <c:pt idx="11">
                  <c:v>0.60000000000037801</c:v>
                </c:pt>
                <c:pt idx="12">
                  <c:v>-0.999999999999446</c:v>
                </c:pt>
                <c:pt idx="13">
                  <c:v>-0.19999999999953399</c:v>
                </c:pt>
                <c:pt idx="14">
                  <c:v>0</c:v>
                </c:pt>
                <c:pt idx="15">
                  <c:v>-0.19999999999509299</c:v>
                </c:pt>
                <c:pt idx="16">
                  <c:v>-0.100000000000655</c:v>
                </c:pt>
                <c:pt idx="17">
                  <c:v>4.99999999954426E-2</c:v>
                </c:pt>
                <c:pt idx="18">
                  <c:v>-0.24999999999497599</c:v>
                </c:pt>
                <c:pt idx="19">
                  <c:v>4.99999999945544E-2</c:v>
                </c:pt>
                <c:pt idx="20">
                  <c:v>4.9999999999883499E-2</c:v>
                </c:pt>
              </c:numCache>
            </c:numRef>
          </c:val>
        </c:ser>
        <c:dLbls/>
        <c:marker val="1"/>
        <c:axId val="391588480"/>
        <c:axId val="391599232"/>
      </c:lineChart>
      <c:dateAx>
        <c:axId val="3915884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599232"/>
        <c:crossesAt val="-50"/>
        <c:auto val="1"/>
        <c:lblOffset val="100"/>
        <c:baseTimeUnit val="days"/>
        <c:majorUnit val="2"/>
        <c:majorTimeUnit val="days"/>
      </c:dateAx>
      <c:valAx>
        <c:axId val="39159923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58848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657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'zk79+657'!$C$4:$G$4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'zk79+657'!$A$6:$A$34</c:f>
              <c:numCache>
                <c:formatCode>m"月"d"日";@</c:formatCode>
                <c:ptCount val="29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'zk79+657'!$F$6:$F$29</c:f>
              <c:numCache>
                <c:formatCode>0.00_ </c:formatCode>
                <c:ptCount val="24"/>
                <c:pt idx="0">
                  <c:v>0</c:v>
                </c:pt>
                <c:pt idx="1">
                  <c:v>-0.29999999992469401</c:v>
                </c:pt>
                <c:pt idx="2">
                  <c:v>-0.59999999996307496</c:v>
                </c:pt>
                <c:pt idx="3">
                  <c:v>-0.79999999991286996</c:v>
                </c:pt>
                <c:pt idx="4">
                  <c:v>-1.1999999999261499</c:v>
                </c:pt>
                <c:pt idx="5">
                  <c:v>-1.39999999998963</c:v>
                </c:pt>
                <c:pt idx="6">
                  <c:v>-1.2999999999010501</c:v>
                </c:pt>
                <c:pt idx="7">
                  <c:v>-1.8000000000029099</c:v>
                </c:pt>
                <c:pt idx="8">
                  <c:v>-2.0999999999275998</c:v>
                </c:pt>
                <c:pt idx="9">
                  <c:v>-2.1999999999024999</c:v>
                </c:pt>
                <c:pt idx="10">
                  <c:v>-2.39999999996598</c:v>
                </c:pt>
                <c:pt idx="11">
                  <c:v>-2.0999999999275998</c:v>
                </c:pt>
                <c:pt idx="12">
                  <c:v>-2.79999999997926</c:v>
                </c:pt>
                <c:pt idx="13">
                  <c:v>-2.9999999999290599</c:v>
                </c:pt>
                <c:pt idx="14">
                  <c:v>-3.1999999999925399</c:v>
                </c:pt>
                <c:pt idx="15">
                  <c:v>-2.79999999997926</c:v>
                </c:pt>
                <c:pt idx="16">
                  <c:v>-3.6000000000058199</c:v>
                </c:pt>
                <c:pt idx="17">
                  <c:v>-3.7999999999556202</c:v>
                </c:pt>
                <c:pt idx="18">
                  <c:v>-4.099999999994</c:v>
                </c:pt>
                <c:pt idx="19">
                  <c:v>-4.1999999999688997</c:v>
                </c:pt>
                <c:pt idx="20">
                  <c:v>-3.8999999999305102</c:v>
                </c:pt>
                <c:pt idx="21">
                  <c:v>-1.60000000005311</c:v>
                </c:pt>
              </c:numCache>
            </c:numRef>
          </c:val>
        </c:ser>
        <c:ser>
          <c:idx val="1"/>
          <c:order val="1"/>
          <c:tx>
            <c:strRef>
              <c:f>'zk79+657'!$H$4:$L$4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'zk79+657'!$A$6:$A$34</c:f>
              <c:numCache>
                <c:formatCode>m"月"d"日";@</c:formatCode>
                <c:ptCount val="29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-0.70000000005165897</c:v>
                </c:pt>
                <c:pt idx="3">
                  <c:v>-0.80000000002655702</c:v>
                </c:pt>
                <c:pt idx="4">
                  <c:v>-0.90000000000145497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-1.2000000000398401</c:v>
                </c:pt>
                <c:pt idx="8">
                  <c:v>-0.99999999997635303</c:v>
                </c:pt>
                <c:pt idx="9">
                  <c:v>-1.39999999998963</c:v>
                </c:pt>
                <c:pt idx="10">
                  <c:v>-1.30000000001473</c:v>
                </c:pt>
                <c:pt idx="11">
                  <c:v>-1.60000000005311</c:v>
                </c:pt>
                <c:pt idx="12">
                  <c:v>-1.70000000002801</c:v>
                </c:pt>
                <c:pt idx="13">
                  <c:v>-1.8999999999778101</c:v>
                </c:pt>
                <c:pt idx="14">
                  <c:v>-1.8999999999778101</c:v>
                </c:pt>
                <c:pt idx="15">
                  <c:v>-2.00000000006639</c:v>
                </c:pt>
                <c:pt idx="16">
                  <c:v>-1.70000000002801</c:v>
                </c:pt>
                <c:pt idx="17">
                  <c:v>-2.2000000000161899</c:v>
                </c:pt>
                <c:pt idx="18">
                  <c:v>-2.2999999999910901</c:v>
                </c:pt>
                <c:pt idx="19">
                  <c:v>-2.6000000000294698</c:v>
                </c:pt>
                <c:pt idx="20">
                  <c:v>-2.5000000000545701</c:v>
                </c:pt>
                <c:pt idx="21">
                  <c:v>-6.4000000002124594E-2</c:v>
                </c:pt>
              </c:numCache>
            </c:numRef>
          </c:val>
        </c:ser>
        <c:ser>
          <c:idx val="2"/>
          <c:order val="2"/>
          <c:tx>
            <c:strRef>
              <c:f>'zk79+657'!$M$4:$Q$4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'zk79+657'!$A$6:$A$34</c:f>
              <c:numCache>
                <c:formatCode>m"月"d"日";@</c:formatCode>
                <c:ptCount val="29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'zk79+657'!$P$6:$P$28</c:f>
              <c:numCache>
                <c:formatCode>0.00_ </c:formatCode>
                <c:ptCount val="23"/>
                <c:pt idx="0">
                  <c:v>0</c:v>
                </c:pt>
                <c:pt idx="1">
                  <c:v>-0.40000000001327901</c:v>
                </c:pt>
                <c:pt idx="2">
                  <c:v>-0.59999999996307496</c:v>
                </c:pt>
                <c:pt idx="3">
                  <c:v>-0.79999999991286996</c:v>
                </c:pt>
                <c:pt idx="4">
                  <c:v>-0.69999999993797202</c:v>
                </c:pt>
                <c:pt idx="5">
                  <c:v>-1.1999999999261499</c:v>
                </c:pt>
                <c:pt idx="6">
                  <c:v>-1.39999999998963</c:v>
                </c:pt>
                <c:pt idx="7">
                  <c:v>-1.5999999999394301</c:v>
                </c:pt>
                <c:pt idx="8">
                  <c:v>-1.39999999998963</c:v>
                </c:pt>
                <c:pt idx="9">
                  <c:v>-1.9999999999527101</c:v>
                </c:pt>
                <c:pt idx="10">
                  <c:v>-2.2000000000161899</c:v>
                </c:pt>
                <c:pt idx="11">
                  <c:v>-2.0999999999275998</c:v>
                </c:pt>
                <c:pt idx="12">
                  <c:v>-2.5999999999157799</c:v>
                </c:pt>
                <c:pt idx="13">
                  <c:v>-2.79999999997926</c:v>
                </c:pt>
                <c:pt idx="14">
                  <c:v>-2.9999999999290599</c:v>
                </c:pt>
                <c:pt idx="15">
                  <c:v>-2.79999999997926</c:v>
                </c:pt>
                <c:pt idx="16">
                  <c:v>-3.3999999999423398</c:v>
                </c:pt>
                <c:pt idx="17">
                  <c:v>-3.6000000000058199</c:v>
                </c:pt>
                <c:pt idx="18">
                  <c:v>-3.49999999991724</c:v>
                </c:pt>
                <c:pt idx="19">
                  <c:v>-4.0000000000191003</c:v>
                </c:pt>
                <c:pt idx="20">
                  <c:v>-3.7999999999556202</c:v>
                </c:pt>
              </c:numCache>
            </c:numRef>
          </c:val>
        </c:ser>
        <c:dLbls/>
        <c:marker val="1"/>
        <c:axId val="391670784"/>
        <c:axId val="391693824"/>
      </c:lineChart>
      <c:lineChart>
        <c:grouping val="standard"/>
        <c:ser>
          <c:idx val="3"/>
          <c:order val="3"/>
          <c:tx>
            <c:strRef>
              <c:f>'zk79+657'!$AG$3:$AG$5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'zk79+657'!$A$6:$A$34</c:f>
              <c:numCache>
                <c:formatCode>m"月"d"日";@</c:formatCode>
                <c:ptCount val="29"/>
                <c:pt idx="0">
                  <c:v>44669</c:v>
                </c:pt>
                <c:pt idx="1">
                  <c:v>44670</c:v>
                </c:pt>
                <c:pt idx="2">
                  <c:v>44671</c:v>
                </c:pt>
                <c:pt idx="3">
                  <c:v>44672</c:v>
                </c:pt>
                <c:pt idx="4">
                  <c:v>44673</c:v>
                </c:pt>
                <c:pt idx="5">
                  <c:v>44674</c:v>
                </c:pt>
                <c:pt idx="6">
                  <c:v>44675</c:v>
                </c:pt>
                <c:pt idx="7">
                  <c:v>44676</c:v>
                </c:pt>
                <c:pt idx="8">
                  <c:v>44677</c:v>
                </c:pt>
                <c:pt idx="9">
                  <c:v>44678</c:v>
                </c:pt>
                <c:pt idx="10">
                  <c:v>44679</c:v>
                </c:pt>
                <c:pt idx="11">
                  <c:v>44680</c:v>
                </c:pt>
                <c:pt idx="12">
                  <c:v>44681</c:v>
                </c:pt>
                <c:pt idx="13">
                  <c:v>44682</c:v>
                </c:pt>
                <c:pt idx="14">
                  <c:v>44683</c:v>
                </c:pt>
                <c:pt idx="15">
                  <c:v>44685</c:v>
                </c:pt>
                <c:pt idx="16">
                  <c:v>44687</c:v>
                </c:pt>
                <c:pt idx="17">
                  <c:v>44689</c:v>
                </c:pt>
                <c:pt idx="18">
                  <c:v>44691</c:v>
                </c:pt>
                <c:pt idx="19">
                  <c:v>44693</c:v>
                </c:pt>
                <c:pt idx="20">
                  <c:v>44695</c:v>
                </c:pt>
              </c:numCache>
            </c:numRef>
          </c:cat>
          <c:val>
            <c:numRef>
              <c:f>'zk79+657'!$AG$6:$AG$31</c:f>
              <c:numCache>
                <c:formatCode>0.0_ </c:formatCode>
                <c:ptCount val="26"/>
                <c:pt idx="0">
                  <c:v>8</c:v>
                </c:pt>
                <c:pt idx="1">
                  <c:v>12</c:v>
                </c:pt>
                <c:pt idx="2">
                  <c:v>17</c:v>
                </c:pt>
                <c:pt idx="3">
                  <c:v>22</c:v>
                </c:pt>
                <c:pt idx="4">
                  <c:v>27</c:v>
                </c:pt>
                <c:pt idx="5">
                  <c:v>32</c:v>
                </c:pt>
                <c:pt idx="6">
                  <c:v>37</c:v>
                </c:pt>
                <c:pt idx="7">
                  <c:v>42</c:v>
                </c:pt>
                <c:pt idx="8">
                  <c:v>47</c:v>
                </c:pt>
                <c:pt idx="9">
                  <c:v>52</c:v>
                </c:pt>
                <c:pt idx="10">
                  <c:v>57</c:v>
                </c:pt>
                <c:pt idx="11">
                  <c:v>62</c:v>
                </c:pt>
                <c:pt idx="12">
                  <c:v>67</c:v>
                </c:pt>
                <c:pt idx="13">
                  <c:v>72</c:v>
                </c:pt>
                <c:pt idx="14">
                  <c:v>77</c:v>
                </c:pt>
                <c:pt idx="15">
                  <c:v>82</c:v>
                </c:pt>
                <c:pt idx="16">
                  <c:v>87</c:v>
                </c:pt>
                <c:pt idx="17">
                  <c:v>92</c:v>
                </c:pt>
                <c:pt idx="18">
                  <c:v>97</c:v>
                </c:pt>
                <c:pt idx="19">
                  <c:v>102</c:v>
                </c:pt>
                <c:pt idx="20">
                  <c:v>120</c:v>
                </c:pt>
              </c:numCache>
            </c:numRef>
          </c:val>
        </c:ser>
        <c:dLbls/>
        <c:marker val="1"/>
        <c:axId val="391695744"/>
        <c:axId val="391705728"/>
      </c:lineChart>
      <c:dateAx>
        <c:axId val="3916707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693824"/>
        <c:crossesAt val="-50"/>
        <c:auto val="1"/>
        <c:lblOffset val="100"/>
        <c:baseTimeUnit val="days"/>
      </c:dateAx>
      <c:valAx>
        <c:axId val="391693824"/>
        <c:scaling>
          <c:orientation val="minMax"/>
          <c:max val="4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670784"/>
        <c:crosses val="autoZero"/>
        <c:crossBetween val="midCat"/>
        <c:majorUnit val="2"/>
        <c:minorUnit val="0.5"/>
      </c:valAx>
      <c:dateAx>
        <c:axId val="39169574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1705728"/>
        <c:crosses val="autoZero"/>
        <c:auto val="1"/>
        <c:lblOffset val="100"/>
        <c:baseTimeUnit val="days"/>
      </c:dateAx>
      <c:valAx>
        <c:axId val="39170572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69574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'zk79+679'!$U$4:$W$4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'zk79+679'!$S$6:$S$31</c:f>
              <c:numCache>
                <c:formatCode>m"月"d"日";@</c:formatCode>
                <c:ptCount val="26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'zk79+679'!$V$6:$V$36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-0.50000000000061096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-0.70000000000014495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-1.7999999999993599</c:v>
                </c:pt>
                <c:pt idx="10">
                  <c:v>-1.50000000000006</c:v>
                </c:pt>
                <c:pt idx="11">
                  <c:v>-2.1999999999895401</c:v>
                </c:pt>
                <c:pt idx="12">
                  <c:v>-2.3999999999908499</c:v>
                </c:pt>
                <c:pt idx="13">
                  <c:v>-2.2000000000002</c:v>
                </c:pt>
                <c:pt idx="14">
                  <c:v>-2.7999999999899199</c:v>
                </c:pt>
                <c:pt idx="15">
                  <c:v>-3.0000000000001101</c:v>
                </c:pt>
                <c:pt idx="16">
                  <c:v>-3.3999999999991801</c:v>
                </c:pt>
                <c:pt idx="17">
                  <c:v>-3.1999999999996498</c:v>
                </c:pt>
                <c:pt idx="18">
                  <c:v>-3.0999999999998802</c:v>
                </c:pt>
                <c:pt idx="19">
                  <c:v>-2.99999999998946</c:v>
                </c:pt>
                <c:pt idx="20">
                  <c:v>-3.80000000000003</c:v>
                </c:pt>
              </c:numCache>
            </c:numRef>
          </c:val>
        </c:ser>
        <c:ser>
          <c:idx val="1"/>
          <c:order val="1"/>
          <c:tx>
            <c:strRef>
              <c:f>'zk79+679'!$Y$4:$AA$4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'zk79+679'!$S$6:$S$31</c:f>
              <c:numCache>
                <c:formatCode>m"月"d"日";@</c:formatCode>
                <c:ptCount val="26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'zk79+679'!$Z$6:$Z$37</c:f>
              <c:numCache>
                <c:formatCode>0.00_ </c:formatCode>
                <c:ptCount val="32"/>
                <c:pt idx="0">
                  <c:v>0</c:v>
                </c:pt>
                <c:pt idx="1">
                  <c:v>0.20000000000130999</c:v>
                </c:pt>
                <c:pt idx="2">
                  <c:v>9.99999999997669E-2</c:v>
                </c:pt>
                <c:pt idx="3">
                  <c:v>-0.19999999999953399</c:v>
                </c:pt>
                <c:pt idx="4">
                  <c:v>-0.49999999999883499</c:v>
                </c:pt>
                <c:pt idx="5">
                  <c:v>-0.19999999999953399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-1.6999999999995901</c:v>
                </c:pt>
                <c:pt idx="9">
                  <c:v>-1.99999999999889</c:v>
                </c:pt>
                <c:pt idx="10">
                  <c:v>-1.7999999999993599</c:v>
                </c:pt>
                <c:pt idx="11">
                  <c:v>-2.59999999999927</c:v>
                </c:pt>
                <c:pt idx="12">
                  <c:v>-2.9000000000003499</c:v>
                </c:pt>
                <c:pt idx="13">
                  <c:v>-3.1999999999996498</c:v>
                </c:pt>
                <c:pt idx="14">
                  <c:v>-3.5999999999987198</c:v>
                </c:pt>
                <c:pt idx="15">
                  <c:v>-3.8999999999997899</c:v>
                </c:pt>
                <c:pt idx="16">
                  <c:v>-4.09999999999933</c:v>
                </c:pt>
                <c:pt idx="17">
                  <c:v>-3.80000000000003</c:v>
                </c:pt>
                <c:pt idx="18">
                  <c:v>-3.8999999999997899</c:v>
                </c:pt>
                <c:pt idx="19">
                  <c:v>-3.80000000000003</c:v>
                </c:pt>
                <c:pt idx="20">
                  <c:v>-3.0000000000001101</c:v>
                </c:pt>
              </c:numCache>
            </c:numRef>
          </c:val>
        </c:ser>
        <c:ser>
          <c:idx val="2"/>
          <c:order val="2"/>
          <c:tx>
            <c:strRef>
              <c:f>'zk79+679'!$AC$4:$AE$4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'zk79+679'!$S$6:$S$31</c:f>
              <c:numCache>
                <c:formatCode>m"月"d"日";@</c:formatCode>
                <c:ptCount val="26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'zk79+679'!$AD$6:$AD$41</c:f>
              <c:numCache>
                <c:formatCode>0.00_ </c:formatCode>
                <c:ptCount val="36"/>
                <c:pt idx="0">
                  <c:v>0</c:v>
                </c:pt>
                <c:pt idx="1">
                  <c:v>-0.19999999999953399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-0.89999999999967895</c:v>
                </c:pt>
                <c:pt idx="5">
                  <c:v>-0.999999999999446</c:v>
                </c:pt>
                <c:pt idx="6">
                  <c:v>-1.1999999999989801</c:v>
                </c:pt>
                <c:pt idx="7">
                  <c:v>-1.3000000000005201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-2.0000000000006701</c:v>
                </c:pt>
                <c:pt idx="13">
                  <c:v>-2.59999999999039</c:v>
                </c:pt>
                <c:pt idx="14">
                  <c:v>-2.7999999999899199</c:v>
                </c:pt>
                <c:pt idx="15">
                  <c:v>-3.1999999999996498</c:v>
                </c:pt>
                <c:pt idx="16">
                  <c:v>-3.0000000000001101</c:v>
                </c:pt>
                <c:pt idx="17">
                  <c:v>-2.9000000000003499</c:v>
                </c:pt>
                <c:pt idx="18">
                  <c:v>-3.2999999999994101</c:v>
                </c:pt>
                <c:pt idx="19">
                  <c:v>-3.0000000000001101</c:v>
                </c:pt>
              </c:numCache>
            </c:numRef>
          </c:val>
        </c:ser>
        <c:dLbls/>
        <c:marker val="1"/>
        <c:axId val="391869952"/>
        <c:axId val="391880704"/>
      </c:lineChart>
      <c:lineChart>
        <c:grouping val="standard"/>
        <c:ser>
          <c:idx val="3"/>
          <c:order val="3"/>
          <c:tx>
            <c:strRef>
              <c:f>'zk79+679'!$AG$3:$AG$5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'zk79+679'!$S$6:$S$31</c:f>
              <c:numCache>
                <c:formatCode>m"月"d"日";@</c:formatCode>
                <c:ptCount val="26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'zk79+679'!$AG$6:$AG$25</c:f>
              <c:numCache>
                <c:formatCode>0.0_ </c:formatCode>
                <c:ptCount val="20"/>
                <c:pt idx="0">
                  <c:v>9</c:v>
                </c:pt>
                <c:pt idx="1">
                  <c:v>15</c:v>
                </c:pt>
                <c:pt idx="2">
                  <c:v>21</c:v>
                </c:pt>
                <c:pt idx="3">
                  <c:v>27</c:v>
                </c:pt>
                <c:pt idx="4">
                  <c:v>33</c:v>
                </c:pt>
                <c:pt idx="5">
                  <c:v>39</c:v>
                </c:pt>
                <c:pt idx="6">
                  <c:v>45</c:v>
                </c:pt>
                <c:pt idx="7">
                  <c:v>51</c:v>
                </c:pt>
                <c:pt idx="8">
                  <c:v>57</c:v>
                </c:pt>
                <c:pt idx="9">
                  <c:v>63</c:v>
                </c:pt>
                <c:pt idx="10">
                  <c:v>69</c:v>
                </c:pt>
                <c:pt idx="11">
                  <c:v>75</c:v>
                </c:pt>
                <c:pt idx="12">
                  <c:v>81</c:v>
                </c:pt>
                <c:pt idx="13">
                  <c:v>87</c:v>
                </c:pt>
                <c:pt idx="14">
                  <c:v>93</c:v>
                </c:pt>
                <c:pt idx="15">
                  <c:v>99</c:v>
                </c:pt>
                <c:pt idx="16">
                  <c:v>105</c:v>
                </c:pt>
                <c:pt idx="17">
                  <c:v>111</c:v>
                </c:pt>
                <c:pt idx="18">
                  <c:v>117</c:v>
                </c:pt>
                <c:pt idx="19">
                  <c:v>133</c:v>
                </c:pt>
              </c:numCache>
            </c:numRef>
          </c:val>
        </c:ser>
        <c:dLbls/>
        <c:marker val="1"/>
        <c:axId val="391882624"/>
        <c:axId val="391884160"/>
      </c:lineChart>
      <c:dateAx>
        <c:axId val="3918699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880704"/>
        <c:crossesAt val="-50"/>
        <c:auto val="1"/>
        <c:lblOffset val="100"/>
        <c:baseTimeUnit val="days"/>
        <c:majorUnit val="3"/>
        <c:majorTimeUnit val="days"/>
      </c:dateAx>
      <c:valAx>
        <c:axId val="391880704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869952"/>
        <c:crosses val="autoZero"/>
        <c:crossBetween val="midCat"/>
        <c:majorUnit val="1.2"/>
        <c:minorUnit val="0.1"/>
      </c:valAx>
      <c:dateAx>
        <c:axId val="39188262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1884160"/>
        <c:crosses val="autoZero"/>
        <c:auto val="1"/>
        <c:lblOffset val="100"/>
        <c:baseTimeUnit val="days"/>
      </c:dateAx>
      <c:valAx>
        <c:axId val="39188416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88262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'zk79+679'!$C$4:$G$4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'zk79+679'!$A$6:$A$42</c:f>
              <c:numCache>
                <c:formatCode>m"月"d"日";@</c:formatCode>
                <c:ptCount val="37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'zk79+679'!$G$6:$G$38</c:f>
              <c:numCache>
                <c:formatCode>0.00_ </c:formatCode>
                <c:ptCount val="33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0.30000000003838101</c:v>
                </c:pt>
                <c:pt idx="10">
                  <c:v>-0.70000000005165897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-5.0000000044292399E-2</c:v>
                </c:pt>
                <c:pt idx="16">
                  <c:v>-0.199999999949796</c:v>
                </c:pt>
                <c:pt idx="17">
                  <c:v>0.149999999962347</c:v>
                </c:pt>
                <c:pt idx="18">
                  <c:v>-9.9999999974897905E-2</c:v>
                </c:pt>
                <c:pt idx="19">
                  <c:v>9.9999999974897905E-2</c:v>
                </c:pt>
                <c:pt idx="20">
                  <c:v>-3.0000000000427498</c:v>
                </c:pt>
              </c:numCache>
            </c:numRef>
          </c:val>
        </c:ser>
        <c:ser>
          <c:idx val="1"/>
          <c:order val="1"/>
          <c:tx>
            <c:strRef>
              <c:f>'zk79+679'!$H$4:$L$4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'zk79+679'!$A$6:$A$42</c:f>
              <c:numCache>
                <c:formatCode>m"月"d"日";@</c:formatCode>
                <c:ptCount val="37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'zk79+679'!$L$6:$L$39</c:f>
              <c:numCache>
                <c:formatCode>0.00_ </c:formatCode>
                <c:ptCount val="34"/>
                <c:pt idx="0">
                  <c:v>0</c:v>
                </c:pt>
                <c:pt idx="1">
                  <c:v>9.9999999974897905E-2</c:v>
                </c:pt>
                <c:pt idx="2">
                  <c:v>0.20000000006348301</c:v>
                </c:pt>
                <c:pt idx="3">
                  <c:v>-0.49999999998817701</c:v>
                </c:pt>
                <c:pt idx="4">
                  <c:v>-0.30000000003838101</c:v>
                </c:pt>
                <c:pt idx="5">
                  <c:v>9.9999999974897905E-2</c:v>
                </c:pt>
                <c:pt idx="6">
                  <c:v>-0.69999999993797202</c:v>
                </c:pt>
                <c:pt idx="7">
                  <c:v>-0.30000000003838101</c:v>
                </c:pt>
                <c:pt idx="8">
                  <c:v>-9.9999999974897905E-2</c:v>
                </c:pt>
                <c:pt idx="9">
                  <c:v>-0.49999999998817701</c:v>
                </c:pt>
                <c:pt idx="10">
                  <c:v>0.29999999992469401</c:v>
                </c:pt>
                <c:pt idx="11">
                  <c:v>-0.90000000000145497</c:v>
                </c:pt>
                <c:pt idx="12">
                  <c:v>0.60000000007676102</c:v>
                </c:pt>
                <c:pt idx="13">
                  <c:v>-0.40000000001327901</c:v>
                </c:pt>
                <c:pt idx="14">
                  <c:v>-0.59999999996307496</c:v>
                </c:pt>
                <c:pt idx="15">
                  <c:v>-5.0000000044292399E-2</c:v>
                </c:pt>
                <c:pt idx="16">
                  <c:v>-0.24999999999408801</c:v>
                </c:pt>
                <c:pt idx="17">
                  <c:v>-0.149999999962347</c:v>
                </c:pt>
                <c:pt idx="18">
                  <c:v>-5.0000000044292399E-2</c:v>
                </c:pt>
                <c:pt idx="19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'zk79+679'!$M$4:$Q$4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'zk79+679'!$A$6:$A$42</c:f>
              <c:numCache>
                <c:formatCode>m"月"d"日";@</c:formatCode>
                <c:ptCount val="37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'zk79+679'!$Q$6:$Q$35</c:f>
              <c:numCache>
                <c:formatCode>0.00_ </c:formatCode>
                <c:ptCount val="30"/>
                <c:pt idx="0">
                  <c:v>0</c:v>
                </c:pt>
                <c:pt idx="1">
                  <c:v>-9.9999999974897905E-2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0.59999999996307496</c:v>
                </c:pt>
                <c:pt idx="11">
                  <c:v>-0.99999999997635303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-0.15000000001919001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0.149999999962347</c:v>
                </c:pt>
                <c:pt idx="19">
                  <c:v>-4.9999999987449001E-2</c:v>
                </c:pt>
              </c:numCache>
            </c:numRef>
          </c:val>
        </c:ser>
        <c:dLbls/>
        <c:marker val="1"/>
        <c:axId val="391837184"/>
        <c:axId val="391905280"/>
      </c:lineChart>
      <c:dateAx>
        <c:axId val="3918371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905280"/>
        <c:crossesAt val="-50"/>
        <c:auto val="1"/>
        <c:lblOffset val="100"/>
        <c:baseTimeUnit val="days"/>
        <c:majorUnit val="3"/>
        <c:majorTimeUnit val="days"/>
      </c:dateAx>
      <c:valAx>
        <c:axId val="39190528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83718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9+679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'zk79+679'!$U$4:$W$4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'zk79+679'!$S$6:$S$45</c:f>
              <c:numCache>
                <c:formatCode>m"月"d"日";@</c:formatCode>
                <c:ptCount val="40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'zk79+679'!$W$6:$W$36</c:f>
              <c:numCache>
                <c:formatCode>0.00_ </c:formatCode>
                <c:ptCount val="31"/>
                <c:pt idx="0">
                  <c:v>0</c:v>
                </c:pt>
                <c:pt idx="1">
                  <c:v>0.19999999999953399</c:v>
                </c:pt>
                <c:pt idx="2">
                  <c:v>0.20000000000130999</c:v>
                </c:pt>
                <c:pt idx="3">
                  <c:v>9.99999999997669E-2</c:v>
                </c:pt>
                <c:pt idx="4">
                  <c:v>0.29999999999930099</c:v>
                </c:pt>
                <c:pt idx="5">
                  <c:v>0.19999999999953399</c:v>
                </c:pt>
                <c:pt idx="6">
                  <c:v>-0.29999999999930099</c:v>
                </c:pt>
                <c:pt idx="7">
                  <c:v>0.70000000000014495</c:v>
                </c:pt>
                <c:pt idx="8">
                  <c:v>0.19999999999953399</c:v>
                </c:pt>
                <c:pt idx="9">
                  <c:v>0.19999999999953399</c:v>
                </c:pt>
                <c:pt idx="10">
                  <c:v>-0.29999999999930099</c:v>
                </c:pt>
                <c:pt idx="11">
                  <c:v>0.69999999998948703</c:v>
                </c:pt>
                <c:pt idx="12">
                  <c:v>0.20000000000130999</c:v>
                </c:pt>
                <c:pt idx="13">
                  <c:v>-0.19999999999065199</c:v>
                </c:pt>
                <c:pt idx="14">
                  <c:v>0.59999999998971998</c:v>
                </c:pt>
                <c:pt idx="15">
                  <c:v>0.100000000005096</c:v>
                </c:pt>
                <c:pt idx="16">
                  <c:v>0.19999999999953399</c:v>
                </c:pt>
                <c:pt idx="17">
                  <c:v>-9.99999999997669E-2</c:v>
                </c:pt>
                <c:pt idx="18">
                  <c:v>-4.9999999999883499E-2</c:v>
                </c:pt>
                <c:pt idx="19">
                  <c:v>-5.00000000052125E-2</c:v>
                </c:pt>
                <c:pt idx="20">
                  <c:v>-3.0000000000001101</c:v>
                </c:pt>
              </c:numCache>
            </c:numRef>
          </c:val>
        </c:ser>
        <c:ser>
          <c:idx val="1"/>
          <c:order val="1"/>
          <c:tx>
            <c:strRef>
              <c:f>'zk79+679'!$Y$4:$AA$4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'zk79+679'!$S$6:$S$45</c:f>
              <c:numCache>
                <c:formatCode>m"月"d"日";@</c:formatCode>
                <c:ptCount val="40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'zk79+679'!$AA$6:$AA$35</c:f>
              <c:numCache>
                <c:formatCode>0.00_ </c:formatCode>
                <c:ptCount val="30"/>
                <c:pt idx="0">
                  <c:v>0</c:v>
                </c:pt>
                <c:pt idx="1">
                  <c:v>0.20000000000130999</c:v>
                </c:pt>
                <c:pt idx="2">
                  <c:v>-0.10000000000154299</c:v>
                </c:pt>
                <c:pt idx="3">
                  <c:v>-0.29999999999930099</c:v>
                </c:pt>
                <c:pt idx="4">
                  <c:v>-0.29999999999930099</c:v>
                </c:pt>
                <c:pt idx="5">
                  <c:v>0.29999999999930099</c:v>
                </c:pt>
                <c:pt idx="6">
                  <c:v>-0.89999999999967895</c:v>
                </c:pt>
                <c:pt idx="7">
                  <c:v>9.99999999997669E-2</c:v>
                </c:pt>
                <c:pt idx="8">
                  <c:v>-0.70000000000014495</c:v>
                </c:pt>
                <c:pt idx="9">
                  <c:v>-0.29999999999930099</c:v>
                </c:pt>
                <c:pt idx="10">
                  <c:v>0.19999999999953399</c:v>
                </c:pt>
                <c:pt idx="11">
                  <c:v>-0.799999999999912</c:v>
                </c:pt>
                <c:pt idx="12">
                  <c:v>-0.30000000000107702</c:v>
                </c:pt>
                <c:pt idx="13">
                  <c:v>-0.29999999999930099</c:v>
                </c:pt>
                <c:pt idx="14">
                  <c:v>-0.39999999999906799</c:v>
                </c:pt>
                <c:pt idx="15">
                  <c:v>-0.15000000000053901</c:v>
                </c:pt>
                <c:pt idx="16">
                  <c:v>-9.99999999997669E-2</c:v>
                </c:pt>
                <c:pt idx="17">
                  <c:v>0.14999999999965</c:v>
                </c:pt>
                <c:pt idx="18">
                  <c:v>-4.9999999999883499E-2</c:v>
                </c:pt>
                <c:pt idx="19">
                  <c:v>4.9999999999883499E-2</c:v>
                </c:pt>
                <c:pt idx="20">
                  <c:v>-0.119999999999578</c:v>
                </c:pt>
              </c:numCache>
            </c:numRef>
          </c:val>
        </c:ser>
        <c:ser>
          <c:idx val="2"/>
          <c:order val="2"/>
          <c:tx>
            <c:strRef>
              <c:f>'zk79+679'!$AC$4:$AE$4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'zk79+679'!$S$6:$S$45</c:f>
              <c:numCache>
                <c:formatCode>m"月"d"日";@</c:formatCode>
                <c:ptCount val="40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'zk79+679'!$AE$6:$AE$42</c:f>
              <c:numCache>
                <c:formatCode>0.00_ </c:formatCode>
                <c:ptCount val="37"/>
                <c:pt idx="0">
                  <c:v>0</c:v>
                </c:pt>
                <c:pt idx="1">
                  <c:v>-0.19999999999953399</c:v>
                </c:pt>
                <c:pt idx="2">
                  <c:v>-0.30000000000107702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-9.99999999997669E-2</c:v>
                </c:pt>
                <c:pt idx="6">
                  <c:v>-0.19999999999953399</c:v>
                </c:pt>
                <c:pt idx="7">
                  <c:v>-0.10000000000154299</c:v>
                </c:pt>
                <c:pt idx="8">
                  <c:v>-0.29999999999930099</c:v>
                </c:pt>
                <c:pt idx="9">
                  <c:v>9.99999999997669E-2</c:v>
                </c:pt>
                <c:pt idx="10">
                  <c:v>-0.50000000000061096</c:v>
                </c:pt>
                <c:pt idx="11">
                  <c:v>-0.19999999999953399</c:v>
                </c:pt>
                <c:pt idx="12">
                  <c:v>0.19999999999953399</c:v>
                </c:pt>
                <c:pt idx="13">
                  <c:v>-0.59999999998971998</c:v>
                </c:pt>
                <c:pt idx="14">
                  <c:v>-0.19999999999953399</c:v>
                </c:pt>
                <c:pt idx="15">
                  <c:v>-0.20000000000486301</c:v>
                </c:pt>
                <c:pt idx="16">
                  <c:v>9.99999999997669E-2</c:v>
                </c:pt>
                <c:pt idx="17">
                  <c:v>4.9999999999883499E-2</c:v>
                </c:pt>
                <c:pt idx="18">
                  <c:v>-0.19999999999953399</c:v>
                </c:pt>
                <c:pt idx="19">
                  <c:v>0.14999999999965</c:v>
                </c:pt>
              </c:numCache>
            </c:numRef>
          </c:val>
        </c:ser>
        <c:dLbls/>
        <c:marker val="1"/>
        <c:axId val="391956736"/>
        <c:axId val="391975680"/>
      </c:lineChart>
      <c:dateAx>
        <c:axId val="3919567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975680"/>
        <c:crossesAt val="-50"/>
        <c:auto val="1"/>
        <c:lblOffset val="100"/>
        <c:baseTimeUnit val="days"/>
        <c:majorUnit val="3"/>
        <c:majorTimeUnit val="days"/>
      </c:dateAx>
      <c:valAx>
        <c:axId val="39197568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195673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679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'zk79+679'!$C$4:$G$4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'zk79+679'!$A$6:$A$38</c:f>
              <c:numCache>
                <c:formatCode>m"月"d"日";@</c:formatCode>
                <c:ptCount val="33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'zk79+679'!$F$6:$F$33</c:f>
              <c:numCache>
                <c:formatCode>0.00_ </c:formatCode>
                <c:ptCount val="28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-0.40000000001327901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-1.00000000009004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-1.2000000000398401</c:v>
                </c:pt>
                <c:pt idx="10">
                  <c:v>-1.9000000000915001</c:v>
                </c:pt>
                <c:pt idx="11">
                  <c:v>-2.1000000000412902</c:v>
                </c:pt>
                <c:pt idx="12">
                  <c:v>-2.00000000006639</c:v>
                </c:pt>
                <c:pt idx="13">
                  <c:v>-2.5000000000545701</c:v>
                </c:pt>
                <c:pt idx="14">
                  <c:v>-2.70000000000437</c:v>
                </c:pt>
                <c:pt idx="15">
                  <c:v>-2.8000000000929499</c:v>
                </c:pt>
                <c:pt idx="16">
                  <c:v>-3.1999999999925399</c:v>
                </c:pt>
                <c:pt idx="17">
                  <c:v>-2.9000000000678501</c:v>
                </c:pt>
                <c:pt idx="18">
                  <c:v>-3.1000000000176402</c:v>
                </c:pt>
                <c:pt idx="19">
                  <c:v>-2.9000000000678501</c:v>
                </c:pt>
                <c:pt idx="20">
                  <c:v>-3.7999999999556202</c:v>
                </c:pt>
              </c:numCache>
            </c:numRef>
          </c:val>
        </c:ser>
        <c:ser>
          <c:idx val="1"/>
          <c:order val="1"/>
          <c:tx>
            <c:strRef>
              <c:f>'zk79+679'!$H$4:$L$4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'zk79+679'!$A$6:$A$38</c:f>
              <c:numCache>
                <c:formatCode>m"月"d"日";@</c:formatCode>
                <c:ptCount val="33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'zk79+679'!$K$6:$K$34</c:f>
              <c:numCache>
                <c:formatCode>0.00_ </c:formatCode>
                <c:ptCount val="29"/>
                <c:pt idx="0">
                  <c:v>0</c:v>
                </c:pt>
                <c:pt idx="1">
                  <c:v>9.9999999974897905E-2</c:v>
                </c:pt>
                <c:pt idx="2">
                  <c:v>0.30000000003838101</c:v>
                </c:pt>
                <c:pt idx="3">
                  <c:v>-0.199999999949796</c:v>
                </c:pt>
                <c:pt idx="4">
                  <c:v>-0.49999999998817701</c:v>
                </c:pt>
                <c:pt idx="5">
                  <c:v>-0.40000000001327901</c:v>
                </c:pt>
                <c:pt idx="6">
                  <c:v>-1.09999999995125</c:v>
                </c:pt>
                <c:pt idx="7">
                  <c:v>-1.39999999998963</c:v>
                </c:pt>
                <c:pt idx="8">
                  <c:v>-1.4999999999645299</c:v>
                </c:pt>
                <c:pt idx="9">
                  <c:v>-1.9999999999527101</c:v>
                </c:pt>
                <c:pt idx="10">
                  <c:v>-1.70000000002801</c:v>
                </c:pt>
                <c:pt idx="11">
                  <c:v>-2.6000000000294698</c:v>
                </c:pt>
                <c:pt idx="12">
                  <c:v>-1.9999999999527101</c:v>
                </c:pt>
                <c:pt idx="13">
                  <c:v>-2.39999999996598</c:v>
                </c:pt>
                <c:pt idx="14">
                  <c:v>-2.9999999999290599</c:v>
                </c:pt>
                <c:pt idx="15">
                  <c:v>-3.1000000000176402</c:v>
                </c:pt>
                <c:pt idx="16">
                  <c:v>-3.6000000000058199</c:v>
                </c:pt>
                <c:pt idx="17">
                  <c:v>-3.8999999999305102</c:v>
                </c:pt>
                <c:pt idx="18">
                  <c:v>-4.0000000000191003</c:v>
                </c:pt>
                <c:pt idx="19">
                  <c:v>-3.7999999999556202</c:v>
                </c:pt>
                <c:pt idx="20">
                  <c:v>-0.151999999998225</c:v>
                </c:pt>
              </c:numCache>
            </c:numRef>
          </c:val>
        </c:ser>
        <c:ser>
          <c:idx val="2"/>
          <c:order val="2"/>
          <c:tx>
            <c:strRef>
              <c:f>'zk79+679'!$M$4:$Q$4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'zk79+679'!$A$6:$A$38</c:f>
              <c:numCache>
                <c:formatCode>m"月"d"日";@</c:formatCode>
                <c:ptCount val="33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'zk79+679'!$P$6:$P$32</c:f>
              <c:numCache>
                <c:formatCode>0.00_ </c:formatCode>
                <c:ptCount val="27"/>
                <c:pt idx="0">
                  <c:v>0</c:v>
                </c:pt>
                <c:pt idx="1">
                  <c:v>-9.9999999974897905E-2</c:v>
                </c:pt>
                <c:pt idx="2">
                  <c:v>-0.40000000001327901</c:v>
                </c:pt>
                <c:pt idx="3">
                  <c:v>-0.59999999996307496</c:v>
                </c:pt>
                <c:pt idx="4">
                  <c:v>-0.90000000000145497</c:v>
                </c:pt>
                <c:pt idx="5">
                  <c:v>-0.99999999997635303</c:v>
                </c:pt>
                <c:pt idx="6">
                  <c:v>-1.2000000000398401</c:v>
                </c:pt>
                <c:pt idx="7">
                  <c:v>-1.1000000000649399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-1.2000000000398401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-2.2999999999910901</c:v>
                </c:pt>
                <c:pt idx="14">
                  <c:v>-2.79999999997926</c:v>
                </c:pt>
                <c:pt idx="15">
                  <c:v>-3.1000000000176402</c:v>
                </c:pt>
                <c:pt idx="16">
                  <c:v>-3.2999999999674401</c:v>
                </c:pt>
                <c:pt idx="17">
                  <c:v>-3.1999999999925399</c:v>
                </c:pt>
                <c:pt idx="18">
                  <c:v>-2.9000000000678501</c:v>
                </c:pt>
                <c:pt idx="19">
                  <c:v>-3.0000000000427498</c:v>
                </c:pt>
              </c:numCache>
            </c:numRef>
          </c:val>
        </c:ser>
        <c:dLbls/>
        <c:marker val="1"/>
        <c:axId val="392034176"/>
        <c:axId val="392044928"/>
      </c:lineChart>
      <c:lineChart>
        <c:grouping val="standard"/>
        <c:ser>
          <c:idx val="3"/>
          <c:order val="3"/>
          <c:tx>
            <c:strRef>
              <c:f>'zk79+679'!$AG$3:$AG$5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'zk79+679'!$A$6:$A$38</c:f>
              <c:numCache>
                <c:formatCode>m"月"d"日";@</c:formatCode>
                <c:ptCount val="33"/>
                <c:pt idx="0">
                  <c:v>44676</c:v>
                </c:pt>
                <c:pt idx="1">
                  <c:v>44677</c:v>
                </c:pt>
                <c:pt idx="2">
                  <c:v>44678</c:v>
                </c:pt>
                <c:pt idx="3">
                  <c:v>44679</c:v>
                </c:pt>
                <c:pt idx="4">
                  <c:v>44680</c:v>
                </c:pt>
                <c:pt idx="5">
                  <c:v>44681</c:v>
                </c:pt>
                <c:pt idx="6">
                  <c:v>44682</c:v>
                </c:pt>
                <c:pt idx="7">
                  <c:v>44683</c:v>
                </c:pt>
                <c:pt idx="8">
                  <c:v>44684</c:v>
                </c:pt>
                <c:pt idx="9">
                  <c:v>44685</c:v>
                </c:pt>
                <c:pt idx="10">
                  <c:v>44686</c:v>
                </c:pt>
                <c:pt idx="11">
                  <c:v>44687</c:v>
                </c:pt>
                <c:pt idx="12">
                  <c:v>44688</c:v>
                </c:pt>
                <c:pt idx="13">
                  <c:v>44689</c:v>
                </c:pt>
                <c:pt idx="14">
                  <c:v>44690</c:v>
                </c:pt>
                <c:pt idx="15">
                  <c:v>44692</c:v>
                </c:pt>
                <c:pt idx="16">
                  <c:v>44694</c:v>
                </c:pt>
                <c:pt idx="17">
                  <c:v>44696</c:v>
                </c:pt>
                <c:pt idx="18">
                  <c:v>44698</c:v>
                </c:pt>
                <c:pt idx="19">
                  <c:v>44700</c:v>
                </c:pt>
              </c:numCache>
            </c:numRef>
          </c:cat>
          <c:val>
            <c:numRef>
              <c:f>'zk79+679'!$AG$6:$AG$25</c:f>
              <c:numCache>
                <c:formatCode>0.0_ </c:formatCode>
                <c:ptCount val="20"/>
                <c:pt idx="0">
                  <c:v>9</c:v>
                </c:pt>
                <c:pt idx="1">
                  <c:v>15</c:v>
                </c:pt>
                <c:pt idx="2">
                  <c:v>21</c:v>
                </c:pt>
                <c:pt idx="3">
                  <c:v>27</c:v>
                </c:pt>
                <c:pt idx="4">
                  <c:v>33</c:v>
                </c:pt>
                <c:pt idx="5">
                  <c:v>39</c:v>
                </c:pt>
                <c:pt idx="6">
                  <c:v>45</c:v>
                </c:pt>
                <c:pt idx="7">
                  <c:v>51</c:v>
                </c:pt>
                <c:pt idx="8">
                  <c:v>57</c:v>
                </c:pt>
                <c:pt idx="9">
                  <c:v>63</c:v>
                </c:pt>
                <c:pt idx="10">
                  <c:v>69</c:v>
                </c:pt>
                <c:pt idx="11">
                  <c:v>75</c:v>
                </c:pt>
                <c:pt idx="12">
                  <c:v>81</c:v>
                </c:pt>
                <c:pt idx="13">
                  <c:v>87</c:v>
                </c:pt>
                <c:pt idx="14">
                  <c:v>93</c:v>
                </c:pt>
                <c:pt idx="15">
                  <c:v>99</c:v>
                </c:pt>
                <c:pt idx="16">
                  <c:v>105</c:v>
                </c:pt>
                <c:pt idx="17">
                  <c:v>111</c:v>
                </c:pt>
                <c:pt idx="18">
                  <c:v>117</c:v>
                </c:pt>
                <c:pt idx="19">
                  <c:v>133</c:v>
                </c:pt>
              </c:numCache>
            </c:numRef>
          </c:val>
        </c:ser>
        <c:dLbls/>
        <c:marker val="1"/>
        <c:axId val="392046848"/>
        <c:axId val="392065024"/>
      </c:lineChart>
      <c:dateAx>
        <c:axId val="392034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044928"/>
        <c:crossesAt val="-50"/>
        <c:auto val="1"/>
        <c:lblOffset val="100"/>
        <c:baseTimeUnit val="days"/>
        <c:majorUnit val="3"/>
        <c:majorTimeUnit val="days"/>
      </c:dateAx>
      <c:valAx>
        <c:axId val="392044928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034176"/>
        <c:crosses val="autoZero"/>
        <c:crossBetween val="midCat"/>
        <c:majorUnit val="1.2"/>
        <c:minorUnit val="0.5"/>
      </c:valAx>
      <c:dateAx>
        <c:axId val="3920468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2065024"/>
        <c:crosses val="autoZero"/>
        <c:auto val="1"/>
        <c:lblOffset val="100"/>
        <c:baseTimeUnit val="days"/>
      </c:dateAx>
      <c:valAx>
        <c:axId val="392065024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04684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'zk79+719'!$U$4:$W$4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'zk79+719'!$S$6:$S$27</c:f>
              <c:numCache>
                <c:formatCode>m"月"d"日";@</c:formatCode>
                <c:ptCount val="22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'zk79+719'!$V$6:$V$32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0.300000000000189</c:v>
                </c:pt>
                <c:pt idx="2">
                  <c:v>9.99999999997669E-2</c:v>
                </c:pt>
                <c:pt idx="3">
                  <c:v>0.19999999999953399</c:v>
                </c:pt>
                <c:pt idx="4">
                  <c:v>-0.300000000000189</c:v>
                </c:pt>
                <c:pt idx="5">
                  <c:v>-0.499999999999723</c:v>
                </c:pt>
                <c:pt idx="6">
                  <c:v>-0.60000000000037801</c:v>
                </c:pt>
                <c:pt idx="7">
                  <c:v>-0.89999999999967895</c:v>
                </c:pt>
                <c:pt idx="8">
                  <c:v>-1.1000000000001</c:v>
                </c:pt>
                <c:pt idx="9">
                  <c:v>-1.00000000000033</c:v>
                </c:pt>
                <c:pt idx="10">
                  <c:v>-1.50000000000006</c:v>
                </c:pt>
                <c:pt idx="11">
                  <c:v>-1.70000000000048</c:v>
                </c:pt>
                <c:pt idx="12">
                  <c:v>-1.50000000000006</c:v>
                </c:pt>
                <c:pt idx="13">
                  <c:v>-2.10000000000043</c:v>
                </c:pt>
                <c:pt idx="14">
                  <c:v>-2.10000000000043</c:v>
                </c:pt>
                <c:pt idx="15">
                  <c:v>-2.5000000000101599</c:v>
                </c:pt>
                <c:pt idx="16">
                  <c:v>-2.3999999999997401</c:v>
                </c:pt>
                <c:pt idx="17">
                  <c:v>-2.2999999999902001</c:v>
                </c:pt>
                <c:pt idx="18">
                  <c:v>-2.1999999999797701</c:v>
                </c:pt>
                <c:pt idx="19">
                  <c:v>-0.40000000000084401</c:v>
                </c:pt>
              </c:numCache>
            </c:numRef>
          </c:val>
        </c:ser>
        <c:ser>
          <c:idx val="1"/>
          <c:order val="1"/>
          <c:tx>
            <c:strRef>
              <c:f>'zk79+719'!$Y$4:$AA$4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'zk79+719'!$S$6:$S$27</c:f>
              <c:numCache>
                <c:formatCode>m"月"d"日";@</c:formatCode>
                <c:ptCount val="22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'zk79+719'!$Z$6:$Z$33</c:f>
              <c:numCache>
                <c:formatCode>0.00_ </c:formatCode>
                <c:ptCount val="28"/>
                <c:pt idx="0">
                  <c:v>0</c:v>
                </c:pt>
                <c:pt idx="1">
                  <c:v>-0.40000000000084401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-0.40000000000084401</c:v>
                </c:pt>
                <c:pt idx="5">
                  <c:v>-0.799999999999912</c:v>
                </c:pt>
                <c:pt idx="6">
                  <c:v>-0.89999999999967895</c:v>
                </c:pt>
                <c:pt idx="7">
                  <c:v>-0.70000000000014495</c:v>
                </c:pt>
                <c:pt idx="8">
                  <c:v>-1.0999999999992101</c:v>
                </c:pt>
                <c:pt idx="9">
                  <c:v>-1.20000000000076</c:v>
                </c:pt>
                <c:pt idx="10">
                  <c:v>-0.799999999999912</c:v>
                </c:pt>
                <c:pt idx="11">
                  <c:v>-1.4000000000002899</c:v>
                </c:pt>
                <c:pt idx="12">
                  <c:v>-1.50000000000006</c:v>
                </c:pt>
                <c:pt idx="13">
                  <c:v>-1.6999999999995901</c:v>
                </c:pt>
                <c:pt idx="14">
                  <c:v>-1.6999999999995901</c:v>
                </c:pt>
                <c:pt idx="15">
                  <c:v>-1.59999999999982</c:v>
                </c:pt>
                <c:pt idx="16">
                  <c:v>-1.7999999999993599</c:v>
                </c:pt>
                <c:pt idx="17">
                  <c:v>-2.0000000000006701</c:v>
                </c:pt>
                <c:pt idx="18">
                  <c:v>-2.2000000000002</c:v>
                </c:pt>
                <c:pt idx="19">
                  <c:v>-2.4000000000015098</c:v>
                </c:pt>
              </c:numCache>
            </c:numRef>
          </c:val>
        </c:ser>
        <c:ser>
          <c:idx val="2"/>
          <c:order val="2"/>
          <c:tx>
            <c:strRef>
              <c:f>'zk79+719'!$AC$4:$AE$4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'zk79+719'!$S$6:$S$27</c:f>
              <c:numCache>
                <c:formatCode>m"月"d"日";@</c:formatCode>
                <c:ptCount val="22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-0.80000000000168803</c:v>
                </c:pt>
                <c:pt idx="5">
                  <c:v>-0.80000000000168803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-1.80000000000113</c:v>
                </c:pt>
                <c:pt idx="10">
                  <c:v>-2.0000000000006701</c:v>
                </c:pt>
                <c:pt idx="11">
                  <c:v>-1.9000000000009001</c:v>
                </c:pt>
                <c:pt idx="12">
                  <c:v>-2.4000000000015098</c:v>
                </c:pt>
                <c:pt idx="13">
                  <c:v>-2.6000000000010499</c:v>
                </c:pt>
                <c:pt idx="14">
                  <c:v>-2.5000000000012799</c:v>
                </c:pt>
                <c:pt idx="15">
                  <c:v>-3.0000000000001101</c:v>
                </c:pt>
                <c:pt idx="16">
                  <c:v>-2.8000000000005798</c:v>
                </c:pt>
                <c:pt idx="17">
                  <c:v>-2.6000000000010499</c:v>
                </c:pt>
                <c:pt idx="18">
                  <c:v>-2.4000000000015098</c:v>
                </c:pt>
              </c:numCache>
            </c:numRef>
          </c:val>
        </c:ser>
        <c:dLbls/>
        <c:marker val="1"/>
        <c:axId val="392334336"/>
        <c:axId val="392340992"/>
      </c:lineChart>
      <c:lineChart>
        <c:grouping val="standard"/>
        <c:ser>
          <c:idx val="3"/>
          <c:order val="3"/>
          <c:tx>
            <c:strRef>
              <c:f>'zk79+719'!$AG$3:$AG$5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'zk79+719'!$S$6:$S$27</c:f>
              <c:numCache>
                <c:formatCode>m"月"d"日";@</c:formatCode>
                <c:ptCount val="22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'zk79+719'!$AG$6:$AG$27</c:f>
              <c:numCache>
                <c:formatCode>0.0_ </c:formatCode>
                <c:ptCount val="22"/>
                <c:pt idx="0">
                  <c:v>6</c:v>
                </c:pt>
                <c:pt idx="1">
                  <c:v>11</c:v>
                </c:pt>
                <c:pt idx="2">
                  <c:v>16</c:v>
                </c:pt>
                <c:pt idx="3">
                  <c:v>21</c:v>
                </c:pt>
                <c:pt idx="4">
                  <c:v>26</c:v>
                </c:pt>
                <c:pt idx="5">
                  <c:v>31</c:v>
                </c:pt>
                <c:pt idx="6">
                  <c:v>36</c:v>
                </c:pt>
                <c:pt idx="7">
                  <c:v>41</c:v>
                </c:pt>
                <c:pt idx="8">
                  <c:v>46</c:v>
                </c:pt>
                <c:pt idx="9">
                  <c:v>51</c:v>
                </c:pt>
                <c:pt idx="10">
                  <c:v>56</c:v>
                </c:pt>
                <c:pt idx="11">
                  <c:v>61</c:v>
                </c:pt>
                <c:pt idx="12">
                  <c:v>66</c:v>
                </c:pt>
                <c:pt idx="13">
                  <c:v>71</c:v>
                </c:pt>
                <c:pt idx="14">
                  <c:v>76</c:v>
                </c:pt>
                <c:pt idx="15">
                  <c:v>81</c:v>
                </c:pt>
                <c:pt idx="16">
                  <c:v>93</c:v>
                </c:pt>
                <c:pt idx="17">
                  <c:v>105</c:v>
                </c:pt>
                <c:pt idx="18">
                  <c:v>117</c:v>
                </c:pt>
              </c:numCache>
            </c:numRef>
          </c:val>
        </c:ser>
        <c:dLbls/>
        <c:marker val="1"/>
        <c:axId val="392342912"/>
        <c:axId val="392348800"/>
      </c:lineChart>
      <c:dateAx>
        <c:axId val="3923343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340992"/>
        <c:crossesAt val="-50"/>
        <c:auto val="1"/>
        <c:lblOffset val="100"/>
        <c:baseTimeUnit val="days"/>
        <c:majorUnit val="3"/>
        <c:majorTimeUnit val="days"/>
      </c:dateAx>
      <c:valAx>
        <c:axId val="39234099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334336"/>
        <c:crosses val="autoZero"/>
        <c:crossBetween val="midCat"/>
        <c:majorUnit val="1"/>
        <c:minorUnit val="0.1"/>
      </c:valAx>
      <c:dateAx>
        <c:axId val="39234291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2348800"/>
        <c:crosses val="autoZero"/>
        <c:auto val="1"/>
        <c:lblOffset val="100"/>
        <c:baseTimeUnit val="days"/>
      </c:dateAx>
      <c:valAx>
        <c:axId val="39234880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34291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'zk79+719'!$C$4:$G$4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'zk79+719'!$A$6:$A$38</c:f>
              <c:numCache>
                <c:formatCode>m"月"d"日";@</c:formatCode>
                <c:ptCount val="33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'zk79+719'!$G$6:$G$34</c:f>
              <c:numCache>
                <c:formatCode>0.00_ </c:formatCode>
                <c:ptCount val="29"/>
                <c:pt idx="0">
                  <c:v>0</c:v>
                </c:pt>
                <c:pt idx="1">
                  <c:v>-9.9999999974897905E-2</c:v>
                </c:pt>
                <c:pt idx="2">
                  <c:v>-0.20000000006348301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0.199999999949796</c:v>
                </c:pt>
                <c:pt idx="7">
                  <c:v>-0.59999999996307496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0.20000000006348301</c:v>
                </c:pt>
                <c:pt idx="15">
                  <c:v>-0.29999999998153698</c:v>
                </c:pt>
                <c:pt idx="16">
                  <c:v>9.9999999974897905E-2</c:v>
                </c:pt>
                <c:pt idx="17">
                  <c:v>9.9999999974897905E-2</c:v>
                </c:pt>
                <c:pt idx="18">
                  <c:v>0.100000000031741</c:v>
                </c:pt>
                <c:pt idx="19">
                  <c:v>0.20000000006348301</c:v>
                </c:pt>
              </c:numCache>
            </c:numRef>
          </c:val>
        </c:ser>
        <c:ser>
          <c:idx val="1"/>
          <c:order val="1"/>
          <c:tx>
            <c:strRef>
              <c:f>'zk79+719'!$H$4:$L$4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'zk79+719'!$A$6:$A$38</c:f>
              <c:numCache>
                <c:formatCode>m"月"d"日";@</c:formatCode>
                <c:ptCount val="33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'zk79+719'!$L$6:$L$35</c:f>
              <c:numCache>
                <c:formatCode>0.00_ </c:formatCode>
                <c:ptCount val="30"/>
                <c:pt idx="0">
                  <c:v>0</c:v>
                </c:pt>
                <c:pt idx="1">
                  <c:v>-9.9999999974897905E-2</c:v>
                </c:pt>
                <c:pt idx="2">
                  <c:v>9.9999999974897905E-2</c:v>
                </c:pt>
                <c:pt idx="3">
                  <c:v>-0.30000000003838101</c:v>
                </c:pt>
                <c:pt idx="4">
                  <c:v>0.10000000008858501</c:v>
                </c:pt>
                <c:pt idx="5">
                  <c:v>-0.30000000003838101</c:v>
                </c:pt>
                <c:pt idx="6">
                  <c:v>-9.9999999974897905E-2</c:v>
                </c:pt>
                <c:pt idx="7">
                  <c:v>0.199999999949796</c:v>
                </c:pt>
                <c:pt idx="8">
                  <c:v>-0.40000000001327901</c:v>
                </c:pt>
                <c:pt idx="9">
                  <c:v>-9.9999999974897905E-2</c:v>
                </c:pt>
                <c:pt idx="10">
                  <c:v>-0.49999999998817701</c:v>
                </c:pt>
                <c:pt idx="11">
                  <c:v>0.30000000003838101</c:v>
                </c:pt>
                <c:pt idx="12">
                  <c:v>-0.10000000008858501</c:v>
                </c:pt>
                <c:pt idx="13">
                  <c:v>-0.69999999993797202</c:v>
                </c:pt>
                <c:pt idx="14">
                  <c:v>0.49999999998817701</c:v>
                </c:pt>
                <c:pt idx="15">
                  <c:v>-0.35000000002582998</c:v>
                </c:pt>
                <c:pt idx="16">
                  <c:v>-4.9999999987449001E-2</c:v>
                </c:pt>
                <c:pt idx="17">
                  <c:v>-4.9999999987449001E-2</c:v>
                </c:pt>
                <c:pt idx="18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'zk79+719'!$M$4:$Q$4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'zk79+719'!$A$6:$A$38</c:f>
              <c:numCache>
                <c:formatCode>m"月"d"日";@</c:formatCode>
                <c:ptCount val="33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'zk79+719'!$Q$6:$Q$31</c:f>
              <c:numCache>
                <c:formatCode>0.00_ </c:formatCode>
                <c:ptCount val="26"/>
                <c:pt idx="0">
                  <c:v>0</c:v>
                </c:pt>
                <c:pt idx="1">
                  <c:v>-0.40000000001327901</c:v>
                </c:pt>
                <c:pt idx="2">
                  <c:v>0.20000000006348301</c:v>
                </c:pt>
                <c:pt idx="3">
                  <c:v>-0.10000000008858501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-0.20000000006348301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4.9999999987449001E-2</c:v>
                </c:pt>
                <c:pt idx="17">
                  <c:v>5.0000000044292399E-2</c:v>
                </c:pt>
                <c:pt idx="18">
                  <c:v>4.9999999987449001E-2</c:v>
                </c:pt>
              </c:numCache>
            </c:numRef>
          </c:val>
        </c:ser>
        <c:dLbls/>
        <c:marker val="1"/>
        <c:axId val="392217728"/>
        <c:axId val="392220032"/>
      </c:lineChart>
      <c:dateAx>
        <c:axId val="3922177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220032"/>
        <c:crossesAt val="-50"/>
        <c:auto val="1"/>
        <c:lblOffset val="100"/>
        <c:baseTimeUnit val="days"/>
        <c:majorUnit val="3"/>
        <c:majorTimeUnit val="days"/>
      </c:dateAx>
      <c:valAx>
        <c:axId val="39222003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2177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'zk79+719'!$U$4:$W$4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'zk79+719'!$S$6:$S$41</c:f>
              <c:numCache>
                <c:formatCode>m"月"d"日";@</c:formatCode>
                <c:ptCount val="36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'zk79+719'!$W$6:$W$32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-0.300000000000189</c:v>
                </c:pt>
                <c:pt idx="2">
                  <c:v>0.20000000000042201</c:v>
                </c:pt>
                <c:pt idx="3">
                  <c:v>-9.99999999997669E-2</c:v>
                </c:pt>
                <c:pt idx="4">
                  <c:v>0.499999999999723</c:v>
                </c:pt>
                <c:pt idx="5">
                  <c:v>0.19999999999953399</c:v>
                </c:pt>
                <c:pt idx="6">
                  <c:v>0.100000000000655</c:v>
                </c:pt>
                <c:pt idx="7">
                  <c:v>0.29999999999930099</c:v>
                </c:pt>
                <c:pt idx="8">
                  <c:v>0.20000000000042201</c:v>
                </c:pt>
                <c:pt idx="9">
                  <c:v>-9.99999999997669E-2</c:v>
                </c:pt>
                <c:pt idx="10">
                  <c:v>0.499999999999723</c:v>
                </c:pt>
                <c:pt idx="11">
                  <c:v>0.20000000000042201</c:v>
                </c:pt>
                <c:pt idx="12">
                  <c:v>-0.20000000000042201</c:v>
                </c:pt>
                <c:pt idx="13">
                  <c:v>0.60000000000037801</c:v>
                </c:pt>
                <c:pt idx="14">
                  <c:v>0</c:v>
                </c:pt>
                <c:pt idx="15">
                  <c:v>0.20000000000486301</c:v>
                </c:pt>
                <c:pt idx="16">
                  <c:v>-5.00000000052125E-2</c:v>
                </c:pt>
                <c:pt idx="17">
                  <c:v>-5.0000000004768501E-2</c:v>
                </c:pt>
                <c:pt idx="18">
                  <c:v>-5.00000000052125E-2</c:v>
                </c:pt>
                <c:pt idx="19">
                  <c:v>0.39999999999906799</c:v>
                </c:pt>
              </c:numCache>
            </c:numRef>
          </c:val>
        </c:ser>
        <c:ser>
          <c:idx val="1"/>
          <c:order val="1"/>
          <c:tx>
            <c:strRef>
              <c:f>'zk79+719'!$Y$4:$AA$4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'zk79+719'!$S$6:$S$41</c:f>
              <c:numCache>
                <c:formatCode>m"月"d"日";@</c:formatCode>
                <c:ptCount val="36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-0.40000000000084401</c:v>
                </c:pt>
                <c:pt idx="2">
                  <c:v>-9.99999999997669E-2</c:v>
                </c:pt>
                <c:pt idx="3">
                  <c:v>-9.99999999997669E-2</c:v>
                </c:pt>
                <c:pt idx="4">
                  <c:v>0.19999999999953399</c:v>
                </c:pt>
                <c:pt idx="5">
                  <c:v>-0.39999999999906799</c:v>
                </c:pt>
                <c:pt idx="6">
                  <c:v>-9.99999999997669E-2</c:v>
                </c:pt>
                <c:pt idx="7">
                  <c:v>0.19999999999953399</c:v>
                </c:pt>
                <c:pt idx="8">
                  <c:v>-0.39999999999906799</c:v>
                </c:pt>
                <c:pt idx="9">
                  <c:v>-0.10000000000154299</c:v>
                </c:pt>
                <c:pt idx="10">
                  <c:v>0.40000000000084401</c:v>
                </c:pt>
                <c:pt idx="11">
                  <c:v>-0.60000000000037801</c:v>
                </c:pt>
                <c:pt idx="12">
                  <c:v>-9.99999999997669E-2</c:v>
                </c:pt>
                <c:pt idx="13">
                  <c:v>-0.19999999999953399</c:v>
                </c:pt>
                <c:pt idx="14">
                  <c:v>0</c:v>
                </c:pt>
                <c:pt idx="15">
                  <c:v>4.9999999999883499E-2</c:v>
                </c:pt>
                <c:pt idx="16">
                  <c:v>-9.99999999997669E-2</c:v>
                </c:pt>
                <c:pt idx="17">
                  <c:v>-0.100000000000655</c:v>
                </c:pt>
                <c:pt idx="18">
                  <c:v>-9.99999999997669E-2</c:v>
                </c:pt>
                <c:pt idx="19">
                  <c:v>5.0000000004990497E-2</c:v>
                </c:pt>
              </c:numCache>
            </c:numRef>
          </c:val>
        </c:ser>
        <c:ser>
          <c:idx val="2"/>
          <c:order val="2"/>
          <c:tx>
            <c:strRef>
              <c:f>'zk79+719'!$AC$4:$AE$4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'zk79+719'!$S$6:$S$41</c:f>
              <c:numCache>
                <c:formatCode>m"月"d"日";@</c:formatCode>
                <c:ptCount val="36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-0.29999999999930099</c:v>
                </c:pt>
                <c:pt idx="3">
                  <c:v>-9.99999999997669E-2</c:v>
                </c:pt>
                <c:pt idx="4">
                  <c:v>-0.20000000000130999</c:v>
                </c:pt>
                <c:pt idx="5">
                  <c:v>0</c:v>
                </c:pt>
                <c:pt idx="6">
                  <c:v>-0.39999999999906799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-0.19999999999953399</c:v>
                </c:pt>
                <c:pt idx="14">
                  <c:v>9.99999999997669E-2</c:v>
                </c:pt>
                <c:pt idx="15">
                  <c:v>-0.24999999999941699</c:v>
                </c:pt>
                <c:pt idx="16">
                  <c:v>9.99999999997669E-2</c:v>
                </c:pt>
                <c:pt idx="17">
                  <c:v>9.99999999997669E-2</c:v>
                </c:pt>
                <c:pt idx="18">
                  <c:v>9.99999999997669E-2</c:v>
                </c:pt>
              </c:numCache>
            </c:numRef>
          </c:val>
        </c:ser>
        <c:dLbls/>
        <c:marker val="1"/>
        <c:axId val="392460160"/>
        <c:axId val="392475008"/>
      </c:lineChart>
      <c:dateAx>
        <c:axId val="3924601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475008"/>
        <c:crossesAt val="-50"/>
        <c:auto val="1"/>
        <c:lblOffset val="100"/>
        <c:baseTimeUnit val="days"/>
        <c:majorUnit val="3"/>
        <c:majorTimeUnit val="days"/>
      </c:dateAx>
      <c:valAx>
        <c:axId val="3924750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46016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'zk79+719'!$C$4:$G$4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'zk79+719'!$A$6:$A$34</c:f>
              <c:numCache>
                <c:formatCode>m"月"d"日";@</c:formatCode>
                <c:ptCount val="29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'zk79+719'!$F$6:$F$29</c:f>
              <c:numCache>
                <c:formatCode>0.00_ </c:formatCode>
                <c:ptCount val="24"/>
                <c:pt idx="0">
                  <c:v>0</c:v>
                </c:pt>
                <c:pt idx="1">
                  <c:v>-9.9999999974897905E-2</c:v>
                </c:pt>
                <c:pt idx="2">
                  <c:v>-0.30000000003838101</c:v>
                </c:pt>
                <c:pt idx="3">
                  <c:v>-0.40000000001327901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-0.70000000005165897</c:v>
                </c:pt>
                <c:pt idx="7">
                  <c:v>-1.30000000001473</c:v>
                </c:pt>
                <c:pt idx="8">
                  <c:v>-1.39999999998963</c:v>
                </c:pt>
                <c:pt idx="9">
                  <c:v>-1.70000000002801</c:v>
                </c:pt>
                <c:pt idx="10">
                  <c:v>-1.8999999999778101</c:v>
                </c:pt>
                <c:pt idx="11">
                  <c:v>-1.8000000000029099</c:v>
                </c:pt>
                <c:pt idx="12">
                  <c:v>-2.2999999999910901</c:v>
                </c:pt>
                <c:pt idx="13">
                  <c:v>-2.5000000000545701</c:v>
                </c:pt>
                <c:pt idx="14">
                  <c:v>-2.2999999999910901</c:v>
                </c:pt>
                <c:pt idx="15">
                  <c:v>-2.8999999999541601</c:v>
                </c:pt>
                <c:pt idx="16">
                  <c:v>-2.70000000000437</c:v>
                </c:pt>
                <c:pt idx="17">
                  <c:v>-2.5000000000545701</c:v>
                </c:pt>
                <c:pt idx="18">
                  <c:v>-2.2999999999910901</c:v>
                </c:pt>
                <c:pt idx="19">
                  <c:v>-0.199999999949796</c:v>
                </c:pt>
              </c:numCache>
            </c:numRef>
          </c:val>
        </c:ser>
        <c:ser>
          <c:idx val="1"/>
          <c:order val="1"/>
          <c:tx>
            <c:strRef>
              <c:f>'zk79+719'!$H$4:$L$4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'zk79+719'!$A$6:$A$34</c:f>
              <c:numCache>
                <c:formatCode>m"月"d"日";@</c:formatCode>
                <c:ptCount val="29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'zk79+719'!$K$6:$K$30</c:f>
              <c:numCache>
                <c:formatCode>0.00_ </c:formatCode>
                <c:ptCount val="25"/>
                <c:pt idx="0">
                  <c:v>0</c:v>
                </c:pt>
                <c:pt idx="1">
                  <c:v>-9.9999999974897905E-2</c:v>
                </c:pt>
                <c:pt idx="2">
                  <c:v>0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-0.49999999998817701</c:v>
                </c:pt>
                <c:pt idx="6">
                  <c:v>-0.59999999996307496</c:v>
                </c:pt>
                <c:pt idx="7">
                  <c:v>-0.40000000001327901</c:v>
                </c:pt>
                <c:pt idx="8">
                  <c:v>-0.80000000002655702</c:v>
                </c:pt>
                <c:pt idx="9">
                  <c:v>-0.90000000000145497</c:v>
                </c:pt>
                <c:pt idx="10">
                  <c:v>-1.39999999998963</c:v>
                </c:pt>
                <c:pt idx="11">
                  <c:v>-1.09999999995125</c:v>
                </c:pt>
                <c:pt idx="12">
                  <c:v>-1.2000000000398401</c:v>
                </c:pt>
                <c:pt idx="13">
                  <c:v>-1.8999999999778101</c:v>
                </c:pt>
                <c:pt idx="14">
                  <c:v>-1.39999999998963</c:v>
                </c:pt>
                <c:pt idx="15">
                  <c:v>-2.1000000000412902</c:v>
                </c:pt>
                <c:pt idx="16">
                  <c:v>-2.2000000000161899</c:v>
                </c:pt>
                <c:pt idx="17">
                  <c:v>-2.2999999999910901</c:v>
                </c:pt>
                <c:pt idx="18">
                  <c:v>-2.39999999996598</c:v>
                </c:pt>
                <c:pt idx="19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'zk79+719'!$M$4:$Q$4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'zk79+719'!$A$6:$A$34</c:f>
              <c:numCache>
                <c:formatCode>m"月"d"日";@</c:formatCode>
                <c:ptCount val="29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'zk79+719'!$P$6:$P$28</c:f>
              <c:numCache>
                <c:formatCode>0.00_ </c:formatCode>
                <c:ptCount val="23"/>
                <c:pt idx="0">
                  <c:v>0</c:v>
                </c:pt>
                <c:pt idx="1">
                  <c:v>-0.40000000001327901</c:v>
                </c:pt>
                <c:pt idx="2">
                  <c:v>-0.199999999949796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-0.59999999996307496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-1.39999999998963</c:v>
                </c:pt>
                <c:pt idx="11">
                  <c:v>-1.8999999999778101</c:v>
                </c:pt>
                <c:pt idx="12">
                  <c:v>-2.0999999999275998</c:v>
                </c:pt>
                <c:pt idx="13">
                  <c:v>-2.2999999999910901</c:v>
                </c:pt>
                <c:pt idx="14">
                  <c:v>-2.2000000000161899</c:v>
                </c:pt>
                <c:pt idx="15">
                  <c:v>-2.70000000000437</c:v>
                </c:pt>
                <c:pt idx="16">
                  <c:v>-2.6000000000294698</c:v>
                </c:pt>
                <c:pt idx="17">
                  <c:v>-2.4999999999408802</c:v>
                </c:pt>
                <c:pt idx="18">
                  <c:v>-2.39999999996598</c:v>
                </c:pt>
              </c:numCache>
            </c:numRef>
          </c:val>
        </c:ser>
        <c:dLbls/>
        <c:marker val="1"/>
        <c:axId val="392419968"/>
        <c:axId val="392496256"/>
      </c:lineChart>
      <c:lineChart>
        <c:grouping val="standard"/>
        <c:ser>
          <c:idx val="3"/>
          <c:order val="3"/>
          <c:tx>
            <c:strRef>
              <c:f>'zk79+719'!$AG$3:$AG$5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'zk79+719'!$A$6:$A$34</c:f>
              <c:numCache>
                <c:formatCode>m"月"d"日";@</c:formatCode>
                <c:ptCount val="29"/>
                <c:pt idx="0">
                  <c:v>44683</c:v>
                </c:pt>
                <c:pt idx="1">
                  <c:v>44684</c:v>
                </c:pt>
                <c:pt idx="2">
                  <c:v>44685</c:v>
                </c:pt>
                <c:pt idx="3">
                  <c:v>44686</c:v>
                </c:pt>
                <c:pt idx="4">
                  <c:v>44687</c:v>
                </c:pt>
                <c:pt idx="5">
                  <c:v>44688</c:v>
                </c:pt>
                <c:pt idx="6">
                  <c:v>44689</c:v>
                </c:pt>
                <c:pt idx="7">
                  <c:v>44690</c:v>
                </c:pt>
                <c:pt idx="8">
                  <c:v>44691</c:v>
                </c:pt>
                <c:pt idx="9">
                  <c:v>44692</c:v>
                </c:pt>
                <c:pt idx="10">
                  <c:v>44693</c:v>
                </c:pt>
                <c:pt idx="11">
                  <c:v>44694</c:v>
                </c:pt>
                <c:pt idx="12">
                  <c:v>44695</c:v>
                </c:pt>
                <c:pt idx="13">
                  <c:v>44696</c:v>
                </c:pt>
                <c:pt idx="14">
                  <c:v>44697</c:v>
                </c:pt>
                <c:pt idx="15">
                  <c:v>44699</c:v>
                </c:pt>
                <c:pt idx="16">
                  <c:v>44701</c:v>
                </c:pt>
                <c:pt idx="17">
                  <c:v>44703</c:v>
                </c:pt>
                <c:pt idx="18">
                  <c:v>44705</c:v>
                </c:pt>
              </c:numCache>
            </c:numRef>
          </c:cat>
          <c:val>
            <c:numRef>
              <c:f>'zk79+719'!$AG$6:$AG$27</c:f>
              <c:numCache>
                <c:formatCode>0.0_ </c:formatCode>
                <c:ptCount val="22"/>
                <c:pt idx="0">
                  <c:v>6</c:v>
                </c:pt>
                <c:pt idx="1">
                  <c:v>11</c:v>
                </c:pt>
                <c:pt idx="2">
                  <c:v>16</c:v>
                </c:pt>
                <c:pt idx="3">
                  <c:v>21</c:v>
                </c:pt>
                <c:pt idx="4">
                  <c:v>26</c:v>
                </c:pt>
                <c:pt idx="5">
                  <c:v>31</c:v>
                </c:pt>
                <c:pt idx="6">
                  <c:v>36</c:v>
                </c:pt>
                <c:pt idx="7">
                  <c:v>41</c:v>
                </c:pt>
                <c:pt idx="8">
                  <c:v>46</c:v>
                </c:pt>
                <c:pt idx="9">
                  <c:v>51</c:v>
                </c:pt>
                <c:pt idx="10">
                  <c:v>56</c:v>
                </c:pt>
                <c:pt idx="11">
                  <c:v>61</c:v>
                </c:pt>
                <c:pt idx="12">
                  <c:v>66</c:v>
                </c:pt>
                <c:pt idx="13">
                  <c:v>71</c:v>
                </c:pt>
                <c:pt idx="14">
                  <c:v>76</c:v>
                </c:pt>
                <c:pt idx="15">
                  <c:v>81</c:v>
                </c:pt>
                <c:pt idx="16">
                  <c:v>93</c:v>
                </c:pt>
                <c:pt idx="17">
                  <c:v>105</c:v>
                </c:pt>
                <c:pt idx="18">
                  <c:v>117</c:v>
                </c:pt>
              </c:numCache>
            </c:numRef>
          </c:val>
        </c:ser>
        <c:dLbls/>
        <c:marker val="1"/>
        <c:axId val="392498176"/>
        <c:axId val="392508160"/>
      </c:lineChart>
      <c:dateAx>
        <c:axId val="3924199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496256"/>
        <c:crossesAt val="-50"/>
        <c:auto val="1"/>
        <c:lblOffset val="100"/>
        <c:baseTimeUnit val="days"/>
        <c:majorUnit val="3"/>
        <c:majorTimeUnit val="days"/>
      </c:dateAx>
      <c:valAx>
        <c:axId val="392496256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419968"/>
        <c:crosses val="autoZero"/>
        <c:crossBetween val="midCat"/>
        <c:majorUnit val="1"/>
        <c:minorUnit val="0.5"/>
      </c:valAx>
      <c:dateAx>
        <c:axId val="3924981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2508160"/>
        <c:crosses val="autoZero"/>
        <c:auto val="1"/>
        <c:lblOffset val="100"/>
        <c:baseTimeUnit val="days"/>
      </c:dateAx>
      <c:valAx>
        <c:axId val="392508160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49817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'zk79+762'!$U$4:$W$4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'zk79+762'!$S$6:$S$27</c:f>
              <c:numCache>
                <c:formatCode>m"月"d"日";@</c:formatCode>
                <c:ptCount val="22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-0.799999999999912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-1.2999999999987499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-1.7999999999993599</c:v>
                </c:pt>
                <c:pt idx="13">
                  <c:v>-2.59999999999927</c:v>
                </c:pt>
                <c:pt idx="14">
                  <c:v>-2.7999999999987999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-3.0000000000001101</c:v>
                </c:pt>
                <c:pt idx="18">
                  <c:v>-1.10000000000099</c:v>
                </c:pt>
              </c:numCache>
            </c:numRef>
          </c:val>
        </c:ser>
        <c:ser>
          <c:idx val="1"/>
          <c:order val="1"/>
          <c:tx>
            <c:strRef>
              <c:f>'zk79+762'!$Y$4:$AA$4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'zk79+762'!$S$6:$S$27</c:f>
              <c:numCache>
                <c:formatCode>m"月"d"日";@</c:formatCode>
                <c:ptCount val="22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'zk79+762'!$Z$6:$Z$33</c:f>
              <c:numCache>
                <c:formatCode>0.00_ </c:formatCode>
                <c:ptCount val="28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-0.60000000000037801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-1.8999999999991199</c:v>
                </c:pt>
                <c:pt idx="11">
                  <c:v>-2.3999999999997401</c:v>
                </c:pt>
                <c:pt idx="12">
                  <c:v>-2.2999999999999701</c:v>
                </c:pt>
                <c:pt idx="13">
                  <c:v>-2.4999999999995</c:v>
                </c:pt>
                <c:pt idx="14">
                  <c:v>-2.2999999999999701</c:v>
                </c:pt>
                <c:pt idx="15">
                  <c:v>-2.9000000000003499</c:v>
                </c:pt>
                <c:pt idx="16">
                  <c:v>-3.0999999999998802</c:v>
                </c:pt>
                <c:pt idx="17">
                  <c:v>-3.0000000000001101</c:v>
                </c:pt>
                <c:pt idx="18">
                  <c:v>-2.3999999999997401</c:v>
                </c:pt>
              </c:numCache>
            </c:numRef>
          </c:val>
        </c:ser>
        <c:ser>
          <c:idx val="2"/>
          <c:order val="2"/>
          <c:tx>
            <c:strRef>
              <c:f>'zk79+762'!$AC$4:$AE$4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'zk79+762'!$S$6:$S$27</c:f>
              <c:numCache>
                <c:formatCode>m"月"d"日";@</c:formatCode>
                <c:ptCount val="22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-0.30000000000107702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-1.20000000000076</c:v>
                </c:pt>
                <c:pt idx="7">
                  <c:v>-1.10000000000099</c:v>
                </c:pt>
                <c:pt idx="8">
                  <c:v>-1.20000000000076</c:v>
                </c:pt>
                <c:pt idx="9">
                  <c:v>-1.3000000000005201</c:v>
                </c:pt>
                <c:pt idx="10">
                  <c:v>-1.50000000000006</c:v>
                </c:pt>
                <c:pt idx="11">
                  <c:v>-1.6999999999995901</c:v>
                </c:pt>
                <c:pt idx="12">
                  <c:v>-1.9000000000009001</c:v>
                </c:pt>
                <c:pt idx="13">
                  <c:v>-1.6999999999995901</c:v>
                </c:pt>
                <c:pt idx="14">
                  <c:v>-2.2999999999999701</c:v>
                </c:pt>
                <c:pt idx="15">
                  <c:v>-2.4999999999995</c:v>
                </c:pt>
                <c:pt idx="16">
                  <c:v>-2.7000000000008102</c:v>
                </c:pt>
                <c:pt idx="17">
                  <c:v>-2.3999999999997401</c:v>
                </c:pt>
              </c:numCache>
            </c:numRef>
          </c:val>
        </c:ser>
        <c:dLbls/>
        <c:marker val="1"/>
        <c:axId val="392685824"/>
        <c:axId val="392692480"/>
      </c:lineChart>
      <c:lineChart>
        <c:grouping val="standard"/>
        <c:ser>
          <c:idx val="3"/>
          <c:order val="3"/>
          <c:tx>
            <c:strRef>
              <c:f>'zk79+762'!$AG$3:$AG$5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'zk79+762'!$S$6:$S$27</c:f>
              <c:numCache>
                <c:formatCode>m"月"d"日";@</c:formatCode>
                <c:ptCount val="22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'zk79+762'!$AG$6:$AG$23</c:f>
              <c:numCache>
                <c:formatCode>0.0_ </c:formatCode>
                <c:ptCount val="18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39</c:v>
                </c:pt>
                <c:pt idx="8">
                  <c:v>42</c:v>
                </c:pt>
                <c:pt idx="9">
                  <c:v>45</c:v>
                </c:pt>
                <c:pt idx="10">
                  <c:v>48</c:v>
                </c:pt>
                <c:pt idx="11">
                  <c:v>51</c:v>
                </c:pt>
                <c:pt idx="12">
                  <c:v>54</c:v>
                </c:pt>
                <c:pt idx="13">
                  <c:v>57</c:v>
                </c:pt>
                <c:pt idx="14">
                  <c:v>60</c:v>
                </c:pt>
                <c:pt idx="15">
                  <c:v>63</c:v>
                </c:pt>
                <c:pt idx="16">
                  <c:v>66</c:v>
                </c:pt>
                <c:pt idx="17">
                  <c:v>69</c:v>
                </c:pt>
              </c:numCache>
            </c:numRef>
          </c:val>
        </c:ser>
        <c:dLbls/>
        <c:marker val="1"/>
        <c:axId val="392694400"/>
        <c:axId val="392700288"/>
      </c:lineChart>
      <c:dateAx>
        <c:axId val="3926858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692480"/>
        <c:crossesAt val="-50"/>
        <c:auto val="1"/>
        <c:lblOffset val="100"/>
        <c:baseTimeUnit val="days"/>
      </c:dateAx>
      <c:valAx>
        <c:axId val="39269248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685824"/>
        <c:crosses val="autoZero"/>
        <c:crossBetween val="midCat"/>
        <c:majorUnit val="1"/>
        <c:minorUnit val="0.1"/>
      </c:valAx>
      <c:dateAx>
        <c:axId val="39269440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2700288"/>
        <c:crosses val="autoZero"/>
        <c:auto val="1"/>
        <c:lblOffset val="100"/>
        <c:baseTimeUnit val="days"/>
      </c:dateAx>
      <c:valAx>
        <c:axId val="39270028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69440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'zk79+762'!$C$4:$G$4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'zk79+762'!$A$6:$A$38</c:f>
              <c:numCache>
                <c:formatCode>m"月"d"日";@</c:formatCode>
                <c:ptCount val="33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'zk79+762'!$G$6:$G$34</c:f>
              <c:numCache>
                <c:formatCode>0.00_ </c:formatCode>
                <c:ptCount val="29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0.20000000006348301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4.9999999987449001E-2</c:v>
                </c:pt>
                <c:pt idx="18">
                  <c:v>-0.70000000005165897</c:v>
                </c:pt>
              </c:numCache>
            </c:numRef>
          </c:val>
        </c:ser>
        <c:ser>
          <c:idx val="1"/>
          <c:order val="1"/>
          <c:tx>
            <c:strRef>
              <c:f>'zk79+762'!$H$4:$L$4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'zk79+762'!$A$6:$A$38</c:f>
              <c:numCache>
                <c:formatCode>m"月"d"日";@</c:formatCode>
                <c:ptCount val="33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'zk79+762'!$L$6:$L$35</c:f>
              <c:numCache>
                <c:formatCode>0.00_ </c:formatCode>
                <c:ptCount val="30"/>
                <c:pt idx="0">
                  <c:v>0</c:v>
                </c:pt>
                <c:pt idx="1">
                  <c:v>-0.30000000003838101</c:v>
                </c:pt>
                <c:pt idx="2">
                  <c:v>0.10000000008858501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0.29999999992469401</c:v>
                </c:pt>
                <c:pt idx="8">
                  <c:v>-0.69999999993797202</c:v>
                </c:pt>
                <c:pt idx="9">
                  <c:v>-0.20000000006348301</c:v>
                </c:pt>
                <c:pt idx="10">
                  <c:v>-9.9999999974897905E-2</c:v>
                </c:pt>
                <c:pt idx="11">
                  <c:v>-0.29999999992469401</c:v>
                </c:pt>
                <c:pt idx="12">
                  <c:v>9.9999999974897905E-2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4.9999999987449001E-2</c:v>
                </c:pt>
                <c:pt idx="16">
                  <c:v>-4.9999999987449001E-2</c:v>
                </c:pt>
                <c:pt idx="17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'zk79+762'!$M$4:$Q$4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'zk79+762'!$A$6:$A$38</c:f>
              <c:numCache>
                <c:formatCode>m"月"d"日";@</c:formatCode>
                <c:ptCount val="33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0.199999999949796</c:v>
                </c:pt>
                <c:pt idx="9">
                  <c:v>-0.59999999996307496</c:v>
                </c:pt>
                <c:pt idx="10">
                  <c:v>-9.9999999974897905E-2</c:v>
                </c:pt>
                <c:pt idx="11">
                  <c:v>-0.10000000008858501</c:v>
                </c:pt>
                <c:pt idx="12">
                  <c:v>-0.29999999992469401</c:v>
                </c:pt>
                <c:pt idx="13">
                  <c:v>9.9999999974897905E-2</c:v>
                </c:pt>
                <c:pt idx="14">
                  <c:v>-9.9999999974897905E-2</c:v>
                </c:pt>
                <c:pt idx="15">
                  <c:v>-0.100000000031741</c:v>
                </c:pt>
                <c:pt idx="16">
                  <c:v>0</c:v>
                </c:pt>
                <c:pt idx="17">
                  <c:v>-4.9999999987449001E-2</c:v>
                </c:pt>
              </c:numCache>
            </c:numRef>
          </c:val>
        </c:ser>
        <c:dLbls/>
        <c:marker val="1"/>
        <c:axId val="392823552"/>
        <c:axId val="392825856"/>
      </c:lineChart>
      <c:dateAx>
        <c:axId val="3928235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825856"/>
        <c:crossesAt val="-50"/>
        <c:auto val="1"/>
        <c:lblOffset val="100"/>
        <c:baseTimeUnit val="days"/>
      </c:dateAx>
      <c:valAx>
        <c:axId val="39282585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82355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'zk79+762'!$U$4:$W$4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'zk79+762'!$S$6:$S$41</c:f>
              <c:numCache>
                <c:formatCode>m"月"d"日";@</c:formatCode>
                <c:ptCount val="36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0.40000000000084401</c:v>
                </c:pt>
                <c:pt idx="4">
                  <c:v>0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0.30000000000107702</c:v>
                </c:pt>
                <c:pt idx="8">
                  <c:v>0.19999999999953399</c:v>
                </c:pt>
                <c:pt idx="9">
                  <c:v>-0.30000000000107702</c:v>
                </c:pt>
                <c:pt idx="10">
                  <c:v>0.70000000000014495</c:v>
                </c:pt>
                <c:pt idx="11">
                  <c:v>0.20000000000130999</c:v>
                </c:pt>
                <c:pt idx="12">
                  <c:v>-0.40000000000084401</c:v>
                </c:pt>
                <c:pt idx="13">
                  <c:v>0.799999999999912</c:v>
                </c:pt>
                <c:pt idx="14">
                  <c:v>0.19999999999953399</c:v>
                </c:pt>
                <c:pt idx="15">
                  <c:v>0.100000000000655</c:v>
                </c:pt>
                <c:pt idx="16">
                  <c:v>9.99999999997669E-2</c:v>
                </c:pt>
                <c:pt idx="17">
                  <c:v>-9.99999999997669E-2</c:v>
                </c:pt>
                <c:pt idx="18">
                  <c:v>-0.89999999999967895</c:v>
                </c:pt>
              </c:numCache>
            </c:numRef>
          </c:val>
        </c:ser>
        <c:ser>
          <c:idx val="1"/>
          <c:order val="1"/>
          <c:tx>
            <c:strRef>
              <c:f>'zk79+762'!$Y$4:$AA$4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'zk79+762'!$S$6:$S$41</c:f>
              <c:numCache>
                <c:formatCode>m"月"d"日";@</c:formatCode>
                <c:ptCount val="36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'zk79+762'!$AA$6:$AA$31</c:f>
              <c:numCache>
                <c:formatCode>0.00_ </c:formatCode>
                <c:ptCount val="26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-0.10000000000154299</c:v>
                </c:pt>
                <c:pt idx="5">
                  <c:v>-0.29999999999930099</c:v>
                </c:pt>
                <c:pt idx="6">
                  <c:v>-0.19999999999953399</c:v>
                </c:pt>
                <c:pt idx="7">
                  <c:v>-0.30000000000107702</c:v>
                </c:pt>
                <c:pt idx="8">
                  <c:v>-9.99999999997669E-2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-0.50000000000061096</c:v>
                </c:pt>
                <c:pt idx="12">
                  <c:v>9.99999999997669E-2</c:v>
                </c:pt>
                <c:pt idx="13">
                  <c:v>-0.19999999999953399</c:v>
                </c:pt>
                <c:pt idx="14">
                  <c:v>0.19999999999953399</c:v>
                </c:pt>
                <c:pt idx="15">
                  <c:v>-0.300000000000189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-0.10000000000012201</c:v>
                </c:pt>
              </c:numCache>
            </c:numRef>
          </c:val>
        </c:ser>
        <c:ser>
          <c:idx val="2"/>
          <c:order val="2"/>
          <c:tx>
            <c:strRef>
              <c:f>'zk79+762'!$AC$4:$AE$4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'zk79+762'!$S$6:$S$41</c:f>
              <c:numCache>
                <c:formatCode>m"月"d"日";@</c:formatCode>
                <c:ptCount val="36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-0.10000000000154299</c:v>
                </c:pt>
                <c:pt idx="3">
                  <c:v>-0.39999999999906799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-0.30000000000107702</c:v>
                </c:pt>
                <c:pt idx="7">
                  <c:v>9.99999999997669E-2</c:v>
                </c:pt>
                <c:pt idx="8">
                  <c:v>-9.99999999997669E-2</c:v>
                </c:pt>
                <c:pt idx="9">
                  <c:v>-9.99999999997669E-2</c:v>
                </c:pt>
                <c:pt idx="10">
                  <c:v>-0.19999999999953399</c:v>
                </c:pt>
                <c:pt idx="11">
                  <c:v>-0.19999999999953399</c:v>
                </c:pt>
                <c:pt idx="12">
                  <c:v>-0.20000000000130999</c:v>
                </c:pt>
                <c:pt idx="13">
                  <c:v>0.20000000000130999</c:v>
                </c:pt>
                <c:pt idx="14">
                  <c:v>-0.60000000000037801</c:v>
                </c:pt>
                <c:pt idx="15">
                  <c:v>-9.99999999997669E-2</c:v>
                </c:pt>
                <c:pt idx="16">
                  <c:v>-0.100000000000655</c:v>
                </c:pt>
                <c:pt idx="17">
                  <c:v>0.15000000000053901</c:v>
                </c:pt>
              </c:numCache>
            </c:numRef>
          </c:val>
        </c:ser>
        <c:dLbls/>
        <c:marker val="1"/>
        <c:axId val="392906240"/>
        <c:axId val="392916992"/>
      </c:lineChart>
      <c:dateAx>
        <c:axId val="3929062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916992"/>
        <c:crossesAt val="-50"/>
        <c:auto val="1"/>
        <c:lblOffset val="100"/>
        <c:baseTimeUnit val="days"/>
      </c:dateAx>
      <c:valAx>
        <c:axId val="39291699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290624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'zk79+762'!$C$4:$G$4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'zk79+762'!$A$6:$A$34</c:f>
              <c:numCache>
                <c:formatCode>m"月"d"日";@</c:formatCode>
                <c:ptCount val="29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'zk79+762'!$F$6:$F$29</c:f>
              <c:numCache>
                <c:formatCode>0.00_ </c:formatCode>
                <c:ptCount val="24"/>
                <c:pt idx="0">
                  <c:v>0</c:v>
                </c:pt>
                <c:pt idx="1">
                  <c:v>9.9999999974897905E-2</c:v>
                </c:pt>
                <c:pt idx="2">
                  <c:v>-0.10000000008858501</c:v>
                </c:pt>
                <c:pt idx="3">
                  <c:v>-0.30000000003838101</c:v>
                </c:pt>
                <c:pt idx="4">
                  <c:v>-0.20000000006348301</c:v>
                </c:pt>
                <c:pt idx="5">
                  <c:v>-0.70000000005165897</c:v>
                </c:pt>
                <c:pt idx="6">
                  <c:v>-0.80000000002655702</c:v>
                </c:pt>
                <c:pt idx="7">
                  <c:v>-1.1000000000649399</c:v>
                </c:pt>
                <c:pt idx="8">
                  <c:v>-1.2000000000398401</c:v>
                </c:pt>
                <c:pt idx="9">
                  <c:v>-1.5000000000782201</c:v>
                </c:pt>
                <c:pt idx="10">
                  <c:v>-1.30000000001473</c:v>
                </c:pt>
                <c:pt idx="11">
                  <c:v>-1.5000000000782201</c:v>
                </c:pt>
                <c:pt idx="12">
                  <c:v>-1.70000000002801</c:v>
                </c:pt>
                <c:pt idx="13">
                  <c:v>-1.8000000000029099</c:v>
                </c:pt>
                <c:pt idx="14">
                  <c:v>-2.1000000000412902</c:v>
                </c:pt>
                <c:pt idx="15">
                  <c:v>-2.2999999999910901</c:v>
                </c:pt>
                <c:pt idx="16">
                  <c:v>-2.2000000000161899</c:v>
                </c:pt>
                <c:pt idx="17">
                  <c:v>-2.1000000000412902</c:v>
                </c:pt>
                <c:pt idx="18">
                  <c:v>-0.49999999998817701</c:v>
                </c:pt>
              </c:numCache>
            </c:numRef>
          </c:val>
        </c:ser>
        <c:ser>
          <c:idx val="1"/>
          <c:order val="1"/>
          <c:tx>
            <c:strRef>
              <c:f>'zk79+762'!$H$4:$L$4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'zk79+762'!$A$6:$A$34</c:f>
              <c:numCache>
                <c:formatCode>m"月"d"日";@</c:formatCode>
                <c:ptCount val="29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'zk79+762'!$K$6:$K$30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-0.30000000003838101</c:v>
                </c:pt>
                <c:pt idx="5">
                  <c:v>-0.80000000002655702</c:v>
                </c:pt>
                <c:pt idx="6">
                  <c:v>-0.99999999997635303</c:v>
                </c:pt>
                <c:pt idx="7">
                  <c:v>-0.70000000005165897</c:v>
                </c:pt>
                <c:pt idx="8">
                  <c:v>-1.39999999998963</c:v>
                </c:pt>
                <c:pt idx="9">
                  <c:v>-1.60000000005311</c:v>
                </c:pt>
                <c:pt idx="10">
                  <c:v>-1.70000000002801</c:v>
                </c:pt>
                <c:pt idx="11">
                  <c:v>-1.9999999999527101</c:v>
                </c:pt>
                <c:pt idx="12">
                  <c:v>-1.8999999999778101</c:v>
                </c:pt>
                <c:pt idx="13">
                  <c:v>-1.9999999999527101</c:v>
                </c:pt>
                <c:pt idx="14">
                  <c:v>-2.2999999999910901</c:v>
                </c:pt>
                <c:pt idx="15">
                  <c:v>-2.2000000000161899</c:v>
                </c:pt>
                <c:pt idx="16">
                  <c:v>-2.2999999999910901</c:v>
                </c:pt>
                <c:pt idx="17">
                  <c:v>-2.2000000000161899</c:v>
                </c:pt>
                <c:pt idx="18">
                  <c:v>-4.9999999998817699E-2</c:v>
                </c:pt>
              </c:numCache>
            </c:numRef>
          </c:val>
        </c:ser>
        <c:ser>
          <c:idx val="2"/>
          <c:order val="2"/>
          <c:tx>
            <c:strRef>
              <c:f>'zk79+762'!$M$4:$Q$4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'zk79+762'!$A$6:$A$34</c:f>
              <c:numCache>
                <c:formatCode>m"月"d"日";@</c:formatCode>
                <c:ptCount val="29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-0.49999999998817701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-0.99999999997635303</c:v>
                </c:pt>
                <c:pt idx="9">
                  <c:v>-1.5999999999394301</c:v>
                </c:pt>
                <c:pt idx="10">
                  <c:v>-1.69999999991433</c:v>
                </c:pt>
                <c:pt idx="11">
                  <c:v>-1.8000000000029099</c:v>
                </c:pt>
                <c:pt idx="12">
                  <c:v>-2.0999999999275998</c:v>
                </c:pt>
                <c:pt idx="13">
                  <c:v>-1.9999999999527101</c:v>
                </c:pt>
                <c:pt idx="14">
                  <c:v>-2.0999999999275998</c:v>
                </c:pt>
                <c:pt idx="15">
                  <c:v>-2.2999999999910901</c:v>
                </c:pt>
                <c:pt idx="16">
                  <c:v>-2.2999999999910901</c:v>
                </c:pt>
                <c:pt idx="17">
                  <c:v>-2.39999999996598</c:v>
                </c:pt>
              </c:numCache>
            </c:numRef>
          </c:val>
        </c:ser>
        <c:dLbls/>
        <c:marker val="1"/>
        <c:axId val="363342080"/>
        <c:axId val="363352448"/>
      </c:lineChart>
      <c:lineChart>
        <c:grouping val="standard"/>
        <c:ser>
          <c:idx val="3"/>
          <c:order val="3"/>
          <c:tx>
            <c:strRef>
              <c:f>'zk79+762'!$AG$3:$AG$5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'zk79+762'!$A$6:$A$34</c:f>
              <c:numCache>
                <c:formatCode>m"月"d"日";@</c:formatCode>
                <c:ptCount val="29"/>
                <c:pt idx="0">
                  <c:v>44691</c:v>
                </c:pt>
                <c:pt idx="1">
                  <c:v>44692</c:v>
                </c:pt>
                <c:pt idx="2">
                  <c:v>44693</c:v>
                </c:pt>
                <c:pt idx="3">
                  <c:v>44694</c:v>
                </c:pt>
                <c:pt idx="4">
                  <c:v>44695</c:v>
                </c:pt>
                <c:pt idx="5">
                  <c:v>44696</c:v>
                </c:pt>
                <c:pt idx="6">
                  <c:v>44697</c:v>
                </c:pt>
                <c:pt idx="7">
                  <c:v>44698</c:v>
                </c:pt>
                <c:pt idx="8">
                  <c:v>44699</c:v>
                </c:pt>
                <c:pt idx="9">
                  <c:v>44700</c:v>
                </c:pt>
                <c:pt idx="10">
                  <c:v>44701</c:v>
                </c:pt>
                <c:pt idx="11">
                  <c:v>44702</c:v>
                </c:pt>
                <c:pt idx="12">
                  <c:v>44703</c:v>
                </c:pt>
                <c:pt idx="13">
                  <c:v>44704</c:v>
                </c:pt>
                <c:pt idx="14">
                  <c:v>44705</c:v>
                </c:pt>
                <c:pt idx="15">
                  <c:v>44707</c:v>
                </c:pt>
                <c:pt idx="16">
                  <c:v>44709</c:v>
                </c:pt>
                <c:pt idx="17">
                  <c:v>44711</c:v>
                </c:pt>
              </c:numCache>
            </c:numRef>
          </c:cat>
          <c:val>
            <c:numRef>
              <c:f>'zk79+762'!$AG$6:$AG$31</c:f>
              <c:numCache>
                <c:formatCode>0.0_ </c:formatCode>
                <c:ptCount val="26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39</c:v>
                </c:pt>
                <c:pt idx="8">
                  <c:v>42</c:v>
                </c:pt>
                <c:pt idx="9">
                  <c:v>45</c:v>
                </c:pt>
                <c:pt idx="10">
                  <c:v>48</c:v>
                </c:pt>
                <c:pt idx="11">
                  <c:v>51</c:v>
                </c:pt>
                <c:pt idx="12">
                  <c:v>54</c:v>
                </c:pt>
                <c:pt idx="13">
                  <c:v>57</c:v>
                </c:pt>
                <c:pt idx="14">
                  <c:v>60</c:v>
                </c:pt>
                <c:pt idx="15">
                  <c:v>63</c:v>
                </c:pt>
                <c:pt idx="16">
                  <c:v>66</c:v>
                </c:pt>
                <c:pt idx="17">
                  <c:v>69</c:v>
                </c:pt>
              </c:numCache>
            </c:numRef>
          </c:val>
        </c:ser>
        <c:dLbls/>
        <c:marker val="1"/>
        <c:axId val="363354368"/>
        <c:axId val="363368448"/>
      </c:lineChart>
      <c:dateAx>
        <c:axId val="3633420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352448"/>
        <c:crossesAt val="-50"/>
        <c:auto val="1"/>
        <c:lblOffset val="100"/>
        <c:baseTimeUnit val="days"/>
      </c:dateAx>
      <c:valAx>
        <c:axId val="363352448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342080"/>
        <c:crosses val="autoZero"/>
        <c:crossBetween val="midCat"/>
        <c:majorUnit val="1"/>
        <c:minorUnit val="0.5"/>
      </c:valAx>
      <c:dateAx>
        <c:axId val="3633543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63368448"/>
        <c:crosses val="autoZero"/>
        <c:auto val="1"/>
        <c:lblOffset val="100"/>
        <c:baseTimeUnit val="days"/>
      </c:dateAx>
      <c:valAx>
        <c:axId val="36336844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35436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9+785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'zk79+785'!$U$4:$W$4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'zk79+785'!$S$6:$S$27</c:f>
              <c:numCache>
                <c:formatCode>m"月"d"日";@</c:formatCode>
                <c:ptCount val="22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'zk79+785'!$V$6:$V$32</c:f>
              <c:numCache>
                <c:formatCode>0.00_ </c:formatCode>
                <c:ptCount val="27"/>
                <c:pt idx="0">
                  <c:v>0</c:v>
                </c:pt>
                <c:pt idx="1">
                  <c:v>-0.60000000000037801</c:v>
                </c:pt>
                <c:pt idx="2">
                  <c:v>-0.40000000000084401</c:v>
                </c:pt>
                <c:pt idx="3">
                  <c:v>-0.70000000000014495</c:v>
                </c:pt>
                <c:pt idx="4">
                  <c:v>-0.89999999999967895</c:v>
                </c:pt>
                <c:pt idx="5">
                  <c:v>-0.89999999999967895</c:v>
                </c:pt>
                <c:pt idx="6">
                  <c:v>-1.10000000000099</c:v>
                </c:pt>
                <c:pt idx="7">
                  <c:v>-0.89999999999967895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-1.4000000000002899</c:v>
                </c:pt>
                <c:pt idx="11">
                  <c:v>-2.1000000000110899</c:v>
                </c:pt>
                <c:pt idx="12">
                  <c:v>-2.30000000001063</c:v>
                </c:pt>
                <c:pt idx="13">
                  <c:v>-2.2999999999999701</c:v>
                </c:pt>
                <c:pt idx="14">
                  <c:v>-2.7000000000096902</c:v>
                </c:pt>
                <c:pt idx="15">
                  <c:v>-2.900000000011</c:v>
                </c:pt>
                <c:pt idx="16">
                  <c:v>-2.7000000000008102</c:v>
                </c:pt>
                <c:pt idx="17">
                  <c:v>-3.3000000000207299</c:v>
                </c:pt>
                <c:pt idx="18">
                  <c:v>-2.9000000000003499</c:v>
                </c:pt>
                <c:pt idx="19">
                  <c:v>-2.0000000000006701</c:v>
                </c:pt>
              </c:numCache>
            </c:numRef>
          </c:val>
        </c:ser>
        <c:ser>
          <c:idx val="1"/>
          <c:order val="1"/>
          <c:tx>
            <c:strRef>
              <c:f>'zk79+785'!$Y$4:$AA$4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'zk79+785'!$S$6:$S$27</c:f>
              <c:numCache>
                <c:formatCode>m"月"d"日";@</c:formatCode>
                <c:ptCount val="22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'zk79+785'!$Z$6:$Z$33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-0.10000000000154299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-1.10000000000099</c:v>
                </c:pt>
                <c:pt idx="6">
                  <c:v>-1.3000000000005201</c:v>
                </c:pt>
                <c:pt idx="7">
                  <c:v>-1.10000000000099</c:v>
                </c:pt>
                <c:pt idx="8">
                  <c:v>-1.70000000000137</c:v>
                </c:pt>
                <c:pt idx="9">
                  <c:v>-1.6000000000015999</c:v>
                </c:pt>
                <c:pt idx="10">
                  <c:v>-2.10000000000043</c:v>
                </c:pt>
                <c:pt idx="11">
                  <c:v>-2.2999999999999701</c:v>
                </c:pt>
                <c:pt idx="12">
                  <c:v>-2.10000000000043</c:v>
                </c:pt>
                <c:pt idx="13">
                  <c:v>-2.7000000000008102</c:v>
                </c:pt>
                <c:pt idx="14">
                  <c:v>-2.9000000000003499</c:v>
                </c:pt>
                <c:pt idx="15">
                  <c:v>-2.6000000000010499</c:v>
                </c:pt>
                <c:pt idx="16">
                  <c:v>-3.30000000000119</c:v>
                </c:pt>
                <c:pt idx="17">
                  <c:v>-3.5000000000007199</c:v>
                </c:pt>
                <c:pt idx="18">
                  <c:v>-3.30000000000119</c:v>
                </c:pt>
                <c:pt idx="19">
                  <c:v>-3.0000000000001101</c:v>
                </c:pt>
              </c:numCache>
            </c:numRef>
          </c:val>
        </c:ser>
        <c:ser>
          <c:idx val="2"/>
          <c:order val="2"/>
          <c:tx>
            <c:strRef>
              <c:f>'zk79+785'!$AC$4:$AE$4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'zk79+785'!$S$6:$S$27</c:f>
              <c:numCache>
                <c:formatCode>m"月"d"日";@</c:formatCode>
                <c:ptCount val="22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'zk79+785'!$AD$6:$AD$37</c:f>
              <c:numCache>
                <c:formatCode>0.00_ </c:formatCode>
                <c:ptCount val="32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-0.60000000000037801</c:v>
                </c:pt>
                <c:pt idx="4">
                  <c:v>-0.89999999999967895</c:v>
                </c:pt>
                <c:pt idx="5">
                  <c:v>-1.0999999999992101</c:v>
                </c:pt>
                <c:pt idx="6">
                  <c:v>-0.999999999999446</c:v>
                </c:pt>
                <c:pt idx="7">
                  <c:v>-1.3000000000005201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-1.8999999999991199</c:v>
                </c:pt>
                <c:pt idx="12">
                  <c:v>-1.7999999999993599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-2.10000000000043</c:v>
                </c:pt>
                <c:pt idx="16">
                  <c:v>-2.9000000000003499</c:v>
                </c:pt>
                <c:pt idx="17">
                  <c:v>-3.0999999999998802</c:v>
                </c:pt>
                <c:pt idx="18">
                  <c:v>-3.0000000000001101</c:v>
                </c:pt>
              </c:numCache>
            </c:numRef>
          </c:val>
        </c:ser>
        <c:dLbls/>
        <c:marker val="1"/>
        <c:axId val="176473984"/>
        <c:axId val="176484736"/>
      </c:lineChart>
      <c:lineChart>
        <c:grouping val="standard"/>
        <c:ser>
          <c:idx val="3"/>
          <c:order val="3"/>
          <c:tx>
            <c:strRef>
              <c:f>'zk79+785'!$AG$3:$AG$5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'zk79+785'!$S$6:$S$27</c:f>
              <c:numCache>
                <c:formatCode>m"月"d"日";@</c:formatCode>
                <c:ptCount val="22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'zk79+785'!$AG$6:$AG$31</c:f>
              <c:numCache>
                <c:formatCode>0.0_ </c:formatCode>
                <c:ptCount val="26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  <c:pt idx="12">
                  <c:v>43</c:v>
                </c:pt>
                <c:pt idx="13">
                  <c:v>46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61</c:v>
                </c:pt>
              </c:numCache>
            </c:numRef>
          </c:val>
        </c:ser>
        <c:dLbls/>
        <c:marker val="1"/>
        <c:axId val="176486656"/>
        <c:axId val="363663360"/>
      </c:lineChart>
      <c:dateAx>
        <c:axId val="1764739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6484736"/>
        <c:crossesAt val="-50"/>
        <c:auto val="1"/>
        <c:lblOffset val="100"/>
        <c:baseTimeUnit val="days"/>
      </c:dateAx>
      <c:valAx>
        <c:axId val="17648473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6473984"/>
        <c:crosses val="autoZero"/>
        <c:crossBetween val="midCat"/>
        <c:majorUnit val="1"/>
        <c:minorUnit val="0.1"/>
      </c:valAx>
      <c:dateAx>
        <c:axId val="17648665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63663360"/>
        <c:crosses val="autoZero"/>
        <c:auto val="1"/>
        <c:lblOffset val="100"/>
        <c:baseTimeUnit val="days"/>
      </c:dateAx>
      <c:valAx>
        <c:axId val="36366336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7648665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785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'zk79+785'!$C$4:$G$4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'zk79+785'!$A$6:$A$38</c:f>
              <c:numCache>
                <c:formatCode>m"月"d"日";@</c:formatCode>
                <c:ptCount val="33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-0.29999999992469401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0.40000000001327901</c:v>
                </c:pt>
                <c:pt idx="11">
                  <c:v>-0.80000000002655702</c:v>
                </c:pt>
                <c:pt idx="12">
                  <c:v>-0.20000000006348301</c:v>
                </c:pt>
                <c:pt idx="13">
                  <c:v>0.50000000010186296</c:v>
                </c:pt>
                <c:pt idx="14">
                  <c:v>-0.90000000000145497</c:v>
                </c:pt>
                <c:pt idx="15">
                  <c:v>-0.100000000031741</c:v>
                </c:pt>
                <c:pt idx="16">
                  <c:v>0.29999999998153698</c:v>
                </c:pt>
                <c:pt idx="17">
                  <c:v>-0.49999999998817701</c:v>
                </c:pt>
                <c:pt idx="18">
                  <c:v>0.15000000001919001</c:v>
                </c:pt>
                <c:pt idx="19">
                  <c:v>-2.0999999999275998</c:v>
                </c:pt>
              </c:numCache>
            </c:numRef>
          </c:val>
        </c:ser>
        <c:ser>
          <c:idx val="1"/>
          <c:order val="1"/>
          <c:tx>
            <c:strRef>
              <c:f>'zk79+785'!$H$4:$L$4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'zk79+785'!$A$6:$A$38</c:f>
              <c:numCache>
                <c:formatCode>m"月"d"日";@</c:formatCode>
                <c:ptCount val="33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-0.49999999998817701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-0.39999999989959201</c:v>
                </c:pt>
                <c:pt idx="8">
                  <c:v>0.199999999949796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9.9999999974897905E-2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0.10000000008858501</c:v>
                </c:pt>
                <c:pt idx="15">
                  <c:v>-5.0000000044292399E-2</c:v>
                </c:pt>
                <c:pt idx="16">
                  <c:v>5.0000000044292399E-2</c:v>
                </c:pt>
                <c:pt idx="17">
                  <c:v>-0.15000000001919001</c:v>
                </c:pt>
                <c:pt idx="18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'zk79+785'!$M$4:$Q$4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'zk79+785'!$A$6:$A$38</c:f>
              <c:numCache>
                <c:formatCode>m"月"d"日";@</c:formatCode>
                <c:ptCount val="33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-0.59999999996307496</c:v>
                </c:pt>
                <c:pt idx="4">
                  <c:v>9.9999999974897905E-2</c:v>
                </c:pt>
                <c:pt idx="5">
                  <c:v>-0.29999999992469401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0.49999999998817701</c:v>
                </c:pt>
                <c:pt idx="13">
                  <c:v>-0.90000000000145497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0.100000000031741</c:v>
                </c:pt>
                <c:pt idx="17">
                  <c:v>-0.30000000003838101</c:v>
                </c:pt>
                <c:pt idx="18">
                  <c:v>5.0000000044292399E-2</c:v>
                </c:pt>
              </c:numCache>
            </c:numRef>
          </c:val>
        </c:ser>
        <c:dLbls/>
        <c:marker val="1"/>
        <c:axId val="363721088"/>
        <c:axId val="363723392"/>
      </c:lineChart>
      <c:dateAx>
        <c:axId val="3637210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723392"/>
        <c:crossesAt val="-50"/>
        <c:auto val="1"/>
        <c:lblOffset val="100"/>
        <c:baseTimeUnit val="days"/>
      </c:dateAx>
      <c:valAx>
        <c:axId val="36372339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7210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9+785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'zk79+785'!$U$4:$W$4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'zk79+785'!$S$6:$S$41</c:f>
              <c:numCache>
                <c:formatCode>m"月"d"日";@</c:formatCode>
                <c:ptCount val="36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'zk79+785'!$W$6:$W$32</c:f>
              <c:numCache>
                <c:formatCode>0.00_ </c:formatCode>
                <c:ptCount val="27"/>
                <c:pt idx="0">
                  <c:v>0</c:v>
                </c:pt>
                <c:pt idx="1">
                  <c:v>0.60000000000037801</c:v>
                </c:pt>
                <c:pt idx="2">
                  <c:v>-0.19999999999953399</c:v>
                </c:pt>
                <c:pt idx="3">
                  <c:v>0.29999999999930099</c:v>
                </c:pt>
                <c:pt idx="4">
                  <c:v>0.19999999999953399</c:v>
                </c:pt>
                <c:pt idx="5">
                  <c:v>0</c:v>
                </c:pt>
                <c:pt idx="6">
                  <c:v>0.20000000000130999</c:v>
                </c:pt>
                <c:pt idx="7">
                  <c:v>-0.20000000000130999</c:v>
                </c:pt>
                <c:pt idx="8">
                  <c:v>0.60000000000037801</c:v>
                </c:pt>
                <c:pt idx="9">
                  <c:v>0.19999999999953399</c:v>
                </c:pt>
                <c:pt idx="10">
                  <c:v>-0.29999999999930099</c:v>
                </c:pt>
                <c:pt idx="11">
                  <c:v>0.70000000001080298</c:v>
                </c:pt>
                <c:pt idx="12">
                  <c:v>0.19999999999953399</c:v>
                </c:pt>
                <c:pt idx="13">
                  <c:v>-1.06581410364015E-11</c:v>
                </c:pt>
                <c:pt idx="14">
                  <c:v>0.40000000000972602</c:v>
                </c:pt>
                <c:pt idx="15">
                  <c:v>0.100000000000655</c:v>
                </c:pt>
                <c:pt idx="16">
                  <c:v>-0.100000000005096</c:v>
                </c:pt>
                <c:pt idx="17">
                  <c:v>0.30000000000995902</c:v>
                </c:pt>
                <c:pt idx="18">
                  <c:v>-0.200000000010192</c:v>
                </c:pt>
                <c:pt idx="19">
                  <c:v>-2.0000000000006701</c:v>
                </c:pt>
              </c:numCache>
            </c:numRef>
          </c:val>
        </c:ser>
        <c:ser>
          <c:idx val="1"/>
          <c:order val="1"/>
          <c:tx>
            <c:strRef>
              <c:f>'zk79+785'!$Y$4:$AA$4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'zk79+785'!$S$6:$S$41</c:f>
              <c:numCache>
                <c:formatCode>m"月"d"日";@</c:formatCode>
                <c:ptCount val="36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'zk79+785'!$AA$6:$AA$31</c:f>
              <c:numCache>
                <c:formatCode>0.00_ </c:formatCode>
                <c:ptCount val="26"/>
                <c:pt idx="0">
                  <c:v>0</c:v>
                </c:pt>
                <c:pt idx="1">
                  <c:v>0.19999999999953399</c:v>
                </c:pt>
                <c:pt idx="2">
                  <c:v>-0.30000000000107702</c:v>
                </c:pt>
                <c:pt idx="3">
                  <c:v>-0.49999999999883499</c:v>
                </c:pt>
                <c:pt idx="4">
                  <c:v>-0.19999999999953399</c:v>
                </c:pt>
                <c:pt idx="5">
                  <c:v>-0.30000000000107702</c:v>
                </c:pt>
                <c:pt idx="6">
                  <c:v>-0.19999999999953399</c:v>
                </c:pt>
                <c:pt idx="7">
                  <c:v>0.19999999999953399</c:v>
                </c:pt>
                <c:pt idx="8">
                  <c:v>-0.60000000000037801</c:v>
                </c:pt>
                <c:pt idx="9">
                  <c:v>9.99999999997669E-2</c:v>
                </c:pt>
                <c:pt idx="10">
                  <c:v>-0.49999999999883499</c:v>
                </c:pt>
                <c:pt idx="11">
                  <c:v>-0.19999999999953399</c:v>
                </c:pt>
                <c:pt idx="12">
                  <c:v>0.19999999999953399</c:v>
                </c:pt>
                <c:pt idx="13">
                  <c:v>-0.60000000000037801</c:v>
                </c:pt>
                <c:pt idx="14">
                  <c:v>-0.19999999999953399</c:v>
                </c:pt>
                <c:pt idx="15">
                  <c:v>0.14999999999965</c:v>
                </c:pt>
                <c:pt idx="16">
                  <c:v>-0.35000000000007198</c:v>
                </c:pt>
                <c:pt idx="17">
                  <c:v>-9.99999999997669E-2</c:v>
                </c:pt>
                <c:pt idx="18">
                  <c:v>9.99999999997669E-2</c:v>
                </c:pt>
                <c:pt idx="19">
                  <c:v>-0.11249999999995999</c:v>
                </c:pt>
              </c:numCache>
            </c:numRef>
          </c:val>
        </c:ser>
        <c:ser>
          <c:idx val="2"/>
          <c:order val="2"/>
          <c:tx>
            <c:strRef>
              <c:f>'zk79+785'!$AC$4:$AE$4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'zk79+785'!$S$6:$S$41</c:f>
              <c:numCache>
                <c:formatCode>m"月"d"日";@</c:formatCode>
                <c:ptCount val="36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'zk79+785'!$AE$6:$AE$38</c:f>
              <c:numCache>
                <c:formatCode>0.00_ </c:formatCode>
                <c:ptCount val="33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-0.30000000000107702</c:v>
                </c:pt>
                <c:pt idx="4">
                  <c:v>-0.29999999999930099</c:v>
                </c:pt>
                <c:pt idx="5">
                  <c:v>-0.19999999999953399</c:v>
                </c:pt>
                <c:pt idx="6">
                  <c:v>9.99999999997669E-2</c:v>
                </c:pt>
                <c:pt idx="7">
                  <c:v>-0.30000000000107702</c:v>
                </c:pt>
                <c:pt idx="8">
                  <c:v>-0.29999999999930099</c:v>
                </c:pt>
                <c:pt idx="9">
                  <c:v>9.99999999997669E-2</c:v>
                </c:pt>
                <c:pt idx="10">
                  <c:v>-0.19999999999953399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-0.50000000000061096</c:v>
                </c:pt>
                <c:pt idx="14">
                  <c:v>-0.19999999999953399</c:v>
                </c:pt>
                <c:pt idx="15">
                  <c:v>0.19999999999953399</c:v>
                </c:pt>
                <c:pt idx="16">
                  <c:v>-0.399999999999956</c:v>
                </c:pt>
                <c:pt idx="17">
                  <c:v>-9.99999999997669E-2</c:v>
                </c:pt>
                <c:pt idx="18">
                  <c:v>4.9999999999883499E-2</c:v>
                </c:pt>
              </c:numCache>
            </c:numRef>
          </c:val>
        </c:ser>
        <c:dLbls/>
        <c:marker val="1"/>
        <c:axId val="389809280"/>
        <c:axId val="389811584"/>
      </c:lineChart>
      <c:dateAx>
        <c:axId val="3898092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811584"/>
        <c:crossesAt val="-50"/>
        <c:auto val="1"/>
        <c:lblOffset val="100"/>
        <c:baseTimeUnit val="days"/>
      </c:dateAx>
      <c:valAx>
        <c:axId val="38981158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980928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785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'zk79+785'!$C$4:$G$4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'zk79+785'!$A$6:$A$34</c:f>
              <c:numCache>
                <c:formatCode>m"月"d"日";@</c:formatCode>
                <c:ptCount val="29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'zk79+785'!$F$6:$F$29</c:f>
              <c:numCache>
                <c:formatCode>0.00_ </c:formatCode>
                <c:ptCount val="24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-1.09999999995125</c:v>
                </c:pt>
                <c:pt idx="6">
                  <c:v>-1.30000000001473</c:v>
                </c:pt>
                <c:pt idx="7">
                  <c:v>-1.2000000000398401</c:v>
                </c:pt>
                <c:pt idx="8">
                  <c:v>-1.70000000002801</c:v>
                </c:pt>
                <c:pt idx="9">
                  <c:v>-1.8999999999778101</c:v>
                </c:pt>
                <c:pt idx="10">
                  <c:v>-1.4999999999645299</c:v>
                </c:pt>
                <c:pt idx="11">
                  <c:v>-2.2999999999910901</c:v>
                </c:pt>
                <c:pt idx="12">
                  <c:v>-2.5000000000545701</c:v>
                </c:pt>
                <c:pt idx="13">
                  <c:v>-1.9999999999527101</c:v>
                </c:pt>
                <c:pt idx="14">
                  <c:v>-2.8999999999541601</c:v>
                </c:pt>
                <c:pt idx="15">
                  <c:v>-3.1000000000176402</c:v>
                </c:pt>
                <c:pt idx="16">
                  <c:v>-2.5000000000545701</c:v>
                </c:pt>
                <c:pt idx="17">
                  <c:v>-3.5000000000309202</c:v>
                </c:pt>
                <c:pt idx="18">
                  <c:v>-3.1999999999925399</c:v>
                </c:pt>
                <c:pt idx="19">
                  <c:v>-1.1999999999261499</c:v>
                </c:pt>
              </c:numCache>
            </c:numRef>
          </c:val>
        </c:ser>
        <c:ser>
          <c:idx val="1"/>
          <c:order val="1"/>
          <c:tx>
            <c:strRef>
              <c:f>'zk79+785'!$H$4:$L$4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'zk79+785'!$A$6:$A$34</c:f>
              <c:numCache>
                <c:formatCode>m"月"d"日";@</c:formatCode>
                <c:ptCount val="29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-0.80000000002655702</c:v>
                </c:pt>
                <c:pt idx="4">
                  <c:v>-1.1000000000649399</c:v>
                </c:pt>
                <c:pt idx="5">
                  <c:v>-1.30000000001473</c:v>
                </c:pt>
                <c:pt idx="6">
                  <c:v>-1.4000000001033199</c:v>
                </c:pt>
                <c:pt idx="7">
                  <c:v>-1.8000000000029099</c:v>
                </c:pt>
                <c:pt idx="8">
                  <c:v>-1.60000000005311</c:v>
                </c:pt>
                <c:pt idx="9">
                  <c:v>-1.70000000002801</c:v>
                </c:pt>
                <c:pt idx="10">
                  <c:v>-2.00000000006639</c:v>
                </c:pt>
                <c:pt idx="11">
                  <c:v>-1.9000000000915001</c:v>
                </c:pt>
                <c:pt idx="12">
                  <c:v>-2.00000000006639</c:v>
                </c:pt>
                <c:pt idx="13">
                  <c:v>-2.3000000001047698</c:v>
                </c:pt>
                <c:pt idx="14">
                  <c:v>-2.2000000000161899</c:v>
                </c:pt>
                <c:pt idx="15">
                  <c:v>-2.3000000001047698</c:v>
                </c:pt>
                <c:pt idx="16">
                  <c:v>-2.2000000000161899</c:v>
                </c:pt>
                <c:pt idx="17">
                  <c:v>-2.5000000000545701</c:v>
                </c:pt>
                <c:pt idx="18">
                  <c:v>-2.6000000000294698</c:v>
                </c:pt>
                <c:pt idx="19">
                  <c:v>-7.4999999995384301E-2</c:v>
                </c:pt>
              </c:numCache>
            </c:numRef>
          </c:val>
        </c:ser>
        <c:ser>
          <c:idx val="2"/>
          <c:order val="2"/>
          <c:tx>
            <c:strRef>
              <c:f>'zk79+785'!$M$4:$Q$4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'zk79+785'!$A$6:$A$34</c:f>
              <c:numCache>
                <c:formatCode>m"月"d"日";@</c:formatCode>
                <c:ptCount val="29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-0.99999999997635303</c:v>
                </c:pt>
                <c:pt idx="4">
                  <c:v>-0.90000000000145497</c:v>
                </c:pt>
                <c:pt idx="5">
                  <c:v>-1.1999999999261499</c:v>
                </c:pt>
                <c:pt idx="6">
                  <c:v>-1.39999999998963</c:v>
                </c:pt>
                <c:pt idx="7">
                  <c:v>-1.5999999999394301</c:v>
                </c:pt>
                <c:pt idx="8">
                  <c:v>-1.69999999991433</c:v>
                </c:pt>
                <c:pt idx="9">
                  <c:v>-1.9999999999527101</c:v>
                </c:pt>
                <c:pt idx="10">
                  <c:v>-2.2000000000161899</c:v>
                </c:pt>
                <c:pt idx="11">
                  <c:v>-2.39999999996598</c:v>
                </c:pt>
                <c:pt idx="12">
                  <c:v>-1.8999999999778101</c:v>
                </c:pt>
                <c:pt idx="13">
                  <c:v>-2.79999999997926</c:v>
                </c:pt>
                <c:pt idx="14">
                  <c:v>-2.9999999999290599</c:v>
                </c:pt>
                <c:pt idx="15">
                  <c:v>-3.1999999999925399</c:v>
                </c:pt>
                <c:pt idx="16">
                  <c:v>-2.9999999999290599</c:v>
                </c:pt>
                <c:pt idx="17">
                  <c:v>-3.6000000000058199</c:v>
                </c:pt>
                <c:pt idx="18">
                  <c:v>-3.49999999991724</c:v>
                </c:pt>
              </c:numCache>
            </c:numRef>
          </c:val>
        </c:ser>
        <c:dLbls/>
        <c:marker val="1"/>
        <c:axId val="393766400"/>
        <c:axId val="393773056"/>
      </c:lineChart>
      <c:lineChart>
        <c:grouping val="standard"/>
        <c:ser>
          <c:idx val="3"/>
          <c:order val="3"/>
          <c:tx>
            <c:strRef>
              <c:f>'zk79+785'!$AG$3:$AG$5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'zk79+785'!$A$6:$A$34</c:f>
              <c:numCache>
                <c:formatCode>m"月"d"日";@</c:formatCode>
                <c:ptCount val="29"/>
                <c:pt idx="0">
                  <c:v>44695</c:v>
                </c:pt>
                <c:pt idx="1">
                  <c:v>44696</c:v>
                </c:pt>
                <c:pt idx="2">
                  <c:v>44697</c:v>
                </c:pt>
                <c:pt idx="3">
                  <c:v>44698</c:v>
                </c:pt>
                <c:pt idx="4">
                  <c:v>44699</c:v>
                </c:pt>
                <c:pt idx="5">
                  <c:v>44700</c:v>
                </c:pt>
                <c:pt idx="6">
                  <c:v>44701</c:v>
                </c:pt>
                <c:pt idx="7">
                  <c:v>44702</c:v>
                </c:pt>
                <c:pt idx="8">
                  <c:v>44703</c:v>
                </c:pt>
                <c:pt idx="9">
                  <c:v>44704</c:v>
                </c:pt>
                <c:pt idx="10">
                  <c:v>44705</c:v>
                </c:pt>
                <c:pt idx="11">
                  <c:v>44706</c:v>
                </c:pt>
                <c:pt idx="12">
                  <c:v>44707</c:v>
                </c:pt>
                <c:pt idx="13">
                  <c:v>44708</c:v>
                </c:pt>
                <c:pt idx="14">
                  <c:v>44709</c:v>
                </c:pt>
                <c:pt idx="15">
                  <c:v>44711</c:v>
                </c:pt>
                <c:pt idx="16">
                  <c:v>44713</c:v>
                </c:pt>
                <c:pt idx="17">
                  <c:v>44715</c:v>
                </c:pt>
                <c:pt idx="18">
                  <c:v>44717</c:v>
                </c:pt>
              </c:numCache>
            </c:numRef>
          </c:cat>
          <c:val>
            <c:numRef>
              <c:f>'zk79+785'!$AG$6:$AG$31</c:f>
              <c:numCache>
                <c:formatCode>0.0_ </c:formatCode>
                <c:ptCount val="26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  <c:pt idx="12">
                  <c:v>43</c:v>
                </c:pt>
                <c:pt idx="13">
                  <c:v>46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61</c:v>
                </c:pt>
              </c:numCache>
            </c:numRef>
          </c:val>
        </c:ser>
        <c:dLbls/>
        <c:marker val="1"/>
        <c:axId val="393774976"/>
        <c:axId val="393776512"/>
      </c:lineChart>
      <c:dateAx>
        <c:axId val="3937664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773056"/>
        <c:crossesAt val="-50"/>
        <c:auto val="1"/>
        <c:lblOffset val="100"/>
        <c:baseTimeUnit val="days"/>
      </c:dateAx>
      <c:valAx>
        <c:axId val="39377305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766400"/>
        <c:crosses val="autoZero"/>
        <c:crossBetween val="midCat"/>
        <c:majorUnit val="1"/>
        <c:minorUnit val="0.5"/>
      </c:valAx>
      <c:dateAx>
        <c:axId val="3937749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3776512"/>
        <c:crosses val="autoZero"/>
        <c:auto val="1"/>
        <c:lblOffset val="100"/>
        <c:baseTimeUnit val="days"/>
      </c:dateAx>
      <c:valAx>
        <c:axId val="393776512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77497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+819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'zk79+819'!$U$4:$W$4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'zk79+819'!$S$6:$S$27</c:f>
              <c:numCache>
                <c:formatCode>m"月"d"日";@</c:formatCode>
                <c:ptCount val="22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-0.49999999999883499</c:v>
                </c:pt>
                <c:pt idx="3">
                  <c:v>-0.799999999999912</c:v>
                </c:pt>
                <c:pt idx="4">
                  <c:v>-0.999999999999446</c:v>
                </c:pt>
                <c:pt idx="5">
                  <c:v>-1.1999999999989801</c:v>
                </c:pt>
                <c:pt idx="6">
                  <c:v>-1.2999999999987499</c:v>
                </c:pt>
                <c:pt idx="7">
                  <c:v>-1.59999999999982</c:v>
                </c:pt>
                <c:pt idx="8">
                  <c:v>-1.7999999999993599</c:v>
                </c:pt>
                <c:pt idx="9">
                  <c:v>-1.8999999999991199</c:v>
                </c:pt>
                <c:pt idx="10">
                  <c:v>-1.7999999999993599</c:v>
                </c:pt>
                <c:pt idx="11">
                  <c:v>-2.3999999999997401</c:v>
                </c:pt>
                <c:pt idx="12">
                  <c:v>-2.59999999999927</c:v>
                </c:pt>
                <c:pt idx="13">
                  <c:v>-2.2999999999999701</c:v>
                </c:pt>
                <c:pt idx="14">
                  <c:v>-3.0000000000001101</c:v>
                </c:pt>
                <c:pt idx="15">
                  <c:v>-3.1999999999996498</c:v>
                </c:pt>
                <c:pt idx="16">
                  <c:v>-3.2999999999994101</c:v>
                </c:pt>
                <c:pt idx="17">
                  <c:v>-3.59999999998983</c:v>
                </c:pt>
                <c:pt idx="18">
                  <c:v>-3.7999999999893701</c:v>
                </c:pt>
                <c:pt idx="19">
                  <c:v>-3.4999999999989502</c:v>
                </c:pt>
                <c:pt idx="20">
                  <c:v>-3.40000000000096</c:v>
                </c:pt>
              </c:numCache>
            </c:numRef>
          </c:val>
        </c:ser>
        <c:ser>
          <c:idx val="1"/>
          <c:order val="1"/>
          <c:tx>
            <c:strRef>
              <c:f>'zk79+819'!$Y$4:$AA$4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'zk79+819'!$S$6:$S$27</c:f>
              <c:numCache>
                <c:formatCode>m"月"d"日";@</c:formatCode>
                <c:ptCount val="22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'zk79+819'!$Z$6:$Z$33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-0.20000000000130999</c:v>
                </c:pt>
                <c:pt idx="2">
                  <c:v>0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-0.20000000000130999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-0.70000000000014495</c:v>
                </c:pt>
                <c:pt idx="9">
                  <c:v>-1.80000000000113</c:v>
                </c:pt>
                <c:pt idx="10">
                  <c:v>-2.0000000000006701</c:v>
                </c:pt>
                <c:pt idx="11">
                  <c:v>-1.9000000000009001</c:v>
                </c:pt>
                <c:pt idx="12">
                  <c:v>-2.4000000000015098</c:v>
                </c:pt>
                <c:pt idx="13">
                  <c:v>-2.6000000000010499</c:v>
                </c:pt>
                <c:pt idx="14">
                  <c:v>-2.2000000000002</c:v>
                </c:pt>
                <c:pt idx="15">
                  <c:v>-3.0000000000001101</c:v>
                </c:pt>
                <c:pt idx="16">
                  <c:v>-3.2000000000014199</c:v>
                </c:pt>
                <c:pt idx="17">
                  <c:v>-2.7000000000008102</c:v>
                </c:pt>
                <c:pt idx="18">
                  <c:v>-3.6000000000004899</c:v>
                </c:pt>
                <c:pt idx="19">
                  <c:v>-3.40000000000096</c:v>
                </c:pt>
                <c:pt idx="20">
                  <c:v>-2.2999999999999701</c:v>
                </c:pt>
              </c:numCache>
            </c:numRef>
          </c:val>
        </c:ser>
        <c:ser>
          <c:idx val="2"/>
          <c:order val="2"/>
          <c:tx>
            <c:strRef>
              <c:f>'zk79+819'!$AC$4:$AE$4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'zk79+819'!$S$6:$S$27</c:f>
              <c:numCache>
                <c:formatCode>m"月"d"日";@</c:formatCode>
                <c:ptCount val="22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'zk79+819'!$AD$6:$AD$37</c:f>
              <c:numCache>
                <c:formatCode>0.00_ </c:formatCode>
                <c:ptCount val="32"/>
                <c:pt idx="0">
                  <c:v>0</c:v>
                </c:pt>
                <c:pt idx="1">
                  <c:v>0.50000000000061096</c:v>
                </c:pt>
                <c:pt idx="2">
                  <c:v>0.70000000000014495</c:v>
                </c:pt>
                <c:pt idx="3">
                  <c:v>0.20000000000130999</c:v>
                </c:pt>
                <c:pt idx="4">
                  <c:v>0</c:v>
                </c:pt>
                <c:pt idx="5">
                  <c:v>-0.19999999999953399</c:v>
                </c:pt>
                <c:pt idx="6">
                  <c:v>0</c:v>
                </c:pt>
                <c:pt idx="7">
                  <c:v>-0.59999999999860198</c:v>
                </c:pt>
                <c:pt idx="8">
                  <c:v>-0.80000000000879401</c:v>
                </c:pt>
                <c:pt idx="9">
                  <c:v>-0.49999999999883499</c:v>
                </c:pt>
                <c:pt idx="10">
                  <c:v>-1.20000000000964</c:v>
                </c:pt>
                <c:pt idx="11">
                  <c:v>-1.4000000000091699</c:v>
                </c:pt>
                <c:pt idx="12">
                  <c:v>-1.1999999999989801</c:v>
                </c:pt>
                <c:pt idx="13">
                  <c:v>-1.80000000001002</c:v>
                </c:pt>
                <c:pt idx="14">
                  <c:v>-2.0000000000095501</c:v>
                </c:pt>
                <c:pt idx="15">
                  <c:v>-1.7999999999993599</c:v>
                </c:pt>
                <c:pt idx="16">
                  <c:v>-2.40000000001928</c:v>
                </c:pt>
                <c:pt idx="17">
                  <c:v>-2.6000000000188099</c:v>
                </c:pt>
                <c:pt idx="18">
                  <c:v>-2.3999999999997401</c:v>
                </c:pt>
                <c:pt idx="19">
                  <c:v>-2.2999999999999701</c:v>
                </c:pt>
              </c:numCache>
            </c:numRef>
          </c:val>
        </c:ser>
        <c:dLbls/>
        <c:marker val="1"/>
        <c:axId val="393897472"/>
        <c:axId val="393904128"/>
      </c:lineChart>
      <c:lineChart>
        <c:grouping val="standard"/>
        <c:ser>
          <c:idx val="3"/>
          <c:order val="3"/>
          <c:tx>
            <c:strRef>
              <c:f>'zk79+819'!$AG$3:$AG$5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'zk79+819'!$S$6:$S$27</c:f>
              <c:numCache>
                <c:formatCode>m"月"d"日";@</c:formatCode>
                <c:ptCount val="22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  <c:pt idx="11">
                  <c:v>72</c:v>
                </c:pt>
                <c:pt idx="12">
                  <c:v>78</c:v>
                </c:pt>
                <c:pt idx="13">
                  <c:v>84</c:v>
                </c:pt>
                <c:pt idx="14">
                  <c:v>90</c:v>
                </c:pt>
                <c:pt idx="15">
                  <c:v>96</c:v>
                </c:pt>
                <c:pt idx="16">
                  <c:v>102</c:v>
                </c:pt>
                <c:pt idx="17">
                  <c:v>108</c:v>
                </c:pt>
                <c:pt idx="18">
                  <c:v>114</c:v>
                </c:pt>
                <c:pt idx="19">
                  <c:v>120</c:v>
                </c:pt>
              </c:numCache>
            </c:numRef>
          </c:val>
        </c:ser>
        <c:dLbls/>
        <c:marker val="1"/>
        <c:axId val="393906048"/>
        <c:axId val="393907584"/>
      </c:lineChart>
      <c:dateAx>
        <c:axId val="3938974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904128"/>
        <c:crossesAt val="-50"/>
        <c:auto val="1"/>
        <c:lblOffset val="100"/>
        <c:baseTimeUnit val="days"/>
      </c:dateAx>
      <c:valAx>
        <c:axId val="39390412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897472"/>
        <c:crosses val="autoZero"/>
        <c:crossBetween val="midCat"/>
        <c:majorUnit val="1"/>
        <c:minorUnit val="0.1"/>
      </c:valAx>
      <c:dateAx>
        <c:axId val="3939060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3907584"/>
        <c:crosses val="autoZero"/>
        <c:auto val="1"/>
        <c:lblOffset val="100"/>
        <c:baseTimeUnit val="days"/>
      </c:dateAx>
      <c:valAx>
        <c:axId val="39390758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390604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'zk79+819'!$C$4:$G$4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'zk79+819'!$A$6:$A$38</c:f>
              <c:numCache>
                <c:formatCode>m"月"d"日";@</c:formatCode>
                <c:ptCount val="33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'zk79+819'!$G$6:$G$34</c:f>
              <c:numCache>
                <c:formatCode>0.00_ </c:formatCode>
                <c:ptCount val="29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0.30000000003838101</c:v>
                </c:pt>
                <c:pt idx="5">
                  <c:v>-0.70000000005165897</c:v>
                </c:pt>
                <c:pt idx="6">
                  <c:v>-0.199999999949796</c:v>
                </c:pt>
                <c:pt idx="7">
                  <c:v>0.40000000001327901</c:v>
                </c:pt>
                <c:pt idx="8">
                  <c:v>-0.80000000002655702</c:v>
                </c:pt>
                <c:pt idx="9">
                  <c:v>-0.199999999949796</c:v>
                </c:pt>
                <c:pt idx="10">
                  <c:v>0.49999999998817701</c:v>
                </c:pt>
                <c:pt idx="11">
                  <c:v>-0.90000000000145497</c:v>
                </c:pt>
                <c:pt idx="12">
                  <c:v>-0.20000000006348301</c:v>
                </c:pt>
                <c:pt idx="13">
                  <c:v>0.60000000007676102</c:v>
                </c:pt>
                <c:pt idx="14">
                  <c:v>-1.00000000009004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0.30000000003838101</c:v>
                </c:pt>
                <c:pt idx="18">
                  <c:v>-0.49999999998817701</c:v>
                </c:pt>
                <c:pt idx="19">
                  <c:v>0.24999999999408801</c:v>
                </c:pt>
                <c:pt idx="20">
                  <c:v>-3.2999999999674401</c:v>
                </c:pt>
              </c:numCache>
            </c:numRef>
          </c:val>
        </c:ser>
        <c:ser>
          <c:idx val="1"/>
          <c:order val="1"/>
          <c:tx>
            <c:strRef>
              <c:f>'zk79+819'!$H$4:$L$4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'zk79+819'!$A$6:$A$38</c:f>
              <c:numCache>
                <c:formatCode>m"月"d"日";@</c:formatCode>
                <c:ptCount val="33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-0.29999999992469401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-0.199999999949796</c:v>
                </c:pt>
                <c:pt idx="7">
                  <c:v>0</c:v>
                </c:pt>
                <c:pt idx="8">
                  <c:v>-0.40000000001327901</c:v>
                </c:pt>
                <c:pt idx="9">
                  <c:v>-0.20000000006348301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0.199999999949796</c:v>
                </c:pt>
                <c:pt idx="14">
                  <c:v>-0.59999999996307496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0.15000000001919001</c:v>
                </c:pt>
                <c:pt idx="18">
                  <c:v>-0.35000000002582998</c:v>
                </c:pt>
                <c:pt idx="19">
                  <c:v>-9.9999999974897905E-2</c:v>
                </c:pt>
              </c:numCache>
            </c:numRef>
          </c:val>
        </c:ser>
        <c:ser>
          <c:idx val="2"/>
          <c:order val="2"/>
          <c:tx>
            <c:strRef>
              <c:f>'zk79+819'!$M$4:$Q$4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'zk79+819'!$A$6:$A$38</c:f>
              <c:numCache>
                <c:formatCode>m"月"d"日";@</c:formatCode>
                <c:ptCount val="33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0.20000000006348301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-0.29999999992469401</c:v>
                </c:pt>
                <c:pt idx="6">
                  <c:v>-0.10000000008858501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-0.10000000008858501</c:v>
                </c:pt>
                <c:pt idx="12">
                  <c:v>-0.29999999992469401</c:v>
                </c:pt>
                <c:pt idx="13">
                  <c:v>-0.20000000006348301</c:v>
                </c:pt>
                <c:pt idx="14">
                  <c:v>0.10000000008858501</c:v>
                </c:pt>
                <c:pt idx="15">
                  <c:v>-0.24999999999408801</c:v>
                </c:pt>
                <c:pt idx="16">
                  <c:v>-0.100000000031741</c:v>
                </c:pt>
                <c:pt idx="17">
                  <c:v>4.9999999987449001E-2</c:v>
                </c:pt>
                <c:pt idx="18">
                  <c:v>-0.24999999999408801</c:v>
                </c:pt>
                <c:pt idx="19">
                  <c:v>0.100000000031741</c:v>
                </c:pt>
              </c:numCache>
            </c:numRef>
          </c:val>
        </c:ser>
        <c:dLbls/>
        <c:marker val="1"/>
        <c:axId val="394018816"/>
        <c:axId val="394021120"/>
      </c:lineChart>
      <c:dateAx>
        <c:axId val="3940188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021120"/>
        <c:crossesAt val="-50"/>
        <c:auto val="1"/>
        <c:lblOffset val="100"/>
        <c:baseTimeUnit val="days"/>
      </c:dateAx>
      <c:valAx>
        <c:axId val="39402112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01881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9+819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'zk79+819'!$U$4:$W$4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'zk79+819'!$S$6:$S$41</c:f>
              <c:numCache>
                <c:formatCode>m"月"d"日";@</c:formatCode>
                <c:ptCount val="36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0.29999999999930099</c:v>
                </c:pt>
                <c:pt idx="3">
                  <c:v>0.30000000000107702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0.30000000000107702</c:v>
                </c:pt>
                <c:pt idx="8">
                  <c:v>0.19999999999953399</c:v>
                </c:pt>
                <c:pt idx="9">
                  <c:v>9.99999999997669E-2</c:v>
                </c:pt>
                <c:pt idx="10">
                  <c:v>-9.99999999997669E-2</c:v>
                </c:pt>
                <c:pt idx="11">
                  <c:v>0.60000000000037801</c:v>
                </c:pt>
                <c:pt idx="12">
                  <c:v>0.19999999999953399</c:v>
                </c:pt>
                <c:pt idx="13">
                  <c:v>-0.29999999999930099</c:v>
                </c:pt>
                <c:pt idx="14">
                  <c:v>0.70000000000014495</c:v>
                </c:pt>
                <c:pt idx="15">
                  <c:v>9.99999999997669E-2</c:v>
                </c:pt>
                <c:pt idx="16">
                  <c:v>4.9999999999883499E-2</c:v>
                </c:pt>
                <c:pt idx="17">
                  <c:v>0.14999999999520999</c:v>
                </c:pt>
                <c:pt idx="18">
                  <c:v>9.99999999997669E-2</c:v>
                </c:pt>
                <c:pt idx="19">
                  <c:v>-0.14999999999520999</c:v>
                </c:pt>
                <c:pt idx="20">
                  <c:v>-2.2999999999999701</c:v>
                </c:pt>
              </c:numCache>
            </c:numRef>
          </c:val>
        </c:ser>
        <c:ser>
          <c:idx val="1"/>
          <c:order val="1"/>
          <c:tx>
            <c:strRef>
              <c:f>'zk79+819'!$Y$4:$AA$4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'zk79+819'!$S$6:$S$41</c:f>
              <c:numCache>
                <c:formatCode>m"月"d"日";@</c:formatCode>
                <c:ptCount val="36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-0.20000000000130999</c:v>
                </c:pt>
                <c:pt idx="2">
                  <c:v>0.20000000000130999</c:v>
                </c:pt>
                <c:pt idx="3">
                  <c:v>-0.60000000000037801</c:v>
                </c:pt>
                <c:pt idx="4">
                  <c:v>-0.19999999999953399</c:v>
                </c:pt>
                <c:pt idx="5">
                  <c:v>0.59999999999860198</c:v>
                </c:pt>
                <c:pt idx="6">
                  <c:v>-0.999999999999446</c:v>
                </c:pt>
                <c:pt idx="7">
                  <c:v>-0.19999999999953399</c:v>
                </c:pt>
                <c:pt idx="8">
                  <c:v>0.70000000000014495</c:v>
                </c:pt>
                <c:pt idx="9">
                  <c:v>-1.10000000000099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-0.19999999999953399</c:v>
                </c:pt>
                <c:pt idx="14">
                  <c:v>0.40000000000084401</c:v>
                </c:pt>
                <c:pt idx="15">
                  <c:v>-0.399999999999956</c:v>
                </c:pt>
                <c:pt idx="16">
                  <c:v>-0.100000000000655</c:v>
                </c:pt>
                <c:pt idx="17">
                  <c:v>0.25000000000030598</c:v>
                </c:pt>
                <c:pt idx="18">
                  <c:v>-0.44999999999983897</c:v>
                </c:pt>
                <c:pt idx="19">
                  <c:v>9.99999999997669E-2</c:v>
                </c:pt>
                <c:pt idx="20">
                  <c:v>-0.14583333333328999</c:v>
                </c:pt>
              </c:numCache>
            </c:numRef>
          </c:val>
        </c:ser>
        <c:ser>
          <c:idx val="2"/>
          <c:order val="2"/>
          <c:tx>
            <c:strRef>
              <c:f>'zk79+819'!$AC$4:$AE$4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'zk79+819'!$S$6:$S$41</c:f>
              <c:numCache>
                <c:formatCode>m"月"d"日";@</c:formatCode>
                <c:ptCount val="36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'zk79+819'!$AE$6:$AE$38</c:f>
              <c:numCache>
                <c:formatCode>0.00_ </c:formatCode>
                <c:ptCount val="33"/>
                <c:pt idx="0">
                  <c:v>0</c:v>
                </c:pt>
                <c:pt idx="1">
                  <c:v>0.50000000000061096</c:v>
                </c:pt>
                <c:pt idx="2">
                  <c:v>0.19999999999953399</c:v>
                </c:pt>
                <c:pt idx="3">
                  <c:v>-0.49999999999883499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0.19999999999953399</c:v>
                </c:pt>
                <c:pt idx="7">
                  <c:v>-0.59999999999860198</c:v>
                </c:pt>
                <c:pt idx="8">
                  <c:v>-0.200000000010192</c:v>
                </c:pt>
                <c:pt idx="9">
                  <c:v>0.30000000000995902</c:v>
                </c:pt>
                <c:pt idx="10">
                  <c:v>-0.70000000001080298</c:v>
                </c:pt>
                <c:pt idx="11">
                  <c:v>-0.19999999999953399</c:v>
                </c:pt>
                <c:pt idx="12">
                  <c:v>0.200000000010192</c:v>
                </c:pt>
                <c:pt idx="13">
                  <c:v>-0.60000000001103604</c:v>
                </c:pt>
                <c:pt idx="14">
                  <c:v>-0.19999999999953399</c:v>
                </c:pt>
                <c:pt idx="15">
                  <c:v>0.100000000005096</c:v>
                </c:pt>
                <c:pt idx="16">
                  <c:v>-0.30000000000995902</c:v>
                </c:pt>
                <c:pt idx="17">
                  <c:v>-9.99999999997669E-2</c:v>
                </c:pt>
                <c:pt idx="18">
                  <c:v>0.100000000009537</c:v>
                </c:pt>
                <c:pt idx="19">
                  <c:v>4.9999999999883499E-2</c:v>
                </c:pt>
              </c:numCache>
            </c:numRef>
          </c:val>
        </c:ser>
        <c:dLbls/>
        <c:marker val="1"/>
        <c:axId val="394089216"/>
        <c:axId val="394091520"/>
      </c:lineChart>
      <c:dateAx>
        <c:axId val="3940892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091520"/>
        <c:crossesAt val="-50"/>
        <c:auto val="1"/>
        <c:lblOffset val="100"/>
        <c:baseTimeUnit val="days"/>
      </c:dateAx>
      <c:valAx>
        <c:axId val="3940915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0892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819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'zk79+819'!$C$4:$G$4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'zk79+819'!$A$6:$A$34</c:f>
              <c:numCache>
                <c:formatCode>m"月"d"日";@</c:formatCode>
                <c:ptCount val="29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'zk79+819'!$F$6:$F$29</c:f>
              <c:numCache>
                <c:formatCode>0.00_ </c:formatCode>
                <c:ptCount val="24"/>
                <c:pt idx="0">
                  <c:v>0</c:v>
                </c:pt>
                <c:pt idx="1">
                  <c:v>-9.9999999974897905E-2</c:v>
                </c:pt>
                <c:pt idx="2">
                  <c:v>-0.29999999992469401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-0.90000000000145497</c:v>
                </c:pt>
                <c:pt idx="6">
                  <c:v>-1.09999999995125</c:v>
                </c:pt>
                <c:pt idx="7">
                  <c:v>-0.69999999993797202</c:v>
                </c:pt>
                <c:pt idx="8">
                  <c:v>-1.4999999999645299</c:v>
                </c:pt>
                <c:pt idx="9">
                  <c:v>-1.69999999991433</c:v>
                </c:pt>
                <c:pt idx="10">
                  <c:v>-1.1999999999261499</c:v>
                </c:pt>
                <c:pt idx="11">
                  <c:v>-2.0999999999275998</c:v>
                </c:pt>
                <c:pt idx="12">
                  <c:v>-2.2999999999910901</c:v>
                </c:pt>
                <c:pt idx="13">
                  <c:v>-1.69999999991433</c:v>
                </c:pt>
                <c:pt idx="14">
                  <c:v>-2.70000000000437</c:v>
                </c:pt>
                <c:pt idx="15">
                  <c:v>-2.8999999999541601</c:v>
                </c:pt>
                <c:pt idx="16">
                  <c:v>-3.1000000000176402</c:v>
                </c:pt>
                <c:pt idx="17">
                  <c:v>-2.4999999999408802</c:v>
                </c:pt>
                <c:pt idx="18">
                  <c:v>-3.49999999991724</c:v>
                </c:pt>
                <c:pt idx="19">
                  <c:v>-2.9999999999290599</c:v>
                </c:pt>
                <c:pt idx="20">
                  <c:v>-3.8999999999305102</c:v>
                </c:pt>
              </c:numCache>
            </c:numRef>
          </c:val>
        </c:ser>
        <c:ser>
          <c:idx val="1"/>
          <c:order val="1"/>
          <c:tx>
            <c:strRef>
              <c:f>'zk79+819'!$H$4:$L$4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'zk79+819'!$A$6:$A$34</c:f>
              <c:numCache>
                <c:formatCode>m"月"d"日";@</c:formatCode>
                <c:ptCount val="29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-0.29999999992469401</c:v>
                </c:pt>
                <c:pt idx="2">
                  <c:v>-0.49999999998817701</c:v>
                </c:pt>
                <c:pt idx="3">
                  <c:v>-0.69999999993797202</c:v>
                </c:pt>
                <c:pt idx="4">
                  <c:v>-0.99999999997635303</c:v>
                </c:pt>
                <c:pt idx="5">
                  <c:v>-1.09999999995125</c:v>
                </c:pt>
                <c:pt idx="6">
                  <c:v>-1.2999999999010501</c:v>
                </c:pt>
                <c:pt idx="7">
                  <c:v>-1.2999999999010501</c:v>
                </c:pt>
                <c:pt idx="8">
                  <c:v>-1.69999999991433</c:v>
                </c:pt>
                <c:pt idx="9">
                  <c:v>-1.8999999999778101</c:v>
                </c:pt>
                <c:pt idx="10">
                  <c:v>-1.8000000000029099</c:v>
                </c:pt>
                <c:pt idx="11">
                  <c:v>-2.2999999999910901</c:v>
                </c:pt>
                <c:pt idx="12">
                  <c:v>-2.4999999999408802</c:v>
                </c:pt>
                <c:pt idx="13">
                  <c:v>-2.2999999999910901</c:v>
                </c:pt>
                <c:pt idx="14">
                  <c:v>-2.8999999999541601</c:v>
                </c:pt>
                <c:pt idx="15">
                  <c:v>-3.09999999990396</c:v>
                </c:pt>
                <c:pt idx="16">
                  <c:v>-3.2999999999674401</c:v>
                </c:pt>
                <c:pt idx="17">
                  <c:v>-2.9999999999290599</c:v>
                </c:pt>
                <c:pt idx="18">
                  <c:v>-3.69999999998072</c:v>
                </c:pt>
                <c:pt idx="19">
                  <c:v>-3.8999999999305102</c:v>
                </c:pt>
                <c:pt idx="20">
                  <c:v>-0.16249999999710499</c:v>
                </c:pt>
              </c:numCache>
            </c:numRef>
          </c:val>
        </c:ser>
        <c:ser>
          <c:idx val="2"/>
          <c:order val="2"/>
          <c:tx>
            <c:strRef>
              <c:f>'zk79+819'!$M$4:$Q$4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'zk79+819'!$A$6:$A$34</c:f>
              <c:numCache>
                <c:formatCode>m"月"d"日";@</c:formatCode>
                <c:ptCount val="29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'zk79+819'!$P$6:$P$28</c:f>
              <c:numCache>
                <c:formatCode>0.00_ </c:formatCode>
                <c:ptCount val="23"/>
                <c:pt idx="0">
                  <c:v>0</c:v>
                </c:pt>
                <c:pt idx="1">
                  <c:v>-0.20000000006348301</c:v>
                </c:pt>
                <c:pt idx="2">
                  <c:v>0</c:v>
                </c:pt>
                <c:pt idx="3">
                  <c:v>-0.49999999998817701</c:v>
                </c:pt>
                <c:pt idx="4">
                  <c:v>-0.70000000005165897</c:v>
                </c:pt>
                <c:pt idx="5">
                  <c:v>-0.99999999997635303</c:v>
                </c:pt>
                <c:pt idx="6">
                  <c:v>-1.1000000000649399</c:v>
                </c:pt>
                <c:pt idx="7">
                  <c:v>-1.30000000001473</c:v>
                </c:pt>
                <c:pt idx="8">
                  <c:v>-1.2000000000398401</c:v>
                </c:pt>
                <c:pt idx="9">
                  <c:v>-1.70000000002801</c:v>
                </c:pt>
                <c:pt idx="10">
                  <c:v>-1.8999999999778101</c:v>
                </c:pt>
                <c:pt idx="11">
                  <c:v>-2.00000000006639</c:v>
                </c:pt>
                <c:pt idx="12">
                  <c:v>-2.2999999999910901</c:v>
                </c:pt>
                <c:pt idx="13">
                  <c:v>-2.5000000000545701</c:v>
                </c:pt>
                <c:pt idx="14">
                  <c:v>-2.39999999996598</c:v>
                </c:pt>
                <c:pt idx="15">
                  <c:v>-2.8999999999541601</c:v>
                </c:pt>
                <c:pt idx="16">
                  <c:v>-3.1000000000176402</c:v>
                </c:pt>
                <c:pt idx="17">
                  <c:v>-3.0000000000427498</c:v>
                </c:pt>
                <c:pt idx="18">
                  <c:v>-3.5000000000309202</c:v>
                </c:pt>
                <c:pt idx="19">
                  <c:v>-3.2999999999674401</c:v>
                </c:pt>
              </c:numCache>
            </c:numRef>
          </c:val>
        </c:ser>
        <c:dLbls/>
        <c:marker val="1"/>
        <c:axId val="394232960"/>
        <c:axId val="394235264"/>
      </c:lineChart>
      <c:lineChart>
        <c:grouping val="standard"/>
        <c:ser>
          <c:idx val="3"/>
          <c:order val="3"/>
          <c:tx>
            <c:strRef>
              <c:f>'zk79+819'!$AG$3:$AG$5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'zk79+819'!$A$6:$A$34</c:f>
              <c:numCache>
                <c:formatCode>m"月"d"日";@</c:formatCode>
                <c:ptCount val="29"/>
                <c:pt idx="0">
                  <c:v>44702</c:v>
                </c:pt>
                <c:pt idx="1">
                  <c:v>44703</c:v>
                </c:pt>
                <c:pt idx="2">
                  <c:v>44704</c:v>
                </c:pt>
                <c:pt idx="3">
                  <c:v>44705</c:v>
                </c:pt>
                <c:pt idx="4">
                  <c:v>44706</c:v>
                </c:pt>
                <c:pt idx="5">
                  <c:v>44707</c:v>
                </c:pt>
                <c:pt idx="6">
                  <c:v>44708</c:v>
                </c:pt>
                <c:pt idx="7">
                  <c:v>44709</c:v>
                </c:pt>
                <c:pt idx="8">
                  <c:v>44710</c:v>
                </c:pt>
                <c:pt idx="9">
                  <c:v>44711</c:v>
                </c:pt>
                <c:pt idx="10">
                  <c:v>44712</c:v>
                </c:pt>
                <c:pt idx="11">
                  <c:v>44713</c:v>
                </c:pt>
                <c:pt idx="12">
                  <c:v>44714</c:v>
                </c:pt>
                <c:pt idx="13">
                  <c:v>44715</c:v>
                </c:pt>
                <c:pt idx="14">
                  <c:v>44716</c:v>
                </c:pt>
                <c:pt idx="15">
                  <c:v>44718</c:v>
                </c:pt>
                <c:pt idx="16">
                  <c:v>44720</c:v>
                </c:pt>
                <c:pt idx="17">
                  <c:v>44722</c:v>
                </c:pt>
                <c:pt idx="18">
                  <c:v>44724</c:v>
                </c:pt>
                <c:pt idx="19">
                  <c:v>44726</c:v>
                </c:pt>
              </c:numCache>
            </c:numRef>
          </c:cat>
          <c:val>
            <c:numRef>
              <c:f>'zk79+819'!$AG$6:$AG$31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  <c:pt idx="11">
                  <c:v>72</c:v>
                </c:pt>
                <c:pt idx="12">
                  <c:v>78</c:v>
                </c:pt>
                <c:pt idx="13">
                  <c:v>84</c:v>
                </c:pt>
                <c:pt idx="14">
                  <c:v>90</c:v>
                </c:pt>
                <c:pt idx="15">
                  <c:v>96</c:v>
                </c:pt>
                <c:pt idx="16">
                  <c:v>102</c:v>
                </c:pt>
                <c:pt idx="17">
                  <c:v>108</c:v>
                </c:pt>
                <c:pt idx="18">
                  <c:v>114</c:v>
                </c:pt>
                <c:pt idx="19">
                  <c:v>120</c:v>
                </c:pt>
              </c:numCache>
            </c:numRef>
          </c:val>
        </c:ser>
        <c:dLbls/>
        <c:marker val="1"/>
        <c:axId val="394249728"/>
        <c:axId val="394251264"/>
      </c:lineChart>
      <c:dateAx>
        <c:axId val="3942329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235264"/>
        <c:crossesAt val="-50"/>
        <c:auto val="1"/>
        <c:lblOffset val="100"/>
        <c:baseTimeUnit val="days"/>
      </c:dateAx>
      <c:valAx>
        <c:axId val="39423526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232960"/>
        <c:crosses val="autoZero"/>
        <c:crossBetween val="midCat"/>
        <c:majorUnit val="1"/>
        <c:minorUnit val="0.5"/>
      </c:valAx>
      <c:dateAx>
        <c:axId val="39424972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4251264"/>
        <c:crosses val="autoZero"/>
        <c:auto val="1"/>
        <c:lblOffset val="100"/>
        <c:baseTimeUnit val="days"/>
      </c:dateAx>
      <c:valAx>
        <c:axId val="394251264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24972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+839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'zk79+839'!$U$4:$W$4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'zk79+839'!$S$6:$S$27</c:f>
              <c:numCache>
                <c:formatCode>m"月"d"日";@</c:formatCode>
                <c:ptCount val="22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'zk79+839'!$V$6:$V$32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-0.19999999999953399</c:v>
                </c:pt>
                <c:pt idx="3">
                  <c:v>-0.39999999999906799</c:v>
                </c:pt>
                <c:pt idx="4">
                  <c:v>-0.60000000000037801</c:v>
                </c:pt>
                <c:pt idx="5">
                  <c:v>-0.70000000000014495</c:v>
                </c:pt>
                <c:pt idx="6">
                  <c:v>-0.999999999999446</c:v>
                </c:pt>
                <c:pt idx="7">
                  <c:v>-1.1999999999989801</c:v>
                </c:pt>
                <c:pt idx="8">
                  <c:v>-1.0999999999992101</c:v>
                </c:pt>
                <c:pt idx="9">
                  <c:v>-1.59999999999982</c:v>
                </c:pt>
                <c:pt idx="10">
                  <c:v>-1.7999999999993599</c:v>
                </c:pt>
                <c:pt idx="11">
                  <c:v>-1.50000000000006</c:v>
                </c:pt>
                <c:pt idx="12">
                  <c:v>-2.2000000000002</c:v>
                </c:pt>
                <c:pt idx="13">
                  <c:v>-2.3999999999890802</c:v>
                </c:pt>
                <c:pt idx="14">
                  <c:v>-1.99999999999889</c:v>
                </c:pt>
                <c:pt idx="15">
                  <c:v>-2.7999999999899199</c:v>
                </c:pt>
                <c:pt idx="16">
                  <c:v>-2.99999999998946</c:v>
                </c:pt>
                <c:pt idx="17">
                  <c:v>-3.1999999999889899</c:v>
                </c:pt>
                <c:pt idx="18">
                  <c:v>-2.7999999999987999</c:v>
                </c:pt>
                <c:pt idx="19">
                  <c:v>-2.8999999999985699</c:v>
                </c:pt>
              </c:numCache>
            </c:numRef>
          </c:val>
        </c:ser>
        <c:ser>
          <c:idx val="1"/>
          <c:order val="1"/>
          <c:tx>
            <c:strRef>
              <c:f>'zk79+839'!$Y$4:$AA$4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'zk79+839'!$S$6:$S$27</c:f>
              <c:numCache>
                <c:formatCode>m"月"d"日";@</c:formatCode>
                <c:ptCount val="22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'zk79+839'!$Z$6:$Z$33</c:f>
              <c:numCache>
                <c:formatCode>0.00_ </c:formatCode>
                <c:ptCount val="28"/>
                <c:pt idx="0">
                  <c:v>0</c:v>
                </c:pt>
                <c:pt idx="1">
                  <c:v>-0.39999999999906799</c:v>
                </c:pt>
                <c:pt idx="2">
                  <c:v>-0.59999999999860198</c:v>
                </c:pt>
                <c:pt idx="3">
                  <c:v>-0.19999999999953399</c:v>
                </c:pt>
                <c:pt idx="4">
                  <c:v>-0.39999999999906799</c:v>
                </c:pt>
                <c:pt idx="5">
                  <c:v>-0.59999999999860198</c:v>
                </c:pt>
                <c:pt idx="6">
                  <c:v>-0.69999999999836904</c:v>
                </c:pt>
                <c:pt idx="7">
                  <c:v>-0.999999999999446</c:v>
                </c:pt>
                <c:pt idx="8">
                  <c:v>-1.1999999999989801</c:v>
                </c:pt>
                <c:pt idx="9">
                  <c:v>-0.89999999999967895</c:v>
                </c:pt>
                <c:pt idx="10">
                  <c:v>-1.59999999999982</c:v>
                </c:pt>
                <c:pt idx="11">
                  <c:v>-1.7999999999993599</c:v>
                </c:pt>
                <c:pt idx="12">
                  <c:v>-2.1999999999984299</c:v>
                </c:pt>
                <c:pt idx="13">
                  <c:v>-2.1999999999984299</c:v>
                </c:pt>
                <c:pt idx="14">
                  <c:v>-2.3999999999997401</c:v>
                </c:pt>
                <c:pt idx="15">
                  <c:v>-2.59999999999927</c:v>
                </c:pt>
                <c:pt idx="16">
                  <c:v>-2.6999999999990401</c:v>
                </c:pt>
                <c:pt idx="17">
                  <c:v>-2.99999999999834</c:v>
                </c:pt>
                <c:pt idx="18">
                  <c:v>-2.8999999999985699</c:v>
                </c:pt>
                <c:pt idx="19">
                  <c:v>-2.9000000000003499</c:v>
                </c:pt>
              </c:numCache>
            </c:numRef>
          </c:val>
        </c:ser>
        <c:ser>
          <c:idx val="2"/>
          <c:order val="2"/>
          <c:tx>
            <c:strRef>
              <c:f>'zk79+839'!$AC$4:$AE$4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'zk79+839'!$S$6:$S$27</c:f>
              <c:numCache>
                <c:formatCode>m"月"d"日";@</c:formatCode>
                <c:ptCount val="22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-0.30000000000107702</c:v>
                </c:pt>
                <c:pt idx="2">
                  <c:v>-0.10000000000154299</c:v>
                </c:pt>
                <c:pt idx="3">
                  <c:v>-0.20000000000130999</c:v>
                </c:pt>
                <c:pt idx="4">
                  <c:v>-0.40000000000084401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-0.70000000000014495</c:v>
                </c:pt>
                <c:pt idx="8">
                  <c:v>-1.20000000000076</c:v>
                </c:pt>
                <c:pt idx="9">
                  <c:v>-1.4000000000002899</c:v>
                </c:pt>
                <c:pt idx="10">
                  <c:v>-1.0000000000012199</c:v>
                </c:pt>
                <c:pt idx="11">
                  <c:v>-1.80000000000113</c:v>
                </c:pt>
                <c:pt idx="12">
                  <c:v>-2.0000000000006701</c:v>
                </c:pt>
                <c:pt idx="13">
                  <c:v>-2.2999999999999701</c:v>
                </c:pt>
                <c:pt idx="14">
                  <c:v>-2.4000000000015098</c:v>
                </c:pt>
                <c:pt idx="15">
                  <c:v>-2.59999999999039</c:v>
                </c:pt>
                <c:pt idx="16">
                  <c:v>-2.5000000000012799</c:v>
                </c:pt>
                <c:pt idx="17">
                  <c:v>-2.9999999999912301</c:v>
                </c:pt>
                <c:pt idx="18">
                  <c:v>-2.9000000000003499</c:v>
                </c:pt>
              </c:numCache>
            </c:numRef>
          </c:val>
        </c:ser>
        <c:dLbls/>
        <c:marker val="1"/>
        <c:axId val="394396800"/>
        <c:axId val="394399104"/>
      </c:lineChart>
      <c:lineChart>
        <c:grouping val="standard"/>
        <c:ser>
          <c:idx val="3"/>
          <c:order val="3"/>
          <c:tx>
            <c:strRef>
              <c:f>'zk79+839'!$AG$3:$AG$5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'zk79+839'!$S$6:$S$27</c:f>
              <c:numCache>
                <c:formatCode>m"月"d"日";@</c:formatCode>
                <c:ptCount val="22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  <c:pt idx="11">
                  <c:v>72</c:v>
                </c:pt>
                <c:pt idx="12">
                  <c:v>78</c:v>
                </c:pt>
                <c:pt idx="13">
                  <c:v>84</c:v>
                </c:pt>
                <c:pt idx="14">
                  <c:v>90</c:v>
                </c:pt>
                <c:pt idx="15">
                  <c:v>96</c:v>
                </c:pt>
                <c:pt idx="16">
                  <c:v>102</c:v>
                </c:pt>
                <c:pt idx="17">
                  <c:v>104</c:v>
                </c:pt>
                <c:pt idx="18">
                  <c:v>107</c:v>
                </c:pt>
              </c:numCache>
            </c:numRef>
          </c:val>
        </c:ser>
        <c:dLbls/>
        <c:marker val="1"/>
        <c:axId val="394413568"/>
        <c:axId val="394415104"/>
      </c:lineChart>
      <c:dateAx>
        <c:axId val="3943968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399104"/>
        <c:crossesAt val="-50"/>
        <c:auto val="1"/>
        <c:lblOffset val="100"/>
        <c:baseTimeUnit val="days"/>
      </c:dateAx>
      <c:valAx>
        <c:axId val="39439910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396800"/>
        <c:crosses val="autoZero"/>
        <c:crossBetween val="midCat"/>
        <c:majorUnit val="1"/>
        <c:minorUnit val="0.1"/>
      </c:valAx>
      <c:dateAx>
        <c:axId val="3944135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4415104"/>
        <c:crosses val="autoZero"/>
        <c:auto val="1"/>
        <c:lblOffset val="100"/>
        <c:baseTimeUnit val="days"/>
      </c:dateAx>
      <c:valAx>
        <c:axId val="39441510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41356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839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'zk79+839'!$C$4:$G$4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'zk79+839'!$A$6:$A$38</c:f>
              <c:numCache>
                <c:formatCode>m"月"d"日";@</c:formatCode>
                <c:ptCount val="33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'zk79+839'!$G$6:$G$34</c:f>
              <c:numCache>
                <c:formatCode>0.00_ </c:formatCode>
                <c:ptCount val="29"/>
                <c:pt idx="0">
                  <c:v>0</c:v>
                </c:pt>
                <c:pt idx="1">
                  <c:v>-0.39999999989959201</c:v>
                </c:pt>
                <c:pt idx="2">
                  <c:v>-0.10000000008858501</c:v>
                </c:pt>
                <c:pt idx="3">
                  <c:v>0.20000000006348301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0.30000000003838101</c:v>
                </c:pt>
                <c:pt idx="11">
                  <c:v>-0.70000000005165897</c:v>
                </c:pt>
                <c:pt idx="12">
                  <c:v>-0.199999999949796</c:v>
                </c:pt>
                <c:pt idx="13">
                  <c:v>0.69999999993797202</c:v>
                </c:pt>
                <c:pt idx="14">
                  <c:v>-1.09999999995125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0.100000000031741</c:v>
                </c:pt>
                <c:pt idx="19">
                  <c:v>-3.30000000008113</c:v>
                </c:pt>
              </c:numCache>
            </c:numRef>
          </c:val>
        </c:ser>
        <c:ser>
          <c:idx val="1"/>
          <c:order val="1"/>
          <c:tx>
            <c:strRef>
              <c:f>'zk79+839'!$H$4:$L$4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'zk79+839'!$A$6:$A$38</c:f>
              <c:numCache>
                <c:formatCode>m"月"d"日";@</c:formatCode>
                <c:ptCount val="33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'zk79+839'!$L$6:$L$35</c:f>
              <c:numCache>
                <c:formatCode>0.00_ </c:formatCode>
                <c:ptCount val="30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0.10000000008858501</c:v>
                </c:pt>
                <c:pt idx="5">
                  <c:v>-0.49999999998817701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0.199999999949796</c:v>
                </c:pt>
                <c:pt idx="9">
                  <c:v>-0.59999999996307496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0.70000000005165897</c:v>
                </c:pt>
                <c:pt idx="15">
                  <c:v>-0.55000000003246896</c:v>
                </c:pt>
                <c:pt idx="16">
                  <c:v>-9.9999999974897905E-2</c:v>
                </c:pt>
                <c:pt idx="17">
                  <c:v>9.9999999974897905E-2</c:v>
                </c:pt>
                <c:pt idx="18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'zk79+839'!$M$4:$Q$4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'zk79+839'!$A$6:$A$38</c:f>
              <c:numCache>
                <c:formatCode>m"月"d"日";@</c:formatCode>
                <c:ptCount val="33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'zk79+839'!$Q$6:$Q$31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-9.9999999974897905E-2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0</c:v>
                </c:pt>
                <c:pt idx="11">
                  <c:v>-0.40000000001327901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4.9999999987449001E-2</c:v>
                </c:pt>
              </c:numCache>
            </c:numRef>
          </c:val>
        </c:ser>
        <c:dLbls/>
        <c:marker val="1"/>
        <c:axId val="394534272"/>
        <c:axId val="394553216"/>
      </c:lineChart>
      <c:dateAx>
        <c:axId val="3945342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553216"/>
        <c:crossesAt val="-50"/>
        <c:auto val="1"/>
        <c:lblOffset val="100"/>
        <c:baseTimeUnit val="days"/>
      </c:dateAx>
      <c:valAx>
        <c:axId val="39455321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53427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9+839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'zk79+839'!$U$4:$W$4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'zk79+839'!$S$6:$S$41</c:f>
              <c:numCache>
                <c:formatCode>m"月"d"日";@</c:formatCode>
                <c:ptCount val="36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'zk79+839'!$W$6:$W$32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0.50000000000061096</c:v>
                </c:pt>
                <c:pt idx="3">
                  <c:v>0.19999999999953399</c:v>
                </c:pt>
                <c:pt idx="4">
                  <c:v>0.20000000000130999</c:v>
                </c:pt>
                <c:pt idx="5">
                  <c:v>9.99999999997669E-2</c:v>
                </c:pt>
                <c:pt idx="6">
                  <c:v>0.29999999999930099</c:v>
                </c:pt>
                <c:pt idx="7">
                  <c:v>0.19999999999953399</c:v>
                </c:pt>
                <c:pt idx="8">
                  <c:v>-9.99999999997669E-2</c:v>
                </c:pt>
                <c:pt idx="9">
                  <c:v>0.50000000000061096</c:v>
                </c:pt>
                <c:pt idx="10">
                  <c:v>0.19999999999953399</c:v>
                </c:pt>
                <c:pt idx="11">
                  <c:v>-0.29999999999930099</c:v>
                </c:pt>
                <c:pt idx="12">
                  <c:v>0.70000000000014495</c:v>
                </c:pt>
                <c:pt idx="13">
                  <c:v>0.19999999998887599</c:v>
                </c:pt>
                <c:pt idx="14">
                  <c:v>-0.39999999999018598</c:v>
                </c:pt>
                <c:pt idx="15">
                  <c:v>0.399999999995515</c:v>
                </c:pt>
                <c:pt idx="16">
                  <c:v>9.99999999997669E-2</c:v>
                </c:pt>
                <c:pt idx="17">
                  <c:v>9.99999999997669E-2</c:v>
                </c:pt>
                <c:pt idx="18">
                  <c:v>-0.19999999999509299</c:v>
                </c:pt>
                <c:pt idx="19">
                  <c:v>-2.9000000000003499</c:v>
                </c:pt>
              </c:numCache>
            </c:numRef>
          </c:val>
        </c:ser>
        <c:ser>
          <c:idx val="1"/>
          <c:order val="1"/>
          <c:tx>
            <c:strRef>
              <c:f>'zk79+839'!$Y$4:$AA$4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'zk79+839'!$S$6:$S$41</c:f>
              <c:numCache>
                <c:formatCode>m"月"d"日";@</c:formatCode>
                <c:ptCount val="36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-0.39999999999906799</c:v>
                </c:pt>
                <c:pt idx="2">
                  <c:v>-0.19999999999953399</c:v>
                </c:pt>
                <c:pt idx="3">
                  <c:v>0.39999999999906799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-9.99999999997669E-2</c:v>
                </c:pt>
                <c:pt idx="7">
                  <c:v>-0.30000000000107702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-0.70000000000014495</c:v>
                </c:pt>
                <c:pt idx="11">
                  <c:v>-0.19999999999953399</c:v>
                </c:pt>
                <c:pt idx="12">
                  <c:v>-0.39999999999906799</c:v>
                </c:pt>
                <c:pt idx="13">
                  <c:v>0</c:v>
                </c:pt>
                <c:pt idx="14">
                  <c:v>-0.20000000000130999</c:v>
                </c:pt>
                <c:pt idx="15">
                  <c:v>-9.99999999997669E-2</c:v>
                </c:pt>
                <c:pt idx="16">
                  <c:v>-4.9999999999883499E-2</c:v>
                </c:pt>
                <c:pt idx="17">
                  <c:v>-0.14999999999965</c:v>
                </c:pt>
                <c:pt idx="18">
                  <c:v>4.9999999999883499E-2</c:v>
                </c:pt>
                <c:pt idx="19">
                  <c:v>-0.126086956521754</c:v>
                </c:pt>
              </c:numCache>
            </c:numRef>
          </c:val>
        </c:ser>
        <c:ser>
          <c:idx val="2"/>
          <c:order val="2"/>
          <c:tx>
            <c:strRef>
              <c:f>'zk79+839'!$AC$4:$AE$4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'zk79+839'!$S$6:$S$41</c:f>
              <c:numCache>
                <c:formatCode>m"月"d"日";@</c:formatCode>
                <c:ptCount val="36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-0.30000000000107702</c:v>
                </c:pt>
                <c:pt idx="2">
                  <c:v>0.19999999999953399</c:v>
                </c:pt>
                <c:pt idx="3">
                  <c:v>-9.99999999997669E-2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0.39999999999906799</c:v>
                </c:pt>
                <c:pt idx="11">
                  <c:v>-0.799999999999912</c:v>
                </c:pt>
                <c:pt idx="12">
                  <c:v>-0.19999999999953399</c:v>
                </c:pt>
                <c:pt idx="13">
                  <c:v>-0.29999999999930099</c:v>
                </c:pt>
                <c:pt idx="14">
                  <c:v>-0.10000000000154299</c:v>
                </c:pt>
                <c:pt idx="15">
                  <c:v>-9.9999999994437899E-2</c:v>
                </c:pt>
                <c:pt idx="16">
                  <c:v>4.99999999945544E-2</c:v>
                </c:pt>
                <c:pt idx="17">
                  <c:v>-0.24999999999497599</c:v>
                </c:pt>
                <c:pt idx="18">
                  <c:v>4.99999999954426E-2</c:v>
                </c:pt>
              </c:numCache>
            </c:numRef>
          </c:val>
        </c:ser>
        <c:dLbls/>
        <c:marker val="1"/>
        <c:axId val="394617216"/>
        <c:axId val="394619520"/>
      </c:lineChart>
      <c:dateAx>
        <c:axId val="3946172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619520"/>
        <c:crossesAt val="-50"/>
        <c:auto val="1"/>
        <c:lblOffset val="100"/>
        <c:baseTimeUnit val="days"/>
      </c:dateAx>
      <c:valAx>
        <c:axId val="3946195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6172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839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'zk79+839'!$C$4:$G$4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'zk79+839'!$A$6:$A$34</c:f>
              <c:numCache>
                <c:formatCode>m"月"d"日";@</c:formatCode>
                <c:ptCount val="29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'zk79+839'!$F$6:$F$29</c:f>
              <c:numCache>
                <c:formatCode>0.00_ </c:formatCode>
                <c:ptCount val="24"/>
                <c:pt idx="0">
                  <c:v>0</c:v>
                </c:pt>
                <c:pt idx="1">
                  <c:v>-0.39999999989959201</c:v>
                </c:pt>
                <c:pt idx="2">
                  <c:v>-0.49999999998817701</c:v>
                </c:pt>
                <c:pt idx="3">
                  <c:v>-0.29999999992469401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-0.99999999997635303</c:v>
                </c:pt>
                <c:pt idx="7">
                  <c:v>-0.90000000000145497</c:v>
                </c:pt>
                <c:pt idx="8">
                  <c:v>-1.39999999998963</c:v>
                </c:pt>
                <c:pt idx="9">
                  <c:v>-1.5999999999394301</c:v>
                </c:pt>
                <c:pt idx="10">
                  <c:v>-1.2999999999010501</c:v>
                </c:pt>
                <c:pt idx="11">
                  <c:v>-1.9999999999527101</c:v>
                </c:pt>
                <c:pt idx="12">
                  <c:v>-2.1999999999024999</c:v>
                </c:pt>
                <c:pt idx="13">
                  <c:v>-1.4999999999645299</c:v>
                </c:pt>
                <c:pt idx="14">
                  <c:v>-2.5999999999157799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-3.1999999999925399</c:v>
                </c:pt>
                <c:pt idx="18">
                  <c:v>-2.9999999999290599</c:v>
                </c:pt>
                <c:pt idx="19">
                  <c:v>-3.1999999999925399</c:v>
                </c:pt>
              </c:numCache>
            </c:numRef>
          </c:val>
        </c:ser>
        <c:ser>
          <c:idx val="1"/>
          <c:order val="1"/>
          <c:tx>
            <c:strRef>
              <c:f>'zk79+839'!$H$4:$L$4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'zk79+839'!$A$6:$A$34</c:f>
              <c:numCache>
                <c:formatCode>m"月"d"日";@</c:formatCode>
                <c:ptCount val="29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'zk79+839'!$K$6:$K$30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-0.70000000005165897</c:v>
                </c:pt>
                <c:pt idx="4">
                  <c:v>-0.59999999996307496</c:v>
                </c:pt>
                <c:pt idx="5">
                  <c:v>-1.09999999995125</c:v>
                </c:pt>
                <c:pt idx="6">
                  <c:v>-1.30000000001473</c:v>
                </c:pt>
                <c:pt idx="7">
                  <c:v>-1.4999999999645299</c:v>
                </c:pt>
                <c:pt idx="8">
                  <c:v>-1.30000000001473</c:v>
                </c:pt>
                <c:pt idx="9">
                  <c:v>-1.8999999999778101</c:v>
                </c:pt>
                <c:pt idx="10">
                  <c:v>-2.1000000000412902</c:v>
                </c:pt>
                <c:pt idx="11">
                  <c:v>-1.8000000000029099</c:v>
                </c:pt>
                <c:pt idx="12">
                  <c:v>-2.5000000000545701</c:v>
                </c:pt>
                <c:pt idx="13">
                  <c:v>-2.70000000000437</c:v>
                </c:pt>
                <c:pt idx="14">
                  <c:v>-1.9999999999527101</c:v>
                </c:pt>
                <c:pt idx="15">
                  <c:v>-3.1000000000176402</c:v>
                </c:pt>
                <c:pt idx="16">
                  <c:v>-3.2999999999674401</c:v>
                </c:pt>
                <c:pt idx="17">
                  <c:v>-3.1000000000176402</c:v>
                </c:pt>
                <c:pt idx="18">
                  <c:v>-3.1999999999925399</c:v>
                </c:pt>
                <c:pt idx="19">
                  <c:v>-0.14347826087309201</c:v>
                </c:pt>
              </c:numCache>
            </c:numRef>
          </c:val>
        </c:ser>
        <c:ser>
          <c:idx val="2"/>
          <c:order val="2"/>
          <c:tx>
            <c:strRef>
              <c:f>'zk79+839'!$M$4:$Q$4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'zk79+839'!$A$6:$A$34</c:f>
              <c:numCache>
                <c:formatCode>m"月"d"日";@</c:formatCode>
                <c:ptCount val="29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'zk79+839'!$P$6:$P$28</c:f>
              <c:numCache>
                <c:formatCode>0.00_ </c:formatCode>
                <c:ptCount val="23"/>
                <c:pt idx="0">
                  <c:v>0</c:v>
                </c:pt>
                <c:pt idx="1">
                  <c:v>-0.30000000003838101</c:v>
                </c:pt>
                <c:pt idx="2">
                  <c:v>-0.50000000010186296</c:v>
                </c:pt>
                <c:pt idx="3">
                  <c:v>-0.70000000005165897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-1.2000000000398401</c:v>
                </c:pt>
                <c:pt idx="7">
                  <c:v>-1.30000000001473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-1.8000000000029099</c:v>
                </c:pt>
                <c:pt idx="11">
                  <c:v>-2.2000000000161899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-2.5000000000545701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-3.30000000008113</c:v>
                </c:pt>
              </c:numCache>
            </c:numRef>
          </c:val>
        </c:ser>
        <c:dLbls/>
        <c:marker val="1"/>
        <c:axId val="394707712"/>
        <c:axId val="394710016"/>
      </c:lineChart>
      <c:lineChart>
        <c:grouping val="standard"/>
        <c:ser>
          <c:idx val="3"/>
          <c:order val="3"/>
          <c:tx>
            <c:strRef>
              <c:f>'zk79+839'!$AG$3:$AG$5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'zk79+839'!$A$6:$A$34</c:f>
              <c:numCache>
                <c:formatCode>m"月"d"日";@</c:formatCode>
                <c:ptCount val="29"/>
                <c:pt idx="0">
                  <c:v>44708</c:v>
                </c:pt>
                <c:pt idx="1">
                  <c:v>44709</c:v>
                </c:pt>
                <c:pt idx="2">
                  <c:v>44710</c:v>
                </c:pt>
                <c:pt idx="3">
                  <c:v>44711</c:v>
                </c:pt>
                <c:pt idx="4">
                  <c:v>44712</c:v>
                </c:pt>
                <c:pt idx="5">
                  <c:v>44713</c:v>
                </c:pt>
                <c:pt idx="6">
                  <c:v>44714</c:v>
                </c:pt>
                <c:pt idx="7">
                  <c:v>44715</c:v>
                </c:pt>
                <c:pt idx="8">
                  <c:v>44716</c:v>
                </c:pt>
                <c:pt idx="9">
                  <c:v>44717</c:v>
                </c:pt>
                <c:pt idx="10">
                  <c:v>44718</c:v>
                </c:pt>
                <c:pt idx="11">
                  <c:v>44719</c:v>
                </c:pt>
                <c:pt idx="12">
                  <c:v>44720</c:v>
                </c:pt>
                <c:pt idx="13">
                  <c:v>44721</c:v>
                </c:pt>
                <c:pt idx="14">
                  <c:v>44722</c:v>
                </c:pt>
                <c:pt idx="15">
                  <c:v>44724</c:v>
                </c:pt>
                <c:pt idx="16">
                  <c:v>44726</c:v>
                </c:pt>
                <c:pt idx="17">
                  <c:v>44728</c:v>
                </c:pt>
                <c:pt idx="18">
                  <c:v>44730</c:v>
                </c:pt>
              </c:numCache>
            </c:numRef>
          </c:cat>
          <c:val>
            <c:numRef>
              <c:f>'zk79+839'!$AG$6:$AG$31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  <c:pt idx="10">
                  <c:v>66</c:v>
                </c:pt>
                <c:pt idx="11">
                  <c:v>72</c:v>
                </c:pt>
                <c:pt idx="12">
                  <c:v>78</c:v>
                </c:pt>
                <c:pt idx="13">
                  <c:v>84</c:v>
                </c:pt>
                <c:pt idx="14">
                  <c:v>90</c:v>
                </c:pt>
                <c:pt idx="15">
                  <c:v>96</c:v>
                </c:pt>
                <c:pt idx="16">
                  <c:v>102</c:v>
                </c:pt>
                <c:pt idx="17">
                  <c:v>104</c:v>
                </c:pt>
                <c:pt idx="18">
                  <c:v>107</c:v>
                </c:pt>
              </c:numCache>
            </c:numRef>
          </c:val>
        </c:ser>
        <c:dLbls/>
        <c:marker val="1"/>
        <c:axId val="394712192"/>
        <c:axId val="394713728"/>
      </c:lineChart>
      <c:dateAx>
        <c:axId val="3947077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710016"/>
        <c:crossesAt val="-50"/>
        <c:auto val="1"/>
        <c:lblOffset val="100"/>
        <c:baseTimeUnit val="days"/>
      </c:dateAx>
      <c:valAx>
        <c:axId val="39471001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707712"/>
        <c:crosses val="autoZero"/>
        <c:crossBetween val="midCat"/>
        <c:majorUnit val="1"/>
        <c:minorUnit val="0.5"/>
      </c:valAx>
      <c:dateAx>
        <c:axId val="3947121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4713728"/>
        <c:crosses val="autoZero"/>
        <c:auto val="1"/>
        <c:lblOffset val="100"/>
        <c:baseTimeUnit val="days"/>
      </c:dateAx>
      <c:valAx>
        <c:axId val="39471372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71219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+870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'zk79+870'!$U$4:$W$4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'zk79+870'!$S$6:$S$27</c:f>
              <c:numCache>
                <c:formatCode>m"月"d"日";@</c:formatCode>
                <c:ptCount val="22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-0.799999999999912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-1.1999999999989801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-1.7999999999993599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-2.2999999999999701</c:v>
                </c:pt>
                <c:pt idx="13">
                  <c:v>-2.59999999999039</c:v>
                </c:pt>
                <c:pt idx="14">
                  <c:v>-2.7999999999899199</c:v>
                </c:pt>
                <c:pt idx="15">
                  <c:v>-3.0000000000001101</c:v>
                </c:pt>
                <c:pt idx="16">
                  <c:v>-3.0999999999998802</c:v>
                </c:pt>
                <c:pt idx="17">
                  <c:v>-3.3999999999991801</c:v>
                </c:pt>
              </c:numCache>
            </c:numRef>
          </c:val>
        </c:ser>
        <c:ser>
          <c:idx val="1"/>
          <c:order val="1"/>
          <c:tx>
            <c:strRef>
              <c:f>'zk79+870'!$Y$4:$AA$4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'zk79+870'!$S$6:$S$27</c:f>
              <c:numCache>
                <c:formatCode>m"月"d"日";@</c:formatCode>
                <c:ptCount val="22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'zk79+870'!$Z$6:$Z$33</c:f>
              <c:numCache>
                <c:formatCode>0.00_ </c:formatCode>
                <c:ptCount val="28"/>
                <c:pt idx="0">
                  <c:v>0</c:v>
                </c:pt>
                <c:pt idx="1">
                  <c:v>-0.39999999999906799</c:v>
                </c:pt>
                <c:pt idx="2">
                  <c:v>-0.60000000000037801</c:v>
                </c:pt>
                <c:pt idx="3">
                  <c:v>-0.799999999999912</c:v>
                </c:pt>
                <c:pt idx="4">
                  <c:v>-0.39999999999906799</c:v>
                </c:pt>
                <c:pt idx="5">
                  <c:v>-1.20000000000076</c:v>
                </c:pt>
                <c:pt idx="6">
                  <c:v>-1.4000000000002899</c:v>
                </c:pt>
                <c:pt idx="7">
                  <c:v>-1.0999999999992101</c:v>
                </c:pt>
                <c:pt idx="8">
                  <c:v>-1.7999999999993599</c:v>
                </c:pt>
                <c:pt idx="9">
                  <c:v>-2.0000000000006701</c:v>
                </c:pt>
                <c:pt idx="10">
                  <c:v>-2.3999999999997401</c:v>
                </c:pt>
                <c:pt idx="11">
                  <c:v>-2.3999999999997401</c:v>
                </c:pt>
                <c:pt idx="12">
                  <c:v>-2.59999999999927</c:v>
                </c:pt>
                <c:pt idx="13">
                  <c:v>-2.9000000000003499</c:v>
                </c:pt>
                <c:pt idx="14">
                  <c:v>-3.0000000000001101</c:v>
                </c:pt>
                <c:pt idx="15">
                  <c:v>-3.1999999999996498</c:v>
                </c:pt>
                <c:pt idx="16">
                  <c:v>-3.3999999999991801</c:v>
                </c:pt>
                <c:pt idx="17">
                  <c:v>-3.1999999999889899</c:v>
                </c:pt>
              </c:numCache>
            </c:numRef>
          </c:val>
        </c:ser>
        <c:ser>
          <c:idx val="2"/>
          <c:order val="2"/>
          <c:tx>
            <c:strRef>
              <c:f>'zk79+870'!$AC$4:$AE$4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'zk79+870'!$S$6:$S$27</c:f>
              <c:numCache>
                <c:formatCode>m"月"d"日";@</c:formatCode>
                <c:ptCount val="22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-0.999999999999446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-1.8999999999991199</c:v>
                </c:pt>
                <c:pt idx="12">
                  <c:v>-2.3999999999890802</c:v>
                </c:pt>
                <c:pt idx="13">
                  <c:v>-2.59999999999039</c:v>
                </c:pt>
                <c:pt idx="14">
                  <c:v>-2.6999999999990401</c:v>
                </c:pt>
                <c:pt idx="15">
                  <c:v>-2.99999999998946</c:v>
                </c:pt>
                <c:pt idx="16">
                  <c:v>-3.1999999999889899</c:v>
                </c:pt>
              </c:numCache>
            </c:numRef>
          </c:val>
        </c:ser>
        <c:dLbls/>
        <c:marker val="1"/>
        <c:axId val="394830592"/>
        <c:axId val="394832896"/>
      </c:lineChart>
      <c:lineChart>
        <c:grouping val="standard"/>
        <c:ser>
          <c:idx val="3"/>
          <c:order val="3"/>
          <c:tx>
            <c:strRef>
              <c:f>'zk79+870'!$AG$3:$AG$5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'zk79+870'!$S$6:$S$27</c:f>
              <c:numCache>
                <c:formatCode>m"月"d"日";@</c:formatCode>
                <c:ptCount val="22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55</c:v>
                </c:pt>
                <c:pt idx="15">
                  <c:v>61</c:v>
                </c:pt>
                <c:pt idx="16">
                  <c:v>67</c:v>
                </c:pt>
              </c:numCache>
            </c:numRef>
          </c:val>
        </c:ser>
        <c:dLbls/>
        <c:marker val="1"/>
        <c:axId val="394835072"/>
        <c:axId val="394836608"/>
      </c:lineChart>
      <c:dateAx>
        <c:axId val="3948305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832896"/>
        <c:crossesAt val="-50"/>
        <c:auto val="1"/>
        <c:lblOffset val="100"/>
        <c:baseTimeUnit val="days"/>
        <c:majorUnit val="2"/>
        <c:majorTimeUnit val="days"/>
      </c:dateAx>
      <c:valAx>
        <c:axId val="39483289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830592"/>
        <c:crosses val="autoZero"/>
        <c:crossBetween val="midCat"/>
        <c:majorUnit val="1"/>
        <c:minorUnit val="0.1"/>
      </c:valAx>
      <c:dateAx>
        <c:axId val="3948350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4836608"/>
        <c:crosses val="autoZero"/>
        <c:auto val="1"/>
        <c:lblOffset val="100"/>
        <c:baseTimeUnit val="days"/>
      </c:dateAx>
      <c:valAx>
        <c:axId val="39483660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83507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870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'zk79+870'!$C$4:$G$4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'zk79+870'!$A$6:$A$38</c:f>
              <c:numCache>
                <c:formatCode>m"月"d"日";@</c:formatCode>
                <c:ptCount val="33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-0.199999999949796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-0.20000000006348301</c:v>
                </c:pt>
                <c:pt idx="7">
                  <c:v>0.10000000008858501</c:v>
                </c:pt>
                <c:pt idx="8">
                  <c:v>-0.49999999998817701</c:v>
                </c:pt>
                <c:pt idx="9">
                  <c:v>-0.20000000006348301</c:v>
                </c:pt>
                <c:pt idx="10">
                  <c:v>0.20000000006348301</c:v>
                </c:pt>
                <c:pt idx="11">
                  <c:v>-0.60000000007676102</c:v>
                </c:pt>
                <c:pt idx="12">
                  <c:v>-0.199999999949796</c:v>
                </c:pt>
                <c:pt idx="13">
                  <c:v>0.29999999992469401</c:v>
                </c:pt>
                <c:pt idx="14">
                  <c:v>-0.69999999993797202</c:v>
                </c:pt>
                <c:pt idx="15">
                  <c:v>-0.100000000031741</c:v>
                </c:pt>
                <c:pt idx="16">
                  <c:v>5.0000000044292399E-2</c:v>
                </c:pt>
                <c:pt idx="17">
                  <c:v>-1.9999999999527101</c:v>
                </c:pt>
              </c:numCache>
            </c:numRef>
          </c:val>
        </c:ser>
        <c:ser>
          <c:idx val="1"/>
          <c:order val="1"/>
          <c:tx>
            <c:strRef>
              <c:f>'zk79+870'!$H$4:$L$4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'zk79+870'!$A$6:$A$38</c:f>
              <c:numCache>
                <c:formatCode>m"月"d"日";@</c:formatCode>
                <c:ptCount val="33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0.30000000003838101</c:v>
                </c:pt>
                <c:pt idx="4">
                  <c:v>-0.70000000005165897</c:v>
                </c:pt>
                <c:pt idx="5">
                  <c:v>-0.199999999949796</c:v>
                </c:pt>
                <c:pt idx="6">
                  <c:v>0.49999999998817701</c:v>
                </c:pt>
                <c:pt idx="7">
                  <c:v>-0.90000000000145497</c:v>
                </c:pt>
                <c:pt idx="8">
                  <c:v>-0.199999999949796</c:v>
                </c:pt>
                <c:pt idx="9">
                  <c:v>-0.40000000001327901</c:v>
                </c:pt>
                <c:pt idx="10">
                  <c:v>0</c:v>
                </c:pt>
                <c:pt idx="11">
                  <c:v>-0.20000000006348301</c:v>
                </c:pt>
                <c:pt idx="12">
                  <c:v>-0.29999999992469401</c:v>
                </c:pt>
                <c:pt idx="13">
                  <c:v>-0.10000000008858501</c:v>
                </c:pt>
                <c:pt idx="14">
                  <c:v>-0.199999999949796</c:v>
                </c:pt>
                <c:pt idx="15">
                  <c:v>9.9999999974897905E-2</c:v>
                </c:pt>
                <c:pt idx="16">
                  <c:v>-0.149999999962347</c:v>
                </c:pt>
              </c:numCache>
            </c:numRef>
          </c:val>
        </c:ser>
        <c:ser>
          <c:idx val="2"/>
          <c:order val="2"/>
          <c:tx>
            <c:strRef>
              <c:f>'zk79+870'!$M$4:$Q$4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'zk79+870'!$A$6:$A$38</c:f>
              <c:numCache>
                <c:formatCode>m"月"d"日";@</c:formatCode>
                <c:ptCount val="33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'zk79+870'!$Q$6:$Q$31</c:f>
              <c:numCache>
                <c:formatCode>0.00_ </c:formatCode>
                <c:ptCount val="26"/>
                <c:pt idx="0">
                  <c:v>0</c:v>
                </c:pt>
                <c:pt idx="1">
                  <c:v>-9.9999999974897905E-2</c:v>
                </c:pt>
                <c:pt idx="2">
                  <c:v>-0.30000000003838101</c:v>
                </c:pt>
                <c:pt idx="3">
                  <c:v>9.9999999974897905E-2</c:v>
                </c:pt>
                <c:pt idx="4">
                  <c:v>-9.9999999974897905E-2</c:v>
                </c:pt>
                <c:pt idx="5">
                  <c:v>-0.40000000001327901</c:v>
                </c:pt>
                <c:pt idx="6">
                  <c:v>0.20000000006348301</c:v>
                </c:pt>
                <c:pt idx="7">
                  <c:v>-0.10000000008858501</c:v>
                </c:pt>
                <c:pt idx="8">
                  <c:v>-9.9999999974897905E-2</c:v>
                </c:pt>
                <c:pt idx="9">
                  <c:v>-0.40000000001327901</c:v>
                </c:pt>
                <c:pt idx="10">
                  <c:v>0.20000000006348301</c:v>
                </c:pt>
                <c:pt idx="11">
                  <c:v>-0.10000000008858501</c:v>
                </c:pt>
                <c:pt idx="12">
                  <c:v>-0.49999999998817701</c:v>
                </c:pt>
                <c:pt idx="13">
                  <c:v>0.30000000003838101</c:v>
                </c:pt>
                <c:pt idx="14">
                  <c:v>-9.9999999974897905E-2</c:v>
                </c:pt>
                <c:pt idx="15">
                  <c:v>-0.20000000000663901</c:v>
                </c:pt>
                <c:pt idx="16">
                  <c:v>-9.9999999974897905E-2</c:v>
                </c:pt>
              </c:numCache>
            </c:numRef>
          </c:val>
        </c:ser>
        <c:dLbls/>
        <c:marker val="1"/>
        <c:axId val="394767360"/>
        <c:axId val="394778112"/>
      </c:lineChart>
      <c:dateAx>
        <c:axId val="3947673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778112"/>
        <c:crossesAt val="-50"/>
        <c:auto val="1"/>
        <c:lblOffset val="100"/>
        <c:baseTimeUnit val="days"/>
        <c:majorUnit val="2"/>
        <c:majorTimeUnit val="days"/>
      </c:dateAx>
      <c:valAx>
        <c:axId val="39477811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76736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9+870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'zk79+870'!$U$4:$W$4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'zk79+870'!$S$6:$S$41</c:f>
              <c:numCache>
                <c:formatCode>m"月"d"日";@</c:formatCode>
                <c:ptCount val="36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0.60000000000037801</c:v>
                </c:pt>
                <c:pt idx="3">
                  <c:v>-0.19999999999953399</c:v>
                </c:pt>
                <c:pt idx="4">
                  <c:v>0.19999999999953399</c:v>
                </c:pt>
                <c:pt idx="5">
                  <c:v>0.39999999999906799</c:v>
                </c:pt>
                <c:pt idx="6">
                  <c:v>0</c:v>
                </c:pt>
                <c:pt idx="7">
                  <c:v>0.20000000000130999</c:v>
                </c:pt>
                <c:pt idx="8">
                  <c:v>9.99999999997669E-2</c:v>
                </c:pt>
                <c:pt idx="9">
                  <c:v>0.29999999999930099</c:v>
                </c:pt>
                <c:pt idx="10">
                  <c:v>0.20000000000130999</c:v>
                </c:pt>
                <c:pt idx="11">
                  <c:v>0.19999999999953399</c:v>
                </c:pt>
                <c:pt idx="12">
                  <c:v>9.99999999997669E-2</c:v>
                </c:pt>
                <c:pt idx="13">
                  <c:v>0.29999999999041899</c:v>
                </c:pt>
                <c:pt idx="14">
                  <c:v>0.19999999999953399</c:v>
                </c:pt>
                <c:pt idx="15">
                  <c:v>0.100000000005096</c:v>
                </c:pt>
                <c:pt idx="16">
                  <c:v>4.9999999999883499E-2</c:v>
                </c:pt>
                <c:pt idx="17">
                  <c:v>-3.1999999999889899</c:v>
                </c:pt>
              </c:numCache>
            </c:numRef>
          </c:val>
        </c:ser>
        <c:ser>
          <c:idx val="1"/>
          <c:order val="1"/>
          <c:tx>
            <c:strRef>
              <c:f>'zk79+870'!$Y$4:$AA$4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'zk79+870'!$S$6:$S$41</c:f>
              <c:numCache>
                <c:formatCode>m"月"d"日";@</c:formatCode>
                <c:ptCount val="36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-0.39999999999906799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0.40000000000084401</c:v>
                </c:pt>
                <c:pt idx="5">
                  <c:v>-0.80000000000168803</c:v>
                </c:pt>
                <c:pt idx="6">
                  <c:v>-0.19999999999953399</c:v>
                </c:pt>
                <c:pt idx="7">
                  <c:v>0.30000000000107702</c:v>
                </c:pt>
                <c:pt idx="8">
                  <c:v>-0.70000000000014495</c:v>
                </c:pt>
                <c:pt idx="9">
                  <c:v>-0.20000000000130999</c:v>
                </c:pt>
                <c:pt idx="10">
                  <c:v>-0.39999999999906799</c:v>
                </c:pt>
                <c:pt idx="11">
                  <c:v>0</c:v>
                </c:pt>
                <c:pt idx="12">
                  <c:v>-0.19999999999953399</c:v>
                </c:pt>
                <c:pt idx="13">
                  <c:v>-0.30000000000107702</c:v>
                </c:pt>
                <c:pt idx="14">
                  <c:v>-9.99999999997669E-2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-0.16999999999995899</c:v>
                </c:pt>
              </c:numCache>
            </c:numRef>
          </c:val>
        </c:ser>
        <c:ser>
          <c:idx val="2"/>
          <c:order val="2"/>
          <c:tx>
            <c:strRef>
              <c:f>'zk79+870'!$AC$4:$AE$4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'zk79+870'!$S$6:$S$41</c:f>
              <c:numCache>
                <c:formatCode>m"月"d"日";@</c:formatCode>
                <c:ptCount val="36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-0.50000000000061096</c:v>
                </c:pt>
                <c:pt idx="4">
                  <c:v>-0.19999999999953399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-0.20000000000130999</c:v>
                </c:pt>
                <c:pt idx="8">
                  <c:v>0.40000000000084401</c:v>
                </c:pt>
                <c:pt idx="9">
                  <c:v>-0.799999999999912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-0.49999999998995298</c:v>
                </c:pt>
                <c:pt idx="13">
                  <c:v>-0.20000000000130999</c:v>
                </c:pt>
                <c:pt idx="14">
                  <c:v>-0.100000000008649</c:v>
                </c:pt>
                <c:pt idx="15">
                  <c:v>-0.14999999999520999</c:v>
                </c:pt>
                <c:pt idx="16">
                  <c:v>-9.99999999997669E-2</c:v>
                </c:pt>
              </c:numCache>
            </c:numRef>
          </c:val>
        </c:ser>
        <c:dLbls/>
        <c:marker val="1"/>
        <c:axId val="394915840"/>
        <c:axId val="394918144"/>
      </c:lineChart>
      <c:dateAx>
        <c:axId val="3949158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918144"/>
        <c:crossesAt val="-50"/>
        <c:auto val="1"/>
        <c:lblOffset val="100"/>
        <c:baseTimeUnit val="days"/>
      </c:dateAx>
      <c:valAx>
        <c:axId val="39491814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491584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870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'zk79+870'!$C$4:$G$4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'zk79+870'!$A$6:$A$34</c:f>
              <c:numCache>
                <c:formatCode>m"月"d"日";@</c:formatCode>
                <c:ptCount val="29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'zk79+870'!$F$6:$F$29</c:f>
              <c:numCache>
                <c:formatCode>0.00_ </c:formatCode>
                <c:ptCount val="24"/>
                <c:pt idx="0">
                  <c:v>0</c:v>
                </c:pt>
                <c:pt idx="1">
                  <c:v>-0.20000000006348301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-0.40000000001327901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-0.99999999997635303</c:v>
                </c:pt>
                <c:pt idx="8">
                  <c:v>-1.4999999999645299</c:v>
                </c:pt>
                <c:pt idx="9">
                  <c:v>-1.70000000002801</c:v>
                </c:pt>
                <c:pt idx="10">
                  <c:v>-1.4999999999645299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-2.00000000006639</c:v>
                </c:pt>
                <c:pt idx="14">
                  <c:v>-2.70000000000437</c:v>
                </c:pt>
                <c:pt idx="15">
                  <c:v>-2.9000000000678501</c:v>
                </c:pt>
                <c:pt idx="16">
                  <c:v>-2.79999999997926</c:v>
                </c:pt>
                <c:pt idx="17">
                  <c:v>-2.8999999999541601</c:v>
                </c:pt>
              </c:numCache>
            </c:numRef>
          </c:val>
        </c:ser>
        <c:ser>
          <c:idx val="1"/>
          <c:order val="1"/>
          <c:tx>
            <c:strRef>
              <c:f>'zk79+870'!$H$4:$L$4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'zk79+870'!$A$6:$A$34</c:f>
              <c:numCache>
                <c:formatCode>m"月"d"日";@</c:formatCode>
                <c:ptCount val="29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-9.9999999974897905E-2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-0.49999999998817701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-1.9999999999527101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-2.4999999999408802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-2.6000000000294698</c:v>
                </c:pt>
                <c:pt idx="16">
                  <c:v>-2.8999999999541601</c:v>
                </c:pt>
                <c:pt idx="17">
                  <c:v>-9.99999999976353E-2</c:v>
                </c:pt>
              </c:numCache>
            </c:numRef>
          </c:val>
        </c:ser>
        <c:ser>
          <c:idx val="2"/>
          <c:order val="2"/>
          <c:tx>
            <c:strRef>
              <c:f>'zk79+870'!$M$4:$Q$4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'zk79+870'!$A$6:$A$34</c:f>
              <c:numCache>
                <c:formatCode>m"月"d"日";@</c:formatCode>
                <c:ptCount val="29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'zk79+870'!$P$6:$P$28</c:f>
              <c:numCache>
                <c:formatCode>0.00_ </c:formatCode>
                <c:ptCount val="23"/>
                <c:pt idx="0">
                  <c:v>0</c:v>
                </c:pt>
                <c:pt idx="1">
                  <c:v>-9.9999999974897905E-2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-0.40000000001327901</c:v>
                </c:pt>
                <c:pt idx="5">
                  <c:v>-0.80000000002655702</c:v>
                </c:pt>
                <c:pt idx="6">
                  <c:v>-0.59999999996307496</c:v>
                </c:pt>
                <c:pt idx="7">
                  <c:v>-0.70000000005165897</c:v>
                </c:pt>
                <c:pt idx="8">
                  <c:v>-0.80000000002655702</c:v>
                </c:pt>
                <c:pt idx="9">
                  <c:v>-1.2000000000398401</c:v>
                </c:pt>
                <c:pt idx="10">
                  <c:v>-0.99999999997635303</c:v>
                </c:pt>
                <c:pt idx="11">
                  <c:v>-1.1000000000649399</c:v>
                </c:pt>
                <c:pt idx="12">
                  <c:v>-1.60000000005311</c:v>
                </c:pt>
                <c:pt idx="13">
                  <c:v>-1.30000000001473</c:v>
                </c:pt>
                <c:pt idx="14">
                  <c:v>-1.39999999998963</c:v>
                </c:pt>
                <c:pt idx="15">
                  <c:v>-1.8000000000029099</c:v>
                </c:pt>
                <c:pt idx="16">
                  <c:v>-1.9999999999527101</c:v>
                </c:pt>
              </c:numCache>
            </c:numRef>
          </c:val>
        </c:ser>
        <c:dLbls/>
        <c:marker val="1"/>
        <c:axId val="395071872"/>
        <c:axId val="395074176"/>
      </c:lineChart>
      <c:lineChart>
        <c:grouping val="standard"/>
        <c:ser>
          <c:idx val="3"/>
          <c:order val="3"/>
          <c:tx>
            <c:strRef>
              <c:f>'zk79+870'!$AG$3:$AG$5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'zk79+870'!$A$6:$A$34</c:f>
              <c:numCache>
                <c:formatCode>m"月"d"日";@</c:formatCode>
                <c:ptCount val="29"/>
                <c:pt idx="0">
                  <c:v>44713</c:v>
                </c:pt>
                <c:pt idx="1">
                  <c:v>44714</c:v>
                </c:pt>
                <c:pt idx="2">
                  <c:v>44715</c:v>
                </c:pt>
                <c:pt idx="3">
                  <c:v>44716</c:v>
                </c:pt>
                <c:pt idx="4">
                  <c:v>44717</c:v>
                </c:pt>
                <c:pt idx="5">
                  <c:v>44718</c:v>
                </c:pt>
                <c:pt idx="6">
                  <c:v>44719</c:v>
                </c:pt>
                <c:pt idx="7">
                  <c:v>44720</c:v>
                </c:pt>
                <c:pt idx="8">
                  <c:v>44721</c:v>
                </c:pt>
                <c:pt idx="9">
                  <c:v>44722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44729</c:v>
                </c:pt>
                <c:pt idx="16">
                  <c:v>44731</c:v>
                </c:pt>
              </c:numCache>
            </c:numRef>
          </c:cat>
          <c:val>
            <c:numRef>
              <c:f>'zk79+870'!$AG$6:$AG$31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55</c:v>
                </c:pt>
                <c:pt idx="15">
                  <c:v>61</c:v>
                </c:pt>
                <c:pt idx="16">
                  <c:v>67</c:v>
                </c:pt>
              </c:numCache>
            </c:numRef>
          </c:val>
        </c:ser>
        <c:dLbls/>
        <c:marker val="1"/>
        <c:axId val="395088640"/>
        <c:axId val="395090176"/>
      </c:lineChart>
      <c:dateAx>
        <c:axId val="3950718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074176"/>
        <c:crossesAt val="-50"/>
        <c:auto val="1"/>
        <c:lblOffset val="100"/>
        <c:baseTimeUnit val="days"/>
        <c:majorUnit val="2"/>
        <c:majorTimeUnit val="days"/>
      </c:dateAx>
      <c:valAx>
        <c:axId val="395074176"/>
        <c:scaling>
          <c:orientation val="minMax"/>
          <c:max val="2"/>
          <c:min val="-3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071872"/>
        <c:crosses val="autoZero"/>
        <c:crossBetween val="midCat"/>
        <c:majorUnit val="1"/>
        <c:minorUnit val="0.5"/>
      </c:valAx>
      <c:dateAx>
        <c:axId val="3950886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090176"/>
        <c:crosses val="autoZero"/>
        <c:auto val="1"/>
        <c:lblOffset val="100"/>
        <c:baseTimeUnit val="days"/>
      </c:dateAx>
      <c:valAx>
        <c:axId val="39509017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08864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+896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'zk79+896'!$U$4:$W$4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'zk79+896'!$S$6:$S$27</c:f>
              <c:numCache>
                <c:formatCode>m"月"d"日";@</c:formatCode>
                <c:ptCount val="22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'zk79+896'!$V$6:$V$32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-0.50000000000061096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-1.10000000000099</c:v>
                </c:pt>
                <c:pt idx="6">
                  <c:v>-1.3000000000005201</c:v>
                </c:pt>
                <c:pt idx="7">
                  <c:v>-1.3000000000005201</c:v>
                </c:pt>
                <c:pt idx="8">
                  <c:v>-1.70000000000137</c:v>
                </c:pt>
                <c:pt idx="9">
                  <c:v>-1.9000000000009001</c:v>
                </c:pt>
                <c:pt idx="10">
                  <c:v>-1.80000000000113</c:v>
                </c:pt>
                <c:pt idx="11">
                  <c:v>-2.2999999999999701</c:v>
                </c:pt>
                <c:pt idx="12">
                  <c:v>-2.5000000000012799</c:v>
                </c:pt>
                <c:pt idx="13">
                  <c:v>-2.8000000000005798</c:v>
                </c:pt>
                <c:pt idx="14">
                  <c:v>-3.0999999999998802</c:v>
                </c:pt>
                <c:pt idx="15">
                  <c:v>-3.40000000000096</c:v>
                </c:pt>
                <c:pt idx="16">
                  <c:v>-3.40000000000096</c:v>
                </c:pt>
                <c:pt idx="17">
                  <c:v>-4.0000000000013403</c:v>
                </c:pt>
                <c:pt idx="18">
                  <c:v>-4.3000000000006402</c:v>
                </c:pt>
                <c:pt idx="19">
                  <c:v>-0.999999999999446</c:v>
                </c:pt>
              </c:numCache>
            </c:numRef>
          </c:val>
        </c:ser>
        <c:ser>
          <c:idx val="1"/>
          <c:order val="1"/>
          <c:tx>
            <c:strRef>
              <c:f>'zk79+896'!$Y$4:$AA$4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'zk79+896'!$S$6:$S$27</c:f>
              <c:numCache>
                <c:formatCode>m"月"d"日";@</c:formatCode>
                <c:ptCount val="22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'zk79+896'!$Z$6:$Z$33</c:f>
              <c:numCache>
                <c:formatCode>0.00_ </c:formatCode>
                <c:ptCount val="28"/>
                <c:pt idx="0">
                  <c:v>0</c:v>
                </c:pt>
                <c:pt idx="1">
                  <c:v>-0.50000000000061096</c:v>
                </c:pt>
                <c:pt idx="2">
                  <c:v>-0.70000000000014495</c:v>
                </c:pt>
                <c:pt idx="3">
                  <c:v>-0.29999999999930099</c:v>
                </c:pt>
                <c:pt idx="4">
                  <c:v>-0.50000000000061096</c:v>
                </c:pt>
                <c:pt idx="5">
                  <c:v>-0.40000000000084401</c:v>
                </c:pt>
                <c:pt idx="6">
                  <c:v>-0.89999999999967895</c:v>
                </c:pt>
                <c:pt idx="7">
                  <c:v>-1.0999999999992101</c:v>
                </c:pt>
                <c:pt idx="8">
                  <c:v>-1.20000000000076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-1.50000000000006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-2.3999999999997401</c:v>
                </c:pt>
                <c:pt idx="16">
                  <c:v>-2.9000000000003499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-3.1999999999996498</c:v>
                </c:pt>
              </c:numCache>
            </c:numRef>
          </c:val>
        </c:ser>
        <c:ser>
          <c:idx val="2"/>
          <c:order val="2"/>
          <c:tx>
            <c:strRef>
              <c:f>'zk79+896'!$AC$4:$AE$4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'zk79+896'!$S$6:$S$27</c:f>
              <c:numCache>
                <c:formatCode>m"月"d"日";@</c:formatCode>
                <c:ptCount val="22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-0.300000000000189</c:v>
                </c:pt>
                <c:pt idx="2">
                  <c:v>-0.499999999999723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-0.59999999999949005</c:v>
                </c:pt>
                <c:pt idx="6">
                  <c:v>-0.799999999999912</c:v>
                </c:pt>
                <c:pt idx="7">
                  <c:v>-0.999999999999446</c:v>
                </c:pt>
                <c:pt idx="8">
                  <c:v>-0.89999999999967895</c:v>
                </c:pt>
                <c:pt idx="9">
                  <c:v>-1.3999999999993999</c:v>
                </c:pt>
                <c:pt idx="10">
                  <c:v>-1.59999999999982</c:v>
                </c:pt>
                <c:pt idx="11">
                  <c:v>-1.50000000000006</c:v>
                </c:pt>
                <c:pt idx="12">
                  <c:v>-1.99999999999978</c:v>
                </c:pt>
                <c:pt idx="13">
                  <c:v>-2.2000000000002</c:v>
                </c:pt>
                <c:pt idx="14">
                  <c:v>-2.3999999999997401</c:v>
                </c:pt>
                <c:pt idx="15">
                  <c:v>-2.60000000000016</c:v>
                </c:pt>
                <c:pt idx="16">
                  <c:v>-2.6999999999999198</c:v>
                </c:pt>
                <c:pt idx="17">
                  <c:v>-3.0000000000001101</c:v>
                </c:pt>
                <c:pt idx="18">
                  <c:v>-3.1999999999996498</c:v>
                </c:pt>
              </c:numCache>
            </c:numRef>
          </c:val>
        </c:ser>
        <c:dLbls/>
        <c:marker val="1"/>
        <c:axId val="395272576"/>
        <c:axId val="395274880"/>
      </c:lineChart>
      <c:lineChart>
        <c:grouping val="standard"/>
        <c:ser>
          <c:idx val="3"/>
          <c:order val="3"/>
          <c:tx>
            <c:strRef>
              <c:f>'zk79+896'!$AG$3:$AG$5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'zk79+896'!$S$6:$S$27</c:f>
              <c:numCache>
                <c:formatCode>m"月"d"日";@</c:formatCode>
                <c:ptCount val="22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</c:numCache>
            </c:numRef>
          </c:val>
        </c:ser>
        <c:dLbls/>
        <c:marker val="1"/>
        <c:axId val="395297536"/>
        <c:axId val="395299072"/>
      </c:lineChart>
      <c:dateAx>
        <c:axId val="3952725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274880"/>
        <c:crossesAt val="-50"/>
        <c:auto val="1"/>
        <c:lblOffset val="100"/>
        <c:baseTimeUnit val="days"/>
        <c:majorUnit val="2"/>
        <c:majorTimeUnit val="days"/>
      </c:dateAx>
      <c:valAx>
        <c:axId val="395274880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272576"/>
        <c:crosses val="autoZero"/>
        <c:crossBetween val="midCat"/>
        <c:majorUnit val="1.2"/>
        <c:minorUnit val="0.1"/>
      </c:valAx>
      <c:dateAx>
        <c:axId val="3952975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299072"/>
        <c:crosses val="autoZero"/>
        <c:auto val="1"/>
        <c:lblOffset val="100"/>
        <c:baseTimeUnit val="days"/>
      </c:dateAx>
      <c:valAx>
        <c:axId val="395299072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29753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'zk79+896'!$C$4:$G$4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'zk79+896'!$A$6:$A$38</c:f>
              <c:numCache>
                <c:formatCode>m"月"d"日";@</c:formatCode>
                <c:ptCount val="33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-0.20000000006348301</c:v>
                </c:pt>
                <c:pt idx="6">
                  <c:v>-9.9999999974897905E-2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0.30000000003838101</c:v>
                </c:pt>
                <c:pt idx="10">
                  <c:v>-0.70000000005165897</c:v>
                </c:pt>
                <c:pt idx="11">
                  <c:v>-0.199999999949796</c:v>
                </c:pt>
                <c:pt idx="12">
                  <c:v>0.40000000001327901</c:v>
                </c:pt>
                <c:pt idx="13">
                  <c:v>-0.30000000003838101</c:v>
                </c:pt>
                <c:pt idx="14">
                  <c:v>-0.30000000003838101</c:v>
                </c:pt>
                <c:pt idx="15">
                  <c:v>-0.20000000000663901</c:v>
                </c:pt>
                <c:pt idx="16">
                  <c:v>-9.9999999974897905E-2</c:v>
                </c:pt>
                <c:pt idx="17">
                  <c:v>-0.15000000001919001</c:v>
                </c:pt>
                <c:pt idx="18">
                  <c:v>0.15000000001919001</c:v>
                </c:pt>
                <c:pt idx="19">
                  <c:v>-1.00000000009004</c:v>
                </c:pt>
              </c:numCache>
            </c:numRef>
          </c:val>
        </c:ser>
        <c:ser>
          <c:idx val="1"/>
          <c:order val="1"/>
          <c:tx>
            <c:strRef>
              <c:f>'zk79+896'!$H$4:$L$4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'zk79+896'!$A$6:$A$38</c:f>
              <c:numCache>
                <c:formatCode>m"月"d"日";@</c:formatCode>
                <c:ptCount val="33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'zk79+896'!$L$6:$L$35</c:f>
              <c:numCache>
                <c:formatCode>0.00_ 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0.20000000006348301</c:v>
                </c:pt>
                <c:pt idx="3">
                  <c:v>-0.40000000001327901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0.10000000008858501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9.9999999974897905E-2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-9.9999999974897905E-2</c:v>
                </c:pt>
                <c:pt idx="16">
                  <c:v>-4.9999999987449001E-2</c:v>
                </c:pt>
                <c:pt idx="17">
                  <c:v>-0.15000000001919001</c:v>
                </c:pt>
                <c:pt idx="18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'zk79+896'!$M$4:$Q$4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'zk79+896'!$A$6:$A$38</c:f>
              <c:numCache>
                <c:formatCode>m"月"d"日";@</c:formatCode>
                <c:ptCount val="33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0.20000000006348301</c:v>
                </c:pt>
                <c:pt idx="7">
                  <c:v>-0.60000000007676102</c:v>
                </c:pt>
                <c:pt idx="8">
                  <c:v>-0.199999999949796</c:v>
                </c:pt>
                <c:pt idx="9">
                  <c:v>0.30000000003838101</c:v>
                </c:pt>
                <c:pt idx="10">
                  <c:v>-0.70000000005165897</c:v>
                </c:pt>
                <c:pt idx="11">
                  <c:v>0.20000000006348301</c:v>
                </c:pt>
                <c:pt idx="12">
                  <c:v>-0.60000000007676102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-9.9999999974897905E-2</c:v>
                </c:pt>
                <c:pt idx="16">
                  <c:v>-4.9999999987449001E-2</c:v>
                </c:pt>
                <c:pt idx="17">
                  <c:v>-0.15000000001919001</c:v>
                </c:pt>
                <c:pt idx="18">
                  <c:v>-0.100000000031741</c:v>
                </c:pt>
              </c:numCache>
            </c:numRef>
          </c:val>
        </c:ser>
        <c:dLbls/>
        <c:marker val="1"/>
        <c:axId val="395152000"/>
        <c:axId val="395158656"/>
      </c:lineChart>
      <c:dateAx>
        <c:axId val="3951520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158656"/>
        <c:crossesAt val="-50"/>
        <c:auto val="1"/>
        <c:lblOffset val="100"/>
        <c:baseTimeUnit val="days"/>
        <c:majorUnit val="2"/>
        <c:majorTimeUnit val="days"/>
      </c:dateAx>
      <c:valAx>
        <c:axId val="39515865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15200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9+896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'zk79+896'!$U$4:$W$4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'zk79+896'!$S$6:$S$41</c:f>
              <c:numCache>
                <c:formatCode>m"月"d"日";@</c:formatCode>
                <c:ptCount val="36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'zk79+896'!$W$6:$W$32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0.19999999999953399</c:v>
                </c:pt>
                <c:pt idx="3">
                  <c:v>0.19999999999953399</c:v>
                </c:pt>
                <c:pt idx="4">
                  <c:v>9.99999999997669E-2</c:v>
                </c:pt>
                <c:pt idx="5">
                  <c:v>0.30000000000107702</c:v>
                </c:pt>
                <c:pt idx="6">
                  <c:v>0.19999999999953399</c:v>
                </c:pt>
                <c:pt idx="7">
                  <c:v>0</c:v>
                </c:pt>
                <c:pt idx="8">
                  <c:v>0.40000000000084401</c:v>
                </c:pt>
                <c:pt idx="9">
                  <c:v>0.19999999999953399</c:v>
                </c:pt>
                <c:pt idx="10">
                  <c:v>-9.99999999997669E-2</c:v>
                </c:pt>
                <c:pt idx="11">
                  <c:v>0.49999999999883499</c:v>
                </c:pt>
                <c:pt idx="12">
                  <c:v>0.20000000000130999</c:v>
                </c:pt>
                <c:pt idx="13">
                  <c:v>0.29999999999930099</c:v>
                </c:pt>
                <c:pt idx="14">
                  <c:v>0.29999999999930099</c:v>
                </c:pt>
                <c:pt idx="15">
                  <c:v>0.15000000000053901</c:v>
                </c:pt>
                <c:pt idx="16">
                  <c:v>0</c:v>
                </c:pt>
                <c:pt idx="17">
                  <c:v>0.300000000000189</c:v>
                </c:pt>
                <c:pt idx="18">
                  <c:v>0.14999999999965</c:v>
                </c:pt>
                <c:pt idx="19">
                  <c:v>-0.999999999999446</c:v>
                </c:pt>
              </c:numCache>
            </c:numRef>
          </c:val>
        </c:ser>
        <c:ser>
          <c:idx val="1"/>
          <c:order val="1"/>
          <c:tx>
            <c:strRef>
              <c:f>'zk79+896'!$Y$4:$AA$4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'zk79+896'!$S$6:$S$41</c:f>
              <c:numCache>
                <c:formatCode>m"月"d"日";@</c:formatCode>
                <c:ptCount val="36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-0.50000000000061096</c:v>
                </c:pt>
                <c:pt idx="2">
                  <c:v>-0.19999999999953399</c:v>
                </c:pt>
                <c:pt idx="3">
                  <c:v>0.40000000000084401</c:v>
                </c:pt>
                <c:pt idx="4">
                  <c:v>-0.20000000000130999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-0.19999999999953399</c:v>
                </c:pt>
                <c:pt idx="8">
                  <c:v>-0.10000000000154299</c:v>
                </c:pt>
                <c:pt idx="9">
                  <c:v>-0.29999999999930099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-0.60000000000037801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4.9999999999883499E-2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-9.99999999997669E-2</c:v>
                </c:pt>
                <c:pt idx="19">
                  <c:v>-0.15000000000000599</c:v>
                </c:pt>
              </c:numCache>
            </c:numRef>
          </c:val>
        </c:ser>
        <c:ser>
          <c:idx val="2"/>
          <c:order val="2"/>
          <c:tx>
            <c:strRef>
              <c:f>'zk79+896'!$AC$4:$AE$4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'zk79+896'!$S$6:$S$41</c:f>
              <c:numCache>
                <c:formatCode>m"月"d"日";@</c:formatCode>
                <c:ptCount val="36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-0.300000000000189</c:v>
                </c:pt>
                <c:pt idx="2">
                  <c:v>-0.19999999999953399</c:v>
                </c:pt>
                <c:pt idx="3">
                  <c:v>-0.20000000000042201</c:v>
                </c:pt>
                <c:pt idx="4">
                  <c:v>-9.99999999997669E-2</c:v>
                </c:pt>
                <c:pt idx="5">
                  <c:v>0.20000000000042201</c:v>
                </c:pt>
                <c:pt idx="6">
                  <c:v>-0.20000000000042201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-0.499999999999723</c:v>
                </c:pt>
                <c:pt idx="10">
                  <c:v>-0.20000000000042201</c:v>
                </c:pt>
                <c:pt idx="11">
                  <c:v>9.99999999997669E-2</c:v>
                </c:pt>
                <c:pt idx="12">
                  <c:v>-0.499999999999723</c:v>
                </c:pt>
                <c:pt idx="13">
                  <c:v>-0.20000000000042201</c:v>
                </c:pt>
                <c:pt idx="14">
                  <c:v>-0.19999999999953399</c:v>
                </c:pt>
                <c:pt idx="15">
                  <c:v>-0.100000000000211</c:v>
                </c:pt>
                <c:pt idx="16">
                  <c:v>-4.9999999999883499E-2</c:v>
                </c:pt>
                <c:pt idx="17">
                  <c:v>-0.150000000000095</c:v>
                </c:pt>
                <c:pt idx="18">
                  <c:v>-9.99999999997669E-2</c:v>
                </c:pt>
              </c:numCache>
            </c:numRef>
          </c:val>
        </c:ser>
        <c:dLbls/>
        <c:marker val="1"/>
        <c:axId val="395259264"/>
        <c:axId val="395356032"/>
      </c:lineChart>
      <c:dateAx>
        <c:axId val="3952592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356032"/>
        <c:crossesAt val="-50"/>
        <c:auto val="1"/>
        <c:lblOffset val="100"/>
        <c:baseTimeUnit val="days"/>
        <c:majorUnit val="2"/>
        <c:majorTimeUnit val="days"/>
      </c:dateAx>
      <c:valAx>
        <c:axId val="39535603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25926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'zk79+896'!$C$4:$G$4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'zk79+896'!$A$6:$A$34</c:f>
              <c:numCache>
                <c:formatCode>m"月"d"日";@</c:formatCode>
                <c:ptCount val="29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'zk79+896'!$F$6:$F$29</c:f>
              <c:numCache>
                <c:formatCode>0.00_ </c:formatCode>
                <c:ptCount val="24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-1.1000000000649399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-1.30000000001473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-1.8000000000029099</c:v>
                </c:pt>
                <c:pt idx="13">
                  <c:v>-2.1000000000412902</c:v>
                </c:pt>
                <c:pt idx="14">
                  <c:v>-2.40000000007967</c:v>
                </c:pt>
                <c:pt idx="15">
                  <c:v>-2.8000000000929499</c:v>
                </c:pt>
                <c:pt idx="16">
                  <c:v>-3.0000000000427498</c:v>
                </c:pt>
                <c:pt idx="17">
                  <c:v>-3.30000000008113</c:v>
                </c:pt>
                <c:pt idx="18">
                  <c:v>-3.0000000000427498</c:v>
                </c:pt>
                <c:pt idx="19">
                  <c:v>-0.59999999996307496</c:v>
                </c:pt>
              </c:numCache>
            </c:numRef>
          </c:val>
        </c:ser>
        <c:ser>
          <c:idx val="1"/>
          <c:order val="1"/>
          <c:tx>
            <c:strRef>
              <c:f>'zk79+896'!$H$4:$L$4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'zk79+896'!$A$6:$A$34</c:f>
              <c:numCache>
                <c:formatCode>m"月"d"日";@</c:formatCode>
                <c:ptCount val="29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'zk79+896'!$K$6:$K$30</c:f>
              <c:numCache>
                <c:formatCode>0.00_ 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0.20000000006348301</c:v>
                </c:pt>
                <c:pt idx="3">
                  <c:v>-0.199999999949796</c:v>
                </c:pt>
                <c:pt idx="4">
                  <c:v>-0.40000000001327901</c:v>
                </c:pt>
                <c:pt idx="5">
                  <c:v>-0.59999999996307496</c:v>
                </c:pt>
                <c:pt idx="6">
                  <c:v>-0.49999999998817701</c:v>
                </c:pt>
                <c:pt idx="7">
                  <c:v>-0.99999999997635303</c:v>
                </c:pt>
                <c:pt idx="8">
                  <c:v>-1.2000000000398401</c:v>
                </c:pt>
                <c:pt idx="9">
                  <c:v>-1.09999999995125</c:v>
                </c:pt>
                <c:pt idx="10">
                  <c:v>-1.5999999999394301</c:v>
                </c:pt>
                <c:pt idx="11">
                  <c:v>-1.8000000000029099</c:v>
                </c:pt>
                <c:pt idx="12">
                  <c:v>-1.70000000002801</c:v>
                </c:pt>
                <c:pt idx="13">
                  <c:v>-1.8999999999778101</c:v>
                </c:pt>
                <c:pt idx="14">
                  <c:v>-2.1000000000412902</c:v>
                </c:pt>
                <c:pt idx="15">
                  <c:v>-2.2999999999910901</c:v>
                </c:pt>
                <c:pt idx="16">
                  <c:v>-2.39999999996598</c:v>
                </c:pt>
                <c:pt idx="17">
                  <c:v>-2.70000000000437</c:v>
                </c:pt>
                <c:pt idx="18">
                  <c:v>-2.4999999999408802</c:v>
                </c:pt>
                <c:pt idx="19">
                  <c:v>-0.100000000009004</c:v>
                </c:pt>
              </c:numCache>
            </c:numRef>
          </c:val>
        </c:ser>
        <c:ser>
          <c:idx val="2"/>
          <c:order val="2"/>
          <c:tx>
            <c:strRef>
              <c:f>'zk79+896'!$M$4:$Q$4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'zk79+896'!$A$6:$A$34</c:f>
              <c:numCache>
                <c:formatCode>m"月"d"日";@</c:formatCode>
                <c:ptCount val="29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'zk79+896'!$P$6:$P$28</c:f>
              <c:numCache>
                <c:formatCode>0.00_ </c:formatCode>
                <c:ptCount val="23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-0.80000000002655702</c:v>
                </c:pt>
                <c:pt idx="7">
                  <c:v>-1.4000000001033199</c:v>
                </c:pt>
                <c:pt idx="8">
                  <c:v>-1.60000000005311</c:v>
                </c:pt>
                <c:pt idx="9">
                  <c:v>-1.30000000001473</c:v>
                </c:pt>
                <c:pt idx="10">
                  <c:v>-2.00000000006639</c:v>
                </c:pt>
                <c:pt idx="11">
                  <c:v>-1.8000000000029099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-2.8000000000929499</c:v>
                </c:pt>
                <c:pt idx="15">
                  <c:v>-3.0000000000427498</c:v>
                </c:pt>
                <c:pt idx="16">
                  <c:v>-3.1000000000176402</c:v>
                </c:pt>
                <c:pt idx="17">
                  <c:v>-3.40000000005602</c:v>
                </c:pt>
                <c:pt idx="18">
                  <c:v>-3.6000000001195098</c:v>
                </c:pt>
              </c:numCache>
            </c:numRef>
          </c:val>
        </c:ser>
        <c:dLbls/>
        <c:marker val="1"/>
        <c:axId val="395444224"/>
        <c:axId val="395446528"/>
      </c:lineChart>
      <c:lineChart>
        <c:grouping val="standard"/>
        <c:ser>
          <c:idx val="3"/>
          <c:order val="3"/>
          <c:tx>
            <c:strRef>
              <c:f>'zk79+896'!$AG$3:$AG$5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'zk79+896'!$A$6:$A$34</c:f>
              <c:numCache>
                <c:formatCode>m"月"d"日";@</c:formatCode>
                <c:ptCount val="29"/>
                <c:pt idx="0">
                  <c:v>44719</c:v>
                </c:pt>
                <c:pt idx="1">
                  <c:v>44720</c:v>
                </c:pt>
                <c:pt idx="2">
                  <c:v>44721</c:v>
                </c:pt>
                <c:pt idx="3">
                  <c:v>44722</c:v>
                </c:pt>
                <c:pt idx="4">
                  <c:v>44723</c:v>
                </c:pt>
                <c:pt idx="5">
                  <c:v>44724</c:v>
                </c:pt>
                <c:pt idx="6">
                  <c:v>44725</c:v>
                </c:pt>
                <c:pt idx="7">
                  <c:v>44726</c:v>
                </c:pt>
                <c:pt idx="8">
                  <c:v>44727</c:v>
                </c:pt>
                <c:pt idx="9">
                  <c:v>44728</c:v>
                </c:pt>
                <c:pt idx="10">
                  <c:v>44729</c:v>
                </c:pt>
                <c:pt idx="11">
                  <c:v>44730</c:v>
                </c:pt>
                <c:pt idx="12">
                  <c:v>44731</c:v>
                </c:pt>
                <c:pt idx="13">
                  <c:v>44732</c:v>
                </c:pt>
                <c:pt idx="14">
                  <c:v>44733</c:v>
                </c:pt>
                <c:pt idx="15">
                  <c:v>44735</c:v>
                </c:pt>
                <c:pt idx="16">
                  <c:v>44737</c:v>
                </c:pt>
                <c:pt idx="17">
                  <c:v>44739</c:v>
                </c:pt>
                <c:pt idx="18">
                  <c:v>44741</c:v>
                </c:pt>
              </c:numCache>
            </c:numRef>
          </c:cat>
          <c:val>
            <c:numRef>
              <c:f>'zk79+896'!$AG$6:$AG$31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</c:numCache>
            </c:numRef>
          </c:val>
        </c:ser>
        <c:dLbls/>
        <c:marker val="1"/>
        <c:axId val="395460992"/>
        <c:axId val="395462528"/>
      </c:lineChart>
      <c:dateAx>
        <c:axId val="3954442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446528"/>
        <c:crossesAt val="-50"/>
        <c:auto val="1"/>
        <c:lblOffset val="100"/>
        <c:baseTimeUnit val="days"/>
        <c:majorUnit val="2"/>
        <c:majorTimeUnit val="days"/>
      </c:dateAx>
      <c:valAx>
        <c:axId val="39544652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444224"/>
        <c:crosses val="autoZero"/>
        <c:crossBetween val="midCat"/>
        <c:majorUnit val="1"/>
        <c:minorUnit val="0.5"/>
      </c:valAx>
      <c:dateAx>
        <c:axId val="3954609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462528"/>
        <c:crosses val="autoZero"/>
        <c:auto val="1"/>
        <c:lblOffset val="100"/>
        <c:baseTimeUnit val="days"/>
      </c:dateAx>
      <c:valAx>
        <c:axId val="39546252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46099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+926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'zk79+926'!$U$4:$W$4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'zk79+926'!$S$6:$S$29</c:f>
              <c:numCache>
                <c:formatCode>m"月"d"日";@</c:formatCode>
                <c:ptCount val="24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'zk79+926'!$V$6:$V$34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-0.29999999999930099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-2.3999999999997401</c:v>
                </c:pt>
                <c:pt idx="13">
                  <c:v>-1.7999999999993599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-2.6999999999990401</c:v>
                </c:pt>
                <c:pt idx="17">
                  <c:v>-3.3999999999991801</c:v>
                </c:pt>
                <c:pt idx="18">
                  <c:v>-3.6000000000004899</c:v>
                </c:pt>
                <c:pt idx="19">
                  <c:v>-3.70000000000026</c:v>
                </c:pt>
                <c:pt idx="20">
                  <c:v>-3.80000000000003</c:v>
                </c:pt>
                <c:pt idx="21">
                  <c:v>-4.09999999999933</c:v>
                </c:pt>
                <c:pt idx="22">
                  <c:v>-3.9999999999995599</c:v>
                </c:pt>
                <c:pt idx="23">
                  <c:v>-3.8999999999997899</c:v>
                </c:pt>
                <c:pt idx="24">
                  <c:v>-2.8999999999985699</c:v>
                </c:pt>
              </c:numCache>
            </c:numRef>
          </c:val>
        </c:ser>
        <c:ser>
          <c:idx val="1"/>
          <c:order val="1"/>
          <c:tx>
            <c:strRef>
              <c:f>'zk79+926'!$Y$4:$AA$4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'zk79+926'!$S$6:$S$29</c:f>
              <c:numCache>
                <c:formatCode>m"月"d"日";@</c:formatCode>
                <c:ptCount val="24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'zk79+926'!$Z$6:$Z$35</c:f>
              <c:numCache>
                <c:formatCode>0.00_ </c:formatCode>
                <c:ptCount val="30"/>
                <c:pt idx="0">
                  <c:v>0</c:v>
                </c:pt>
                <c:pt idx="1">
                  <c:v>-0.29999999999930099</c:v>
                </c:pt>
                <c:pt idx="2">
                  <c:v>-0.799999999999912</c:v>
                </c:pt>
                <c:pt idx="3">
                  <c:v>-0.69999999999836904</c:v>
                </c:pt>
                <c:pt idx="4">
                  <c:v>-0.89999999999967895</c:v>
                </c:pt>
                <c:pt idx="5">
                  <c:v>-1.0999999999992101</c:v>
                </c:pt>
                <c:pt idx="6">
                  <c:v>-1.2999999999987499</c:v>
                </c:pt>
                <c:pt idx="7">
                  <c:v>-1.39999999999851</c:v>
                </c:pt>
                <c:pt idx="8">
                  <c:v>-1.6999999999995901</c:v>
                </c:pt>
                <c:pt idx="9">
                  <c:v>-1.7999999999993599</c:v>
                </c:pt>
                <c:pt idx="10">
                  <c:v>-2.0999999999986598</c:v>
                </c:pt>
                <c:pt idx="11">
                  <c:v>-2.2999999999999701</c:v>
                </c:pt>
                <c:pt idx="12">
                  <c:v>-1.7999999999993599</c:v>
                </c:pt>
                <c:pt idx="13">
                  <c:v>-2.6999999999990401</c:v>
                </c:pt>
                <c:pt idx="14">
                  <c:v>-2.8999999999985699</c:v>
                </c:pt>
                <c:pt idx="15">
                  <c:v>-3.0999999999998802</c:v>
                </c:pt>
                <c:pt idx="16">
                  <c:v>-2.7999999999987999</c:v>
                </c:pt>
                <c:pt idx="17">
                  <c:v>-3.4999999999989502</c:v>
                </c:pt>
                <c:pt idx="18">
                  <c:v>-3.6999999999984801</c:v>
                </c:pt>
                <c:pt idx="19">
                  <c:v>-3.5999999999987198</c:v>
                </c:pt>
                <c:pt idx="20">
                  <c:v>-3.7999999999982501</c:v>
                </c:pt>
                <c:pt idx="21">
                  <c:v>-3.8999999999997899</c:v>
                </c:pt>
                <c:pt idx="22">
                  <c:v>-4.09999999999933</c:v>
                </c:pt>
                <c:pt idx="23">
                  <c:v>-3.7999999999982501</c:v>
                </c:pt>
                <c:pt idx="24">
                  <c:v>-2.3999999999997401</c:v>
                </c:pt>
              </c:numCache>
            </c:numRef>
          </c:val>
        </c:ser>
        <c:ser>
          <c:idx val="2"/>
          <c:order val="2"/>
          <c:tx>
            <c:strRef>
              <c:f>'zk79+926'!$AC$4:$AE$4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'zk79+926'!$S$6:$S$29</c:f>
              <c:numCache>
                <c:formatCode>m"月"d"日";@</c:formatCode>
                <c:ptCount val="24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-0.19999999999953399</c:v>
                </c:pt>
                <c:pt idx="2">
                  <c:v>-0.50000000000061096</c:v>
                </c:pt>
                <c:pt idx="3">
                  <c:v>-0.799999999999912</c:v>
                </c:pt>
                <c:pt idx="4">
                  <c:v>-0.89999999999967895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-1.3000000000005201</c:v>
                </c:pt>
                <c:pt idx="9">
                  <c:v>-1.4000000000002899</c:v>
                </c:pt>
                <c:pt idx="10">
                  <c:v>-1.3000000000005201</c:v>
                </c:pt>
                <c:pt idx="11">
                  <c:v>-1.59999999999982</c:v>
                </c:pt>
                <c:pt idx="12">
                  <c:v>-1.6999999999995901</c:v>
                </c:pt>
                <c:pt idx="13">
                  <c:v>-1.3000000000005201</c:v>
                </c:pt>
                <c:pt idx="14">
                  <c:v>-1.8999999999991199</c:v>
                </c:pt>
                <c:pt idx="15">
                  <c:v>-2.0000000000006701</c:v>
                </c:pt>
                <c:pt idx="16">
                  <c:v>-1.7999999999993599</c:v>
                </c:pt>
                <c:pt idx="17">
                  <c:v>-2.2000000000002</c:v>
                </c:pt>
                <c:pt idx="18">
                  <c:v>-2.2999999999999701</c:v>
                </c:pt>
                <c:pt idx="19">
                  <c:v>-2.3999999999997401</c:v>
                </c:pt>
                <c:pt idx="20">
                  <c:v>-2.59999999999927</c:v>
                </c:pt>
                <c:pt idx="21">
                  <c:v>-2.6999999999990401</c:v>
                </c:pt>
                <c:pt idx="22">
                  <c:v>-2.4999999999995</c:v>
                </c:pt>
                <c:pt idx="23">
                  <c:v>-2.3999999999997401</c:v>
                </c:pt>
              </c:numCache>
            </c:numRef>
          </c:val>
        </c:ser>
        <c:dLbls/>
        <c:marker val="1"/>
        <c:axId val="395583488"/>
        <c:axId val="395585792"/>
      </c:lineChart>
      <c:lineChart>
        <c:grouping val="standard"/>
        <c:ser>
          <c:idx val="3"/>
          <c:order val="3"/>
          <c:tx>
            <c:strRef>
              <c:f>'zk79+926'!$AG$3:$AG$5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'zk79+926'!$S$6:$S$29</c:f>
              <c:numCache>
                <c:formatCode>m"月"d"日";@</c:formatCode>
                <c:ptCount val="24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'zk79+926'!$AG$6:$AG$33</c:f>
              <c:numCache>
                <c:formatCode>0.0_ </c:formatCode>
                <c:ptCount val="28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50</c:v>
                </c:pt>
                <c:pt idx="15">
                  <c:v>57</c:v>
                </c:pt>
                <c:pt idx="16">
                  <c:v>64</c:v>
                </c:pt>
                <c:pt idx="17">
                  <c:v>76</c:v>
                </c:pt>
                <c:pt idx="18">
                  <c:v>88</c:v>
                </c:pt>
                <c:pt idx="19">
                  <c:v>100</c:v>
                </c:pt>
                <c:pt idx="20">
                  <c:v>112</c:v>
                </c:pt>
                <c:pt idx="21">
                  <c:v>124</c:v>
                </c:pt>
                <c:pt idx="22">
                  <c:v>136</c:v>
                </c:pt>
                <c:pt idx="23">
                  <c:v>146</c:v>
                </c:pt>
              </c:numCache>
            </c:numRef>
          </c:val>
        </c:ser>
        <c:dLbls/>
        <c:marker val="1"/>
        <c:axId val="395596160"/>
        <c:axId val="395597696"/>
      </c:lineChart>
      <c:dateAx>
        <c:axId val="3955834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585792"/>
        <c:crossesAt val="-50"/>
        <c:auto val="1"/>
        <c:lblOffset val="100"/>
        <c:baseTimeUnit val="days"/>
      </c:dateAx>
      <c:valAx>
        <c:axId val="39558579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583488"/>
        <c:crosses val="autoZero"/>
        <c:crossBetween val="midCat"/>
        <c:majorUnit val="1.2"/>
        <c:minorUnit val="0.1"/>
      </c:valAx>
      <c:dateAx>
        <c:axId val="39559616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597696"/>
        <c:crosses val="autoZero"/>
        <c:auto val="1"/>
        <c:lblOffset val="100"/>
        <c:baseTimeUnit val="days"/>
      </c:dateAx>
      <c:valAx>
        <c:axId val="395597696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59616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'zk79+926'!$C$4:$G$4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'zk79+926'!$A$6:$A$40</c:f>
              <c:numCache>
                <c:formatCode>m"月"d"日";@</c:formatCode>
                <c:ptCount val="35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'zk79+926'!$G$6:$G$36</c:f>
              <c:numCache>
                <c:formatCode>0.00_ </c:formatCode>
                <c:ptCount val="31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9.9999999974897905E-2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-0.29999999992469401</c:v>
                </c:pt>
                <c:pt idx="7">
                  <c:v>-0.10000000008858501</c:v>
                </c:pt>
                <c:pt idx="8">
                  <c:v>-0.199999999949796</c:v>
                </c:pt>
                <c:pt idx="9">
                  <c:v>0.199999999949796</c:v>
                </c:pt>
                <c:pt idx="10">
                  <c:v>-0.59999999996307496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-0.20000000006348301</c:v>
                </c:pt>
                <c:pt idx="15">
                  <c:v>-4.9999999987449001E-2</c:v>
                </c:pt>
                <c:pt idx="16">
                  <c:v>-0.15000000001919001</c:v>
                </c:pt>
                <c:pt idx="17">
                  <c:v>-9.9999999974897905E-2</c:v>
                </c:pt>
                <c:pt idx="18">
                  <c:v>-0.100000000031741</c:v>
                </c:pt>
                <c:pt idx="19">
                  <c:v>0.100000000031741</c:v>
                </c:pt>
                <c:pt idx="20">
                  <c:v>-0.100000000031741</c:v>
                </c:pt>
                <c:pt idx="21">
                  <c:v>-4.9999999987449001E-2</c:v>
                </c:pt>
                <c:pt idx="22">
                  <c:v>-0.15000000001919001</c:v>
                </c:pt>
                <c:pt idx="23">
                  <c:v>2.5000000022146199E-2</c:v>
                </c:pt>
                <c:pt idx="24">
                  <c:v>-2.79999999997926</c:v>
                </c:pt>
              </c:numCache>
            </c:numRef>
          </c:val>
        </c:ser>
        <c:ser>
          <c:idx val="1"/>
          <c:order val="1"/>
          <c:tx>
            <c:strRef>
              <c:f>'zk79+926'!$H$4:$L$4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'zk79+926'!$A$6:$A$40</c:f>
              <c:numCache>
                <c:formatCode>m"月"d"日";@</c:formatCode>
                <c:ptCount val="35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'zk79+926'!$L$6:$L$37</c:f>
              <c:numCache>
                <c:formatCode>0.00_ </c:formatCode>
                <c:ptCount val="32"/>
                <c:pt idx="0">
                  <c:v>0</c:v>
                </c:pt>
                <c:pt idx="1">
                  <c:v>-0.30000000003838101</c:v>
                </c:pt>
                <c:pt idx="2">
                  <c:v>9.9999999974897905E-2</c:v>
                </c:pt>
                <c:pt idx="3">
                  <c:v>-0.40000000001327901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0.149999999962347</c:v>
                </c:pt>
                <c:pt idx="16">
                  <c:v>-0.34999999996898601</c:v>
                </c:pt>
                <c:pt idx="17">
                  <c:v>-0.100000000031741</c:v>
                </c:pt>
                <c:pt idx="18">
                  <c:v>4.9999999987449001E-2</c:v>
                </c:pt>
                <c:pt idx="19">
                  <c:v>-0.24999999999408801</c:v>
                </c:pt>
                <c:pt idx="20">
                  <c:v>-0.149999999962347</c:v>
                </c:pt>
                <c:pt idx="21">
                  <c:v>-5.0000000044292399E-2</c:v>
                </c:pt>
                <c:pt idx="22">
                  <c:v>0.100000000031741</c:v>
                </c:pt>
                <c:pt idx="23">
                  <c:v>2.49999999937245E-2</c:v>
                </c:pt>
              </c:numCache>
            </c:numRef>
          </c:val>
        </c:ser>
        <c:ser>
          <c:idx val="2"/>
          <c:order val="2"/>
          <c:tx>
            <c:strRef>
              <c:f>'zk79+926'!$M$4:$Q$4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'zk79+926'!$A$6:$A$40</c:f>
              <c:numCache>
                <c:formatCode>m"月"d"日";@</c:formatCode>
                <c:ptCount val="35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'zk79+926'!$Q$6:$Q$33</c:f>
              <c:numCache>
                <c:formatCode>0.00_ </c:formatCode>
                <c:ptCount val="28"/>
                <c:pt idx="0">
                  <c:v>0</c:v>
                </c:pt>
                <c:pt idx="1">
                  <c:v>-0.40000000001327901</c:v>
                </c:pt>
                <c:pt idx="2">
                  <c:v>-0.40000000001327901</c:v>
                </c:pt>
                <c:pt idx="3">
                  <c:v>-0.29999999992469401</c:v>
                </c:pt>
                <c:pt idx="4">
                  <c:v>-0.30000000003838101</c:v>
                </c:pt>
                <c:pt idx="5">
                  <c:v>9.9999999974897905E-2</c:v>
                </c:pt>
                <c:pt idx="6">
                  <c:v>-0.69999999993797202</c:v>
                </c:pt>
                <c:pt idx="7">
                  <c:v>-0.30000000003838101</c:v>
                </c:pt>
                <c:pt idx="8">
                  <c:v>9.9999999974897905E-2</c:v>
                </c:pt>
                <c:pt idx="9">
                  <c:v>-0.69999999993797202</c:v>
                </c:pt>
                <c:pt idx="10">
                  <c:v>-0.30000000003838101</c:v>
                </c:pt>
                <c:pt idx="11">
                  <c:v>-0.29999999992469401</c:v>
                </c:pt>
                <c:pt idx="12">
                  <c:v>-0.10000000008858501</c:v>
                </c:pt>
                <c:pt idx="13">
                  <c:v>-0.49999999998817701</c:v>
                </c:pt>
                <c:pt idx="14">
                  <c:v>-0.29999999992469401</c:v>
                </c:pt>
                <c:pt idx="15">
                  <c:v>-0.15000000001919001</c:v>
                </c:pt>
                <c:pt idx="16">
                  <c:v>0.29999999998153698</c:v>
                </c:pt>
                <c:pt idx="17">
                  <c:v>0.100000000031741</c:v>
                </c:pt>
                <c:pt idx="18">
                  <c:v>-0.15000000001919001</c:v>
                </c:pt>
                <c:pt idx="19">
                  <c:v>-9.9999999974897905E-2</c:v>
                </c:pt>
                <c:pt idx="20">
                  <c:v>0.149999999962347</c:v>
                </c:pt>
                <c:pt idx="21">
                  <c:v>-4.9999999987449001E-2</c:v>
                </c:pt>
                <c:pt idx="22">
                  <c:v>-9.9999999974897905E-2</c:v>
                </c:pt>
                <c:pt idx="23">
                  <c:v>4.9999999987449001E-2</c:v>
                </c:pt>
              </c:numCache>
            </c:numRef>
          </c:val>
        </c:ser>
        <c:dLbls/>
        <c:marker val="1"/>
        <c:axId val="395622656"/>
        <c:axId val="395645696"/>
      </c:lineChart>
      <c:dateAx>
        <c:axId val="3956226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645696"/>
        <c:crossesAt val="-50"/>
        <c:auto val="1"/>
        <c:lblOffset val="100"/>
        <c:baseTimeUnit val="days"/>
      </c:dateAx>
      <c:valAx>
        <c:axId val="39564569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62265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9+926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'zk79+926'!$U$4:$W$4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'zk79+926'!$S$6:$S$43</c:f>
              <c:numCache>
                <c:formatCode>m"月"d"日";@</c:formatCode>
                <c:ptCount val="38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'zk79+926'!$W$6:$W$34</c:f>
              <c:numCache>
                <c:formatCode>0.00_ </c:formatCode>
                <c:ptCount val="29"/>
                <c:pt idx="0">
                  <c:v>0</c:v>
                </c:pt>
                <c:pt idx="1">
                  <c:v>0.29999999999930099</c:v>
                </c:pt>
                <c:pt idx="2">
                  <c:v>0.20000000000130999</c:v>
                </c:pt>
                <c:pt idx="3">
                  <c:v>9.99999999997669E-2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0.30000000000107702</c:v>
                </c:pt>
                <c:pt idx="8">
                  <c:v>0.19999999999953399</c:v>
                </c:pt>
                <c:pt idx="9">
                  <c:v>-0.29999999999930099</c:v>
                </c:pt>
                <c:pt idx="10">
                  <c:v>0.70000000000014495</c:v>
                </c:pt>
                <c:pt idx="11">
                  <c:v>0.19999999999953399</c:v>
                </c:pt>
                <c:pt idx="12">
                  <c:v>0.19999999999953399</c:v>
                </c:pt>
                <c:pt idx="13">
                  <c:v>-0.60000000000037801</c:v>
                </c:pt>
                <c:pt idx="14">
                  <c:v>1.0000000000012199</c:v>
                </c:pt>
                <c:pt idx="15">
                  <c:v>9.99999999997669E-2</c:v>
                </c:pt>
                <c:pt idx="16">
                  <c:v>-0.15000000000053901</c:v>
                </c:pt>
                <c:pt idx="17">
                  <c:v>0.35000000000007198</c:v>
                </c:pt>
                <c:pt idx="18">
                  <c:v>0.100000000000655</c:v>
                </c:pt>
                <c:pt idx="19">
                  <c:v>4.9999999999883499E-2</c:v>
                </c:pt>
                <c:pt idx="20">
                  <c:v>4.9999999999883499E-2</c:v>
                </c:pt>
                <c:pt idx="21">
                  <c:v>0.14999999999965</c:v>
                </c:pt>
                <c:pt idx="22">
                  <c:v>-4.9999999999883499E-2</c:v>
                </c:pt>
                <c:pt idx="23">
                  <c:v>-2.4999999999941701E-2</c:v>
                </c:pt>
                <c:pt idx="24">
                  <c:v>-1.50000000000006</c:v>
                </c:pt>
              </c:numCache>
            </c:numRef>
          </c:val>
        </c:ser>
        <c:ser>
          <c:idx val="1"/>
          <c:order val="1"/>
          <c:tx>
            <c:strRef>
              <c:f>'zk79+926'!$Y$4:$AA$4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'zk79+926'!$S$6:$S$43</c:f>
              <c:numCache>
                <c:formatCode>m"月"d"日";@</c:formatCode>
                <c:ptCount val="38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-0.29999999999930099</c:v>
                </c:pt>
                <c:pt idx="2">
                  <c:v>-0.50000000000061096</c:v>
                </c:pt>
                <c:pt idx="3">
                  <c:v>0.10000000000154299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-9.99999999997669E-2</c:v>
                </c:pt>
                <c:pt idx="8">
                  <c:v>-0.30000000000107702</c:v>
                </c:pt>
                <c:pt idx="9">
                  <c:v>-9.99999999997669E-2</c:v>
                </c:pt>
                <c:pt idx="10">
                  <c:v>-0.29999999999930099</c:v>
                </c:pt>
                <c:pt idx="11">
                  <c:v>-0.20000000000130999</c:v>
                </c:pt>
                <c:pt idx="12">
                  <c:v>0.50000000000061096</c:v>
                </c:pt>
                <c:pt idx="13">
                  <c:v>-0.89999999999967895</c:v>
                </c:pt>
                <c:pt idx="14">
                  <c:v>-0.19999999999953399</c:v>
                </c:pt>
                <c:pt idx="15">
                  <c:v>-0.100000000000655</c:v>
                </c:pt>
                <c:pt idx="16">
                  <c:v>0.15000000000053901</c:v>
                </c:pt>
                <c:pt idx="17">
                  <c:v>-0.35000000000007198</c:v>
                </c:pt>
                <c:pt idx="18">
                  <c:v>-9.99999999997669E-2</c:v>
                </c:pt>
                <c:pt idx="19">
                  <c:v>4.9999999999883499E-2</c:v>
                </c:pt>
                <c:pt idx="20">
                  <c:v>-9.99999999997669E-2</c:v>
                </c:pt>
                <c:pt idx="21">
                  <c:v>-5.0000000000771601E-2</c:v>
                </c:pt>
                <c:pt idx="22">
                  <c:v>-9.99999999997669E-2</c:v>
                </c:pt>
                <c:pt idx="23">
                  <c:v>7.5000000000269296E-2</c:v>
                </c:pt>
                <c:pt idx="24">
                  <c:v>-0.103333333333329</c:v>
                </c:pt>
              </c:numCache>
            </c:numRef>
          </c:val>
        </c:ser>
        <c:ser>
          <c:idx val="2"/>
          <c:order val="2"/>
          <c:tx>
            <c:strRef>
              <c:f>'zk79+926'!$AC$4:$AE$4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'zk79+926'!$S$6:$S$43</c:f>
              <c:numCache>
                <c:formatCode>m"月"d"日";@</c:formatCode>
                <c:ptCount val="38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-0.19999999999953399</c:v>
                </c:pt>
                <c:pt idx="2">
                  <c:v>-0.30000000000107702</c:v>
                </c:pt>
                <c:pt idx="3">
                  <c:v>-0.29999999999930099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-9.99999999997669E-2</c:v>
                </c:pt>
                <c:pt idx="7">
                  <c:v>9.99999999997669E-2</c:v>
                </c:pt>
                <c:pt idx="8">
                  <c:v>-0.30000000000107702</c:v>
                </c:pt>
                <c:pt idx="9">
                  <c:v>-9.99999999997669E-2</c:v>
                </c:pt>
                <c:pt idx="10">
                  <c:v>9.99999999997669E-2</c:v>
                </c:pt>
                <c:pt idx="11">
                  <c:v>-0.29999999999930099</c:v>
                </c:pt>
                <c:pt idx="12">
                  <c:v>-9.99999999997669E-2</c:v>
                </c:pt>
                <c:pt idx="13">
                  <c:v>0.39999999999906799</c:v>
                </c:pt>
                <c:pt idx="14">
                  <c:v>-0.59999999999860198</c:v>
                </c:pt>
                <c:pt idx="15">
                  <c:v>-5.0000000000771601E-2</c:v>
                </c:pt>
                <c:pt idx="16">
                  <c:v>0.100000000000655</c:v>
                </c:pt>
                <c:pt idx="17">
                  <c:v>-0.20000000000042201</c:v>
                </c:pt>
                <c:pt idx="18">
                  <c:v>-4.9999999999883499E-2</c:v>
                </c:pt>
                <c:pt idx="19">
                  <c:v>-4.9999999999883499E-2</c:v>
                </c:pt>
                <c:pt idx="20">
                  <c:v>-9.99999999997669E-2</c:v>
                </c:pt>
                <c:pt idx="21">
                  <c:v>-4.9999999999883499E-2</c:v>
                </c:pt>
                <c:pt idx="22">
                  <c:v>9.99999999997669E-2</c:v>
                </c:pt>
                <c:pt idx="23">
                  <c:v>2.4999999999941701E-2</c:v>
                </c:pt>
              </c:numCache>
            </c:numRef>
          </c:val>
        </c:ser>
        <c:dLbls/>
        <c:marker val="1"/>
        <c:axId val="395664384"/>
        <c:axId val="395806208"/>
      </c:lineChart>
      <c:dateAx>
        <c:axId val="3956643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806208"/>
        <c:crossesAt val="-50"/>
        <c:auto val="1"/>
        <c:lblOffset val="100"/>
        <c:baseTimeUnit val="days"/>
      </c:dateAx>
      <c:valAx>
        <c:axId val="3958062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66438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'zk79+926'!$C$4:$G$4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'zk79+926'!$A$6:$A$36</c:f>
              <c:numCache>
                <c:formatCode>m"月"d"日";@</c:formatCode>
                <c:ptCount val="31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'zk79+926'!$F$6:$F$31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-0.80000000002655702</c:v>
                </c:pt>
                <c:pt idx="3">
                  <c:v>-0.70000000005165897</c:v>
                </c:pt>
                <c:pt idx="4">
                  <c:v>-0.90000000000145497</c:v>
                </c:pt>
                <c:pt idx="5">
                  <c:v>-1.1000000000649399</c:v>
                </c:pt>
                <c:pt idx="6">
                  <c:v>-1.39999999998963</c:v>
                </c:pt>
                <c:pt idx="7">
                  <c:v>-1.5000000000782201</c:v>
                </c:pt>
                <c:pt idx="8">
                  <c:v>-1.70000000002801</c:v>
                </c:pt>
                <c:pt idx="9">
                  <c:v>-1.5000000000782201</c:v>
                </c:pt>
                <c:pt idx="10">
                  <c:v>-2.1000000000412902</c:v>
                </c:pt>
                <c:pt idx="11">
                  <c:v>-2.2999999999910901</c:v>
                </c:pt>
                <c:pt idx="12">
                  <c:v>-2.2000000000161899</c:v>
                </c:pt>
                <c:pt idx="13">
                  <c:v>-2.70000000000437</c:v>
                </c:pt>
                <c:pt idx="14">
                  <c:v>-2.9000000000678501</c:v>
                </c:pt>
                <c:pt idx="15">
                  <c:v>-3.0000000000427498</c:v>
                </c:pt>
                <c:pt idx="16">
                  <c:v>-3.30000000008113</c:v>
                </c:pt>
                <c:pt idx="17">
                  <c:v>-3.5000000000309202</c:v>
                </c:pt>
                <c:pt idx="18">
                  <c:v>-3.70000000009441</c:v>
                </c:pt>
                <c:pt idx="19">
                  <c:v>-3.5000000000309202</c:v>
                </c:pt>
                <c:pt idx="20">
                  <c:v>-3.70000000009441</c:v>
                </c:pt>
                <c:pt idx="21">
                  <c:v>-3.8000000000692999</c:v>
                </c:pt>
                <c:pt idx="22">
                  <c:v>-4.1000000001076797</c:v>
                </c:pt>
                <c:pt idx="23">
                  <c:v>-4.0000000000191003</c:v>
                </c:pt>
                <c:pt idx="24">
                  <c:v>-3.1000000000176402</c:v>
                </c:pt>
              </c:numCache>
            </c:numRef>
          </c:val>
        </c:ser>
        <c:ser>
          <c:idx val="1"/>
          <c:order val="1"/>
          <c:tx>
            <c:strRef>
              <c:f>'zk79+926'!$H$4:$L$4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'zk79+926'!$A$6:$A$36</c:f>
              <c:numCache>
                <c:formatCode>m"月"d"日";@</c:formatCode>
                <c:ptCount val="31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'zk79+926'!$K$6:$K$32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-1.1000000000649399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-1.5000000000782201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-2.1000000000412902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-2.5000000000545701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-3.30000000008113</c:v>
                </c:pt>
                <c:pt idx="19">
                  <c:v>-3.8000000000692999</c:v>
                </c:pt>
                <c:pt idx="20">
                  <c:v>-4.099999999994</c:v>
                </c:pt>
                <c:pt idx="21">
                  <c:v>-4.2000000000825803</c:v>
                </c:pt>
                <c:pt idx="22">
                  <c:v>-4.0000000000191003</c:v>
                </c:pt>
                <c:pt idx="23">
                  <c:v>-3.9000000000442001</c:v>
                </c:pt>
                <c:pt idx="24">
                  <c:v>-9.3333333332642099E-2</c:v>
                </c:pt>
              </c:numCache>
            </c:numRef>
          </c:val>
        </c:ser>
        <c:ser>
          <c:idx val="2"/>
          <c:order val="2"/>
          <c:tx>
            <c:strRef>
              <c:f>'zk79+926'!$M$4:$Q$4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'zk79+926'!$A$6:$A$36</c:f>
              <c:numCache>
                <c:formatCode>m"月"d"日";@</c:formatCode>
                <c:ptCount val="31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'zk79+926'!$P$6:$P$30</c:f>
              <c:numCache>
                <c:formatCode>0.00_ </c:formatCode>
                <c:ptCount val="25"/>
                <c:pt idx="0">
                  <c:v>0</c:v>
                </c:pt>
                <c:pt idx="1">
                  <c:v>-0.40000000001327901</c:v>
                </c:pt>
                <c:pt idx="2">
                  <c:v>-0.80000000002655702</c:v>
                </c:pt>
                <c:pt idx="3">
                  <c:v>-1.09999999995125</c:v>
                </c:pt>
                <c:pt idx="4">
                  <c:v>-1.39999999998963</c:v>
                </c:pt>
                <c:pt idx="5">
                  <c:v>-1.30000000001473</c:v>
                </c:pt>
                <c:pt idx="6">
                  <c:v>-1.9999999999527101</c:v>
                </c:pt>
                <c:pt idx="7">
                  <c:v>-2.2999999999910901</c:v>
                </c:pt>
                <c:pt idx="8">
                  <c:v>-2.2000000000161899</c:v>
                </c:pt>
                <c:pt idx="9">
                  <c:v>-2.8999999999541601</c:v>
                </c:pt>
                <c:pt idx="10">
                  <c:v>-3.1999999999925399</c:v>
                </c:pt>
                <c:pt idx="11">
                  <c:v>-3.49999999991724</c:v>
                </c:pt>
                <c:pt idx="12">
                  <c:v>-3.6000000000058199</c:v>
                </c:pt>
                <c:pt idx="13">
                  <c:v>-4.099999999994</c:v>
                </c:pt>
                <c:pt idx="14">
                  <c:v>-4.3999999999186903</c:v>
                </c:pt>
                <c:pt idx="15">
                  <c:v>-4.6999999999570701</c:v>
                </c:pt>
                <c:pt idx="16">
                  <c:v>-4.099999999994</c:v>
                </c:pt>
                <c:pt idx="17">
                  <c:v>-3.8999999999305102</c:v>
                </c:pt>
                <c:pt idx="18">
                  <c:v>-4.1999999999688997</c:v>
                </c:pt>
                <c:pt idx="19">
                  <c:v>-4.3999999999186903</c:v>
                </c:pt>
                <c:pt idx="20">
                  <c:v>-4.099999999994</c:v>
                </c:pt>
                <c:pt idx="21">
                  <c:v>-4.1999999999688997</c:v>
                </c:pt>
                <c:pt idx="22">
                  <c:v>-4.3999999999186903</c:v>
                </c:pt>
                <c:pt idx="23">
                  <c:v>-4.1999999999688997</c:v>
                </c:pt>
              </c:numCache>
            </c:numRef>
          </c:val>
        </c:ser>
        <c:dLbls/>
        <c:marker val="1"/>
        <c:axId val="395868800"/>
        <c:axId val="395891840"/>
      </c:lineChart>
      <c:lineChart>
        <c:grouping val="standard"/>
        <c:ser>
          <c:idx val="3"/>
          <c:order val="3"/>
          <c:tx>
            <c:strRef>
              <c:f>'zk79+926'!$AG$3:$AG$5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'zk79+926'!$A$6:$A$36</c:f>
              <c:numCache>
                <c:formatCode>m"月"d"日";@</c:formatCode>
                <c:ptCount val="31"/>
                <c:pt idx="0">
                  <c:v>44728</c:v>
                </c:pt>
                <c:pt idx="1">
                  <c:v>44729</c:v>
                </c:pt>
                <c:pt idx="2">
                  <c:v>44730</c:v>
                </c:pt>
                <c:pt idx="3">
                  <c:v>44731</c:v>
                </c:pt>
                <c:pt idx="4">
                  <c:v>44732</c:v>
                </c:pt>
                <c:pt idx="5">
                  <c:v>44733</c:v>
                </c:pt>
                <c:pt idx="6">
                  <c:v>44734</c:v>
                </c:pt>
                <c:pt idx="7">
                  <c:v>44735</c:v>
                </c:pt>
                <c:pt idx="8">
                  <c:v>44736</c:v>
                </c:pt>
                <c:pt idx="9">
                  <c:v>44737</c:v>
                </c:pt>
                <c:pt idx="10">
                  <c:v>44738</c:v>
                </c:pt>
                <c:pt idx="11">
                  <c:v>44739</c:v>
                </c:pt>
                <c:pt idx="12">
                  <c:v>44740</c:v>
                </c:pt>
                <c:pt idx="13">
                  <c:v>44741</c:v>
                </c:pt>
                <c:pt idx="14">
                  <c:v>44742</c:v>
                </c:pt>
                <c:pt idx="15">
                  <c:v>44744</c:v>
                </c:pt>
                <c:pt idx="16">
                  <c:v>44746</c:v>
                </c:pt>
                <c:pt idx="17">
                  <c:v>44748</c:v>
                </c:pt>
                <c:pt idx="18">
                  <c:v>44750</c:v>
                </c:pt>
                <c:pt idx="19">
                  <c:v>44752</c:v>
                </c:pt>
                <c:pt idx="20">
                  <c:v>44754</c:v>
                </c:pt>
                <c:pt idx="21">
                  <c:v>44756</c:v>
                </c:pt>
                <c:pt idx="22">
                  <c:v>44758</c:v>
                </c:pt>
                <c:pt idx="23">
                  <c:v>44762</c:v>
                </c:pt>
              </c:numCache>
            </c:numRef>
          </c:cat>
          <c:val>
            <c:numRef>
              <c:f>'zk79+926'!$AG$6:$AG$33</c:f>
              <c:numCache>
                <c:formatCode>0.0_ </c:formatCode>
                <c:ptCount val="28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50</c:v>
                </c:pt>
                <c:pt idx="15">
                  <c:v>57</c:v>
                </c:pt>
                <c:pt idx="16">
                  <c:v>64</c:v>
                </c:pt>
                <c:pt idx="17">
                  <c:v>76</c:v>
                </c:pt>
                <c:pt idx="18">
                  <c:v>88</c:v>
                </c:pt>
                <c:pt idx="19">
                  <c:v>100</c:v>
                </c:pt>
                <c:pt idx="20">
                  <c:v>112</c:v>
                </c:pt>
                <c:pt idx="21">
                  <c:v>124</c:v>
                </c:pt>
                <c:pt idx="22">
                  <c:v>136</c:v>
                </c:pt>
                <c:pt idx="23">
                  <c:v>146</c:v>
                </c:pt>
              </c:numCache>
            </c:numRef>
          </c:val>
        </c:ser>
        <c:dLbls/>
        <c:marker val="1"/>
        <c:axId val="395893760"/>
        <c:axId val="395895552"/>
      </c:lineChart>
      <c:dateAx>
        <c:axId val="3958688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891840"/>
        <c:crossesAt val="-50"/>
        <c:auto val="1"/>
        <c:lblOffset val="100"/>
        <c:baseTimeUnit val="days"/>
      </c:dateAx>
      <c:valAx>
        <c:axId val="395891840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868800"/>
        <c:crosses val="autoZero"/>
        <c:crossBetween val="midCat"/>
        <c:majorUnit val="1.2"/>
        <c:minorUnit val="0.5"/>
      </c:valAx>
      <c:dateAx>
        <c:axId val="39589376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895552"/>
        <c:crosses val="autoZero"/>
        <c:auto val="1"/>
        <c:lblOffset val="100"/>
        <c:baseTimeUnit val="days"/>
      </c:dateAx>
      <c:valAx>
        <c:axId val="395895552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89376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+954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'zk79+954'!$U$4:$W$4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'zk79+954'!$S$6:$S$28</c:f>
              <c:numCache>
                <c:formatCode>m"月"d"日";@</c:formatCode>
                <c:ptCount val="2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-0.60000000000037801</c:v>
                </c:pt>
                <c:pt idx="4">
                  <c:v>-0.49999999999883499</c:v>
                </c:pt>
                <c:pt idx="5">
                  <c:v>-0.70000000000014495</c:v>
                </c:pt>
                <c:pt idx="6">
                  <c:v>-0.799999999999912</c:v>
                </c:pt>
                <c:pt idx="7">
                  <c:v>-0.89999999999967895</c:v>
                </c:pt>
                <c:pt idx="8">
                  <c:v>-1.0999999999992101</c:v>
                </c:pt>
                <c:pt idx="9">
                  <c:v>-1.4000000000002899</c:v>
                </c:pt>
                <c:pt idx="10">
                  <c:v>-1.8999999999991199</c:v>
                </c:pt>
                <c:pt idx="11">
                  <c:v>-1.7999999999993599</c:v>
                </c:pt>
                <c:pt idx="12">
                  <c:v>-2.0999999999986598</c:v>
                </c:pt>
                <c:pt idx="13">
                  <c:v>-2.59999999999927</c:v>
                </c:pt>
                <c:pt idx="14">
                  <c:v>-2.7999999999987999</c:v>
                </c:pt>
                <c:pt idx="15">
                  <c:v>-2.6999999999990401</c:v>
                </c:pt>
                <c:pt idx="16">
                  <c:v>-3.0000000000001101</c:v>
                </c:pt>
                <c:pt idx="17">
                  <c:v>-3.2999999999994101</c:v>
                </c:pt>
                <c:pt idx="18">
                  <c:v>-3.3999999999991801</c:v>
                </c:pt>
                <c:pt idx="19">
                  <c:v>-3.80000000000003</c:v>
                </c:pt>
                <c:pt idx="20">
                  <c:v>-3.9999999999995599</c:v>
                </c:pt>
                <c:pt idx="21">
                  <c:v>-4.1999999999990898</c:v>
                </c:pt>
                <c:pt idx="22">
                  <c:v>-4.2999999999988603</c:v>
                </c:pt>
                <c:pt idx="23">
                  <c:v>0.39999999999906799</c:v>
                </c:pt>
              </c:numCache>
            </c:numRef>
          </c:val>
        </c:ser>
        <c:ser>
          <c:idx val="1"/>
          <c:order val="1"/>
          <c:tx>
            <c:strRef>
              <c:f>'zk79+954'!$Y$4:$AA$4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'zk79+954'!$S$6:$S$28</c:f>
              <c:numCache>
                <c:formatCode>m"月"d"日";@</c:formatCode>
                <c:ptCount val="2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0.19999999999953399</c:v>
                </c:pt>
                <c:pt idx="3">
                  <c:v>-0.29999999999930099</c:v>
                </c:pt>
                <c:pt idx="4">
                  <c:v>-0.50000000000061096</c:v>
                </c:pt>
                <c:pt idx="5">
                  <c:v>-0.60000000000037801</c:v>
                </c:pt>
                <c:pt idx="6">
                  <c:v>-0.89999999999967895</c:v>
                </c:pt>
                <c:pt idx="7">
                  <c:v>-1.0999999999992101</c:v>
                </c:pt>
                <c:pt idx="8">
                  <c:v>-1.1999999999989801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-1.50000000000006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-2.3999999999997401</c:v>
                </c:pt>
                <c:pt idx="16">
                  <c:v>-2.9000000000003499</c:v>
                </c:pt>
                <c:pt idx="17">
                  <c:v>-3.0999999999998802</c:v>
                </c:pt>
                <c:pt idx="18">
                  <c:v>-3.0000000000001101</c:v>
                </c:pt>
                <c:pt idx="19">
                  <c:v>-3.4999999999989502</c:v>
                </c:pt>
                <c:pt idx="20">
                  <c:v>-3.2999999999994101</c:v>
                </c:pt>
                <c:pt idx="21">
                  <c:v>-3.1999999999996498</c:v>
                </c:pt>
                <c:pt idx="22">
                  <c:v>-2.9000000000003499</c:v>
                </c:pt>
                <c:pt idx="23">
                  <c:v>-4.5000000000001696</c:v>
                </c:pt>
              </c:numCache>
            </c:numRef>
          </c:val>
        </c:ser>
        <c:ser>
          <c:idx val="2"/>
          <c:order val="2"/>
          <c:tx>
            <c:strRef>
              <c:f>'zk79+954'!$AC$4:$AE$4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'zk79+954'!$S$6:$S$28</c:f>
              <c:numCache>
                <c:formatCode>m"月"d"日";@</c:formatCode>
                <c:ptCount val="2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-0.60000000000037801</c:v>
                </c:pt>
                <c:pt idx="2">
                  <c:v>-0.80000000000168803</c:v>
                </c:pt>
                <c:pt idx="3">
                  <c:v>-1.0000000000012199</c:v>
                </c:pt>
                <c:pt idx="4">
                  <c:v>-1.10000000000099</c:v>
                </c:pt>
                <c:pt idx="5">
                  <c:v>-1.4000000000002899</c:v>
                </c:pt>
                <c:pt idx="6">
                  <c:v>-1.3000000000005201</c:v>
                </c:pt>
                <c:pt idx="7">
                  <c:v>-1.80000000000113</c:v>
                </c:pt>
                <c:pt idx="8">
                  <c:v>-2.0000000000006701</c:v>
                </c:pt>
                <c:pt idx="9">
                  <c:v>-1.80000000000113</c:v>
                </c:pt>
                <c:pt idx="10">
                  <c:v>-2.4000000000015098</c:v>
                </c:pt>
                <c:pt idx="11">
                  <c:v>-2.6000000000010499</c:v>
                </c:pt>
                <c:pt idx="12">
                  <c:v>-1.70000000000137</c:v>
                </c:pt>
                <c:pt idx="13">
                  <c:v>-3.0000000000001101</c:v>
                </c:pt>
                <c:pt idx="14">
                  <c:v>-3.2000000000014199</c:v>
                </c:pt>
                <c:pt idx="15">
                  <c:v>-2.8000000000005798</c:v>
                </c:pt>
                <c:pt idx="16">
                  <c:v>-3.6000000000004899</c:v>
                </c:pt>
                <c:pt idx="17">
                  <c:v>-3.80000000000003</c:v>
                </c:pt>
                <c:pt idx="18">
                  <c:v>-3.70000000000026</c:v>
                </c:pt>
                <c:pt idx="19">
                  <c:v>-4.2000000000008697</c:v>
                </c:pt>
                <c:pt idx="20">
                  <c:v>-4.3000000000006402</c:v>
                </c:pt>
                <c:pt idx="21">
                  <c:v>-4.4000000000004</c:v>
                </c:pt>
                <c:pt idx="22">
                  <c:v>-4.5000000000001696</c:v>
                </c:pt>
              </c:numCache>
            </c:numRef>
          </c:val>
        </c:ser>
        <c:dLbls/>
        <c:marker val="1"/>
        <c:axId val="395967872"/>
        <c:axId val="395974528"/>
      </c:lineChart>
      <c:lineChart>
        <c:grouping val="standard"/>
        <c:ser>
          <c:idx val="3"/>
          <c:order val="3"/>
          <c:tx>
            <c:strRef>
              <c:f>'zk79+954'!$AG$3:$AG$5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'zk79+954'!$S$6:$S$27</c:f>
              <c:numCache>
                <c:formatCode>m"月"d"日";@</c:formatCode>
                <c:ptCount val="22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</c:numCache>
            </c:numRef>
          </c:cat>
          <c:val>
            <c:numRef>
              <c:f>'zk79+954'!$AG$6:$AG$31</c:f>
              <c:numCache>
                <c:formatCode>0.0_ </c:formatCode>
                <c:ptCount val="2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30</c:v>
                </c:pt>
                <c:pt idx="8">
                  <c:v>33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48</c:v>
                </c:pt>
                <c:pt idx="14">
                  <c:v>51</c:v>
                </c:pt>
                <c:pt idx="15">
                  <c:v>54</c:v>
                </c:pt>
                <c:pt idx="16">
                  <c:v>57</c:v>
                </c:pt>
                <c:pt idx="17">
                  <c:v>60</c:v>
                </c:pt>
                <c:pt idx="18">
                  <c:v>63</c:v>
                </c:pt>
                <c:pt idx="19">
                  <c:v>66</c:v>
                </c:pt>
                <c:pt idx="20">
                  <c:v>69</c:v>
                </c:pt>
                <c:pt idx="21">
                  <c:v>72</c:v>
                </c:pt>
                <c:pt idx="22">
                  <c:v>75</c:v>
                </c:pt>
              </c:numCache>
            </c:numRef>
          </c:val>
        </c:ser>
        <c:dLbls/>
        <c:marker val="1"/>
        <c:axId val="395980800"/>
        <c:axId val="395982336"/>
      </c:lineChart>
      <c:dateAx>
        <c:axId val="3959678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974528"/>
        <c:crossesAt val="-50"/>
        <c:auto val="1"/>
        <c:lblOffset val="100"/>
        <c:baseTimeUnit val="days"/>
        <c:majorUnit val="3"/>
        <c:majorTimeUnit val="days"/>
      </c:dateAx>
      <c:valAx>
        <c:axId val="395974528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967872"/>
        <c:crosses val="autoZero"/>
        <c:crossBetween val="midCat"/>
        <c:majorUnit val="1.2"/>
        <c:minorUnit val="0.1"/>
      </c:valAx>
      <c:dateAx>
        <c:axId val="39598080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5982336"/>
        <c:crosses val="autoZero"/>
        <c:auto val="1"/>
        <c:lblOffset val="100"/>
        <c:baseTimeUnit val="days"/>
      </c:dateAx>
      <c:valAx>
        <c:axId val="39598233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598080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954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'zk79+954'!$C$4:$G$4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'zk79+954'!$A$6:$A$38</c:f>
              <c:numCache>
                <c:formatCode>m"月"d"日";@</c:formatCode>
                <c:ptCount val="3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'zk79+954'!$G$6:$G$34</c:f>
              <c:numCache>
                <c:formatCode>0.00_ </c:formatCode>
                <c:ptCount val="29"/>
                <c:pt idx="0">
                  <c:v>0</c:v>
                </c:pt>
                <c:pt idx="1">
                  <c:v>9.9999999974897905E-2</c:v>
                </c:pt>
                <c:pt idx="2">
                  <c:v>0.10000000008858501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0.199999999949796</c:v>
                </c:pt>
                <c:pt idx="7">
                  <c:v>-0.59999999996307496</c:v>
                </c:pt>
                <c:pt idx="8">
                  <c:v>-0.20000000006348301</c:v>
                </c:pt>
                <c:pt idx="9">
                  <c:v>0.30000000003838101</c:v>
                </c:pt>
                <c:pt idx="10">
                  <c:v>-0.70000000005165897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0.100000000031741</c:v>
                </c:pt>
                <c:pt idx="17">
                  <c:v>-0.30000000003838101</c:v>
                </c:pt>
                <c:pt idx="18">
                  <c:v>-9.9999999974897905E-2</c:v>
                </c:pt>
                <c:pt idx="19">
                  <c:v>0.15000000001919001</c:v>
                </c:pt>
                <c:pt idx="20">
                  <c:v>4.9999999987449001E-2</c:v>
                </c:pt>
                <c:pt idx="21">
                  <c:v>-4.9999999987449001E-2</c:v>
                </c:pt>
                <c:pt idx="22">
                  <c:v>0.149999999962347</c:v>
                </c:pt>
                <c:pt idx="23">
                  <c:v>-0.10000000008858501</c:v>
                </c:pt>
              </c:numCache>
            </c:numRef>
          </c:val>
        </c:ser>
        <c:ser>
          <c:idx val="1"/>
          <c:order val="1"/>
          <c:tx>
            <c:strRef>
              <c:f>'zk79+954'!$H$4:$L$4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'zk79+954'!$A$6:$A$38</c:f>
              <c:numCache>
                <c:formatCode>m"月"d"日";@</c:formatCode>
                <c:ptCount val="3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-0.20000000006348301</c:v>
                </c:pt>
                <c:pt idx="5">
                  <c:v>0.20000000006348301</c:v>
                </c:pt>
                <c:pt idx="6">
                  <c:v>-0.60000000007676102</c:v>
                </c:pt>
                <c:pt idx="7">
                  <c:v>-0.199999999949796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0.24999999999408801</c:v>
                </c:pt>
                <c:pt idx="16">
                  <c:v>-0.45000000000072798</c:v>
                </c:pt>
                <c:pt idx="17">
                  <c:v>-0.100000000031741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5.0000000044292399E-2</c:v>
                </c:pt>
                <c:pt idx="21">
                  <c:v>-5.0000000044292399E-2</c:v>
                </c:pt>
                <c:pt idx="22">
                  <c:v>0.15000000001919001</c:v>
                </c:pt>
              </c:numCache>
            </c:numRef>
          </c:val>
        </c:ser>
        <c:ser>
          <c:idx val="2"/>
          <c:order val="2"/>
          <c:tx>
            <c:strRef>
              <c:f>'zk79+954'!$M$4:$Q$4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'zk79+954'!$A$6:$A$38</c:f>
              <c:numCache>
                <c:formatCode>m"月"d"日";@</c:formatCode>
                <c:ptCount val="33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0.90000000000145497</c:v>
                </c:pt>
                <c:pt idx="6">
                  <c:v>-1.30000000001473</c:v>
                </c:pt>
                <c:pt idx="7">
                  <c:v>-0.20000000006348301</c:v>
                </c:pt>
                <c:pt idx="8">
                  <c:v>0.30000000003838101</c:v>
                </c:pt>
                <c:pt idx="9">
                  <c:v>-0.69999999993797202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0</c:v>
                </c:pt>
                <c:pt idx="15">
                  <c:v>-0.20000000000663901</c:v>
                </c:pt>
                <c:pt idx="16">
                  <c:v>-0.100000000031741</c:v>
                </c:pt>
                <c:pt idx="17">
                  <c:v>-4.9999999987449001E-2</c:v>
                </c:pt>
                <c:pt idx="18">
                  <c:v>-0.149999999962347</c:v>
                </c:pt>
                <c:pt idx="19">
                  <c:v>-0.100000000031741</c:v>
                </c:pt>
                <c:pt idx="20">
                  <c:v>0.100000000031741</c:v>
                </c:pt>
                <c:pt idx="21">
                  <c:v>4.9999999987449001E-2</c:v>
                </c:pt>
                <c:pt idx="22">
                  <c:v>-0.100000000031741</c:v>
                </c:pt>
              </c:numCache>
            </c:numRef>
          </c:val>
        </c:ser>
        <c:dLbls/>
        <c:marker val="1"/>
        <c:axId val="396027776"/>
        <c:axId val="396042624"/>
      </c:lineChart>
      <c:dateAx>
        <c:axId val="3960277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042624"/>
        <c:crossesAt val="-50"/>
        <c:auto val="1"/>
        <c:lblOffset val="100"/>
        <c:baseTimeUnit val="days"/>
      </c:dateAx>
      <c:valAx>
        <c:axId val="39604262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02777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9+954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'zk79+954'!$U$4:$W$4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'zk79+954'!$S$6:$S$41</c:f>
              <c:numCache>
                <c:formatCode>m"月"d"日";@</c:formatCode>
                <c:ptCount val="36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9.99999999997669E-2</c:v>
                </c:pt>
                <c:pt idx="3">
                  <c:v>0.30000000000107702</c:v>
                </c:pt>
                <c:pt idx="4">
                  <c:v>-0.10000000000154299</c:v>
                </c:pt>
                <c:pt idx="5">
                  <c:v>0.20000000000130999</c:v>
                </c:pt>
                <c:pt idx="6">
                  <c:v>9.99999999997669E-2</c:v>
                </c:pt>
                <c:pt idx="7">
                  <c:v>9.99999999997669E-2</c:v>
                </c:pt>
                <c:pt idx="8">
                  <c:v>0.19999999999953399</c:v>
                </c:pt>
                <c:pt idx="9">
                  <c:v>0.30000000000107702</c:v>
                </c:pt>
                <c:pt idx="10">
                  <c:v>0.49999999999883499</c:v>
                </c:pt>
                <c:pt idx="11">
                  <c:v>-9.99999999997669E-2</c:v>
                </c:pt>
                <c:pt idx="12">
                  <c:v>0.29999999999930099</c:v>
                </c:pt>
                <c:pt idx="13">
                  <c:v>0.50000000000061096</c:v>
                </c:pt>
                <c:pt idx="14">
                  <c:v>0.19999999999953399</c:v>
                </c:pt>
                <c:pt idx="15">
                  <c:v>-4.9999999999883499E-2</c:v>
                </c:pt>
                <c:pt idx="16">
                  <c:v>0.15000000000053901</c:v>
                </c:pt>
                <c:pt idx="17">
                  <c:v>0.14999999999965</c:v>
                </c:pt>
                <c:pt idx="18">
                  <c:v>4.9999999999883499E-2</c:v>
                </c:pt>
                <c:pt idx="19">
                  <c:v>0.20000000000042201</c:v>
                </c:pt>
                <c:pt idx="20">
                  <c:v>9.99999999997669E-2</c:v>
                </c:pt>
                <c:pt idx="21">
                  <c:v>9.99999999997669E-2</c:v>
                </c:pt>
                <c:pt idx="22">
                  <c:v>4.9999999999883499E-2</c:v>
                </c:pt>
                <c:pt idx="23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'zk79+954'!$Y$4:$AA$4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'zk79+954'!$S$6:$S$41</c:f>
              <c:numCache>
                <c:formatCode>m"月"d"日";@</c:formatCode>
                <c:ptCount val="36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0.39999999999906799</c:v>
                </c:pt>
                <c:pt idx="3">
                  <c:v>-0.49999999999883499</c:v>
                </c:pt>
                <c:pt idx="4">
                  <c:v>-0.20000000000130999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-0.19999999999953399</c:v>
                </c:pt>
                <c:pt idx="11">
                  <c:v>0.19999999999953399</c:v>
                </c:pt>
                <c:pt idx="12">
                  <c:v>-0.60000000000037801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4.9999999999883499E-2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4.9999999999883499E-2</c:v>
                </c:pt>
                <c:pt idx="19">
                  <c:v>-0.24999999999941699</c:v>
                </c:pt>
                <c:pt idx="20">
                  <c:v>9.99999999997669E-2</c:v>
                </c:pt>
                <c:pt idx="21">
                  <c:v>4.9999999999883499E-2</c:v>
                </c:pt>
                <c:pt idx="22">
                  <c:v>0.14999999999965</c:v>
                </c:pt>
                <c:pt idx="23">
                  <c:v>-7.4999999999825206E-2</c:v>
                </c:pt>
              </c:numCache>
            </c:numRef>
          </c:val>
        </c:ser>
        <c:ser>
          <c:idx val="2"/>
          <c:order val="2"/>
          <c:tx>
            <c:strRef>
              <c:f>'zk79+954'!$AC$4:$AE$4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'zk79+954'!$S$6:$S$41</c:f>
              <c:numCache>
                <c:formatCode>m"月"d"日";@</c:formatCode>
                <c:ptCount val="36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-0.60000000000037801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-0.29999999999930099</c:v>
                </c:pt>
                <c:pt idx="6">
                  <c:v>9.99999999997669E-2</c:v>
                </c:pt>
                <c:pt idx="7">
                  <c:v>-0.50000000000061096</c:v>
                </c:pt>
                <c:pt idx="8">
                  <c:v>-0.19999999999953399</c:v>
                </c:pt>
                <c:pt idx="9">
                  <c:v>0.19999999999953399</c:v>
                </c:pt>
                <c:pt idx="10">
                  <c:v>-0.60000000000037801</c:v>
                </c:pt>
                <c:pt idx="11">
                  <c:v>-0.19999999999953399</c:v>
                </c:pt>
                <c:pt idx="12">
                  <c:v>0.89999999999967895</c:v>
                </c:pt>
                <c:pt idx="13">
                  <c:v>-1.2999999999987499</c:v>
                </c:pt>
                <c:pt idx="14">
                  <c:v>-0.20000000000130999</c:v>
                </c:pt>
                <c:pt idx="15">
                  <c:v>0.20000000000042201</c:v>
                </c:pt>
                <c:pt idx="16">
                  <c:v>-0.399999999999956</c:v>
                </c:pt>
                <c:pt idx="17">
                  <c:v>-9.99999999997669E-2</c:v>
                </c:pt>
                <c:pt idx="18">
                  <c:v>4.9999999999883499E-2</c:v>
                </c:pt>
                <c:pt idx="19">
                  <c:v>-0.25000000000030598</c:v>
                </c:pt>
                <c:pt idx="20">
                  <c:v>-4.9999999999883499E-2</c:v>
                </c:pt>
                <c:pt idx="21">
                  <c:v>-4.9999999999883499E-2</c:v>
                </c:pt>
                <c:pt idx="22">
                  <c:v>-4.9999999999883499E-2</c:v>
                </c:pt>
              </c:numCache>
            </c:numRef>
          </c:val>
        </c:ser>
        <c:dLbls/>
        <c:marker val="1"/>
        <c:axId val="396065408"/>
        <c:axId val="396121216"/>
      </c:lineChart>
      <c:dateAx>
        <c:axId val="3960654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121216"/>
        <c:crossesAt val="-50"/>
        <c:auto val="1"/>
        <c:lblOffset val="100"/>
        <c:baseTimeUnit val="days"/>
        <c:majorUnit val="3"/>
        <c:majorTimeUnit val="days"/>
      </c:dateAx>
      <c:valAx>
        <c:axId val="39612121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06540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954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'zk79+954'!$C$4:$G$4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'zk79+954'!$A$6:$A$34</c:f>
              <c:numCache>
                <c:formatCode>m"月"d"日";@</c:formatCode>
                <c:ptCount val="29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'zk79+954'!$F$6:$F$29</c:f>
              <c:numCache>
                <c:formatCode>0.00_ </c:formatCode>
                <c:ptCount val="24"/>
                <c:pt idx="0">
                  <c:v>0</c:v>
                </c:pt>
                <c:pt idx="1">
                  <c:v>9.9999999974897905E-2</c:v>
                </c:pt>
                <c:pt idx="2">
                  <c:v>0.20000000006348301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-0.69999999993797202</c:v>
                </c:pt>
                <c:pt idx="6">
                  <c:v>-0.49999999998817701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-0.99999999997635303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-1.8000000000029099</c:v>
                </c:pt>
                <c:pt idx="13">
                  <c:v>-2.2999999999910901</c:v>
                </c:pt>
                <c:pt idx="14">
                  <c:v>-2.4999999999408802</c:v>
                </c:pt>
                <c:pt idx="15">
                  <c:v>-2.70000000000437</c:v>
                </c:pt>
                <c:pt idx="16">
                  <c:v>-2.4999999999408802</c:v>
                </c:pt>
                <c:pt idx="17">
                  <c:v>-3.1000000000176402</c:v>
                </c:pt>
                <c:pt idx="18">
                  <c:v>-3.2999999999674401</c:v>
                </c:pt>
                <c:pt idx="19">
                  <c:v>-2.9999999999290599</c:v>
                </c:pt>
                <c:pt idx="20">
                  <c:v>-2.8999999999541601</c:v>
                </c:pt>
                <c:pt idx="21">
                  <c:v>-2.9999999999290599</c:v>
                </c:pt>
                <c:pt idx="22">
                  <c:v>-2.70000000000437</c:v>
                </c:pt>
                <c:pt idx="23">
                  <c:v>0.199999999949796</c:v>
                </c:pt>
              </c:numCache>
            </c:numRef>
          </c:val>
        </c:ser>
        <c:ser>
          <c:idx val="1"/>
          <c:order val="1"/>
          <c:tx>
            <c:strRef>
              <c:f>'zk79+954'!$H$4:$L$4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'zk79+954'!$A$6:$A$34</c:f>
              <c:numCache>
                <c:formatCode>m"月"d"日";@</c:formatCode>
                <c:ptCount val="29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-0.59999999996307496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-1.4999999999645299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-2.1000000000412902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-2.2999999999910901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-3.6000000000058199</c:v>
                </c:pt>
                <c:pt idx="19">
                  <c:v>-3.5000000000309202</c:v>
                </c:pt>
                <c:pt idx="20">
                  <c:v>-3.3999999999423398</c:v>
                </c:pt>
                <c:pt idx="21">
                  <c:v>-3.5000000000309202</c:v>
                </c:pt>
                <c:pt idx="22">
                  <c:v>-3.1999999999925399</c:v>
                </c:pt>
                <c:pt idx="23">
                  <c:v>-2.5000000022146199E-2</c:v>
                </c:pt>
              </c:numCache>
            </c:numRef>
          </c:val>
        </c:ser>
        <c:ser>
          <c:idx val="2"/>
          <c:order val="2"/>
          <c:tx>
            <c:strRef>
              <c:f>'zk79+954'!$M$4:$Q$4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'zk79+954'!$A$6:$A$34</c:f>
              <c:numCache>
                <c:formatCode>m"月"d"日";@</c:formatCode>
                <c:ptCount val="29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'zk79+954'!$P$6:$P$28</c:f>
              <c:numCache>
                <c:formatCode>0.00_ </c:formatCode>
                <c:ptCount val="23"/>
                <c:pt idx="0">
                  <c:v>0</c:v>
                </c:pt>
                <c:pt idx="1">
                  <c:v>-0.20000000006348301</c:v>
                </c:pt>
                <c:pt idx="2">
                  <c:v>-0.10000000008858501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9.9999999974897905E-2</c:v>
                </c:pt>
                <c:pt idx="6">
                  <c:v>-1.2000000000398401</c:v>
                </c:pt>
                <c:pt idx="7">
                  <c:v>-1.4000000001033199</c:v>
                </c:pt>
                <c:pt idx="8">
                  <c:v>-1.1000000000649399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-1.70000000002801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-2.6000000000294698</c:v>
                </c:pt>
                <c:pt idx="15">
                  <c:v>-3.0000000000427498</c:v>
                </c:pt>
                <c:pt idx="16">
                  <c:v>-3.2000000001062299</c:v>
                </c:pt>
                <c:pt idx="17">
                  <c:v>-3.30000000008113</c:v>
                </c:pt>
                <c:pt idx="18">
                  <c:v>-3.6000000000058199</c:v>
                </c:pt>
                <c:pt idx="19">
                  <c:v>-3.8000000000692999</c:v>
                </c:pt>
                <c:pt idx="20">
                  <c:v>-3.6000000000058199</c:v>
                </c:pt>
                <c:pt idx="21">
                  <c:v>-3.5000000000309202</c:v>
                </c:pt>
                <c:pt idx="22">
                  <c:v>-3.70000000009441</c:v>
                </c:pt>
              </c:numCache>
            </c:numRef>
          </c:val>
        </c:ser>
        <c:dLbls/>
        <c:marker val="1"/>
        <c:axId val="396262400"/>
        <c:axId val="396273152"/>
      </c:lineChart>
      <c:lineChart>
        <c:grouping val="standard"/>
        <c:ser>
          <c:idx val="3"/>
          <c:order val="3"/>
          <c:tx>
            <c:strRef>
              <c:f>'zk79+954'!$AG$3:$AG$5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'zk79+954'!$A$6:$A$34</c:f>
              <c:numCache>
                <c:formatCode>m"月"d"日";@</c:formatCode>
                <c:ptCount val="29"/>
                <c:pt idx="0">
                  <c:v>44735</c:v>
                </c:pt>
                <c:pt idx="1">
                  <c:v>44736</c:v>
                </c:pt>
                <c:pt idx="2">
                  <c:v>44737</c:v>
                </c:pt>
                <c:pt idx="3">
                  <c:v>44738</c:v>
                </c:pt>
                <c:pt idx="4">
                  <c:v>44739</c:v>
                </c:pt>
                <c:pt idx="5">
                  <c:v>44740</c:v>
                </c:pt>
                <c:pt idx="6">
                  <c:v>44741</c:v>
                </c:pt>
                <c:pt idx="7">
                  <c:v>44742</c:v>
                </c:pt>
                <c:pt idx="8">
                  <c:v>44743</c:v>
                </c:pt>
                <c:pt idx="9">
                  <c:v>44744</c:v>
                </c:pt>
                <c:pt idx="10">
                  <c:v>44745</c:v>
                </c:pt>
                <c:pt idx="11">
                  <c:v>44746</c:v>
                </c:pt>
                <c:pt idx="12">
                  <c:v>44747</c:v>
                </c:pt>
                <c:pt idx="13">
                  <c:v>44748</c:v>
                </c:pt>
                <c:pt idx="14">
                  <c:v>44749</c:v>
                </c:pt>
                <c:pt idx="15">
                  <c:v>44751</c:v>
                </c:pt>
                <c:pt idx="16">
                  <c:v>44753</c:v>
                </c:pt>
                <c:pt idx="17">
                  <c:v>44755</c:v>
                </c:pt>
                <c:pt idx="18">
                  <c:v>44757</c:v>
                </c:pt>
                <c:pt idx="19">
                  <c:v>44759</c:v>
                </c:pt>
                <c:pt idx="20">
                  <c:v>44761</c:v>
                </c:pt>
                <c:pt idx="21">
                  <c:v>44763</c:v>
                </c:pt>
                <c:pt idx="22">
                  <c:v>44765</c:v>
                </c:pt>
              </c:numCache>
            </c:numRef>
          </c:cat>
          <c:val>
            <c:numRef>
              <c:f>'zk79+954'!$AG$6:$AG$31</c:f>
              <c:numCache>
                <c:formatCode>0.0_ </c:formatCode>
                <c:ptCount val="26"/>
                <c:pt idx="0">
                  <c:v>9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21</c:v>
                </c:pt>
                <c:pt idx="5">
                  <c:v>24</c:v>
                </c:pt>
                <c:pt idx="6">
                  <c:v>27</c:v>
                </c:pt>
                <c:pt idx="7">
                  <c:v>30</c:v>
                </c:pt>
                <c:pt idx="8">
                  <c:v>33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48</c:v>
                </c:pt>
                <c:pt idx="14">
                  <c:v>51</c:v>
                </c:pt>
                <c:pt idx="15">
                  <c:v>54</c:v>
                </c:pt>
                <c:pt idx="16">
                  <c:v>57</c:v>
                </c:pt>
                <c:pt idx="17">
                  <c:v>60</c:v>
                </c:pt>
                <c:pt idx="18">
                  <c:v>63</c:v>
                </c:pt>
                <c:pt idx="19">
                  <c:v>66</c:v>
                </c:pt>
                <c:pt idx="20">
                  <c:v>69</c:v>
                </c:pt>
                <c:pt idx="21">
                  <c:v>72</c:v>
                </c:pt>
                <c:pt idx="22">
                  <c:v>75</c:v>
                </c:pt>
              </c:numCache>
            </c:numRef>
          </c:val>
        </c:ser>
        <c:dLbls/>
        <c:marker val="1"/>
        <c:axId val="396275072"/>
        <c:axId val="396285056"/>
      </c:lineChart>
      <c:dateAx>
        <c:axId val="3962624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273152"/>
        <c:crossesAt val="-50"/>
        <c:auto val="1"/>
        <c:lblOffset val="100"/>
        <c:baseTimeUnit val="days"/>
      </c:dateAx>
      <c:valAx>
        <c:axId val="39627315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262400"/>
        <c:crosses val="autoZero"/>
        <c:crossBetween val="midCat"/>
        <c:majorUnit val="1"/>
        <c:minorUnit val="0.5"/>
      </c:valAx>
      <c:dateAx>
        <c:axId val="3962750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6285056"/>
        <c:crosses val="autoZero"/>
        <c:auto val="1"/>
        <c:lblOffset val="100"/>
        <c:baseTimeUnit val="days"/>
      </c:dateAx>
      <c:valAx>
        <c:axId val="39628505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27507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+991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'zk79+991'!$U$4:$W$4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'zk79+991'!$S$6:$S$27</c:f>
              <c:numCache>
                <c:formatCode>m"月"d"日";@</c:formatCode>
                <c:ptCount val="22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'zk79+991'!$V$6:$V$32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-0.19999999999953399</c:v>
                </c:pt>
                <c:pt idx="3">
                  <c:v>-0.50000000000061096</c:v>
                </c:pt>
                <c:pt idx="4">
                  <c:v>-0.799999999999912</c:v>
                </c:pt>
                <c:pt idx="5">
                  <c:v>-1.20000000000076</c:v>
                </c:pt>
                <c:pt idx="6">
                  <c:v>-1.4000000000002899</c:v>
                </c:pt>
                <c:pt idx="7">
                  <c:v>-1.6999999999995901</c:v>
                </c:pt>
                <c:pt idx="8">
                  <c:v>-1.80000000000113</c:v>
                </c:pt>
                <c:pt idx="9">
                  <c:v>-2.30000000001063</c:v>
                </c:pt>
                <c:pt idx="10">
                  <c:v>-2.6000000000099299</c:v>
                </c:pt>
                <c:pt idx="11">
                  <c:v>-2.7000000000008102</c:v>
                </c:pt>
                <c:pt idx="12">
                  <c:v>-2.9000000000003499</c:v>
                </c:pt>
                <c:pt idx="13">
                  <c:v>-3.0999999999998802</c:v>
                </c:pt>
                <c:pt idx="14">
                  <c:v>-3.1999999999996498</c:v>
                </c:pt>
                <c:pt idx="15">
                  <c:v>-3.5000000000007199</c:v>
                </c:pt>
                <c:pt idx="16">
                  <c:v>-3.70000000000026</c:v>
                </c:pt>
                <c:pt idx="17">
                  <c:v>-3.80000000000003</c:v>
                </c:pt>
                <c:pt idx="18">
                  <c:v>-4.1000000000011001</c:v>
                </c:pt>
                <c:pt idx="19">
                  <c:v>-4.3000000000006402</c:v>
                </c:pt>
                <c:pt idx="20">
                  <c:v>-4.5000000000001696</c:v>
                </c:pt>
                <c:pt idx="21">
                  <c:v>-0.89999999999967895</c:v>
                </c:pt>
              </c:numCache>
            </c:numRef>
          </c:val>
        </c:ser>
        <c:ser>
          <c:idx val="1"/>
          <c:order val="1"/>
          <c:tx>
            <c:strRef>
              <c:f>'zk79+991'!$Y$4:$AA$4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'zk79+991'!$S$6:$S$27</c:f>
              <c:numCache>
                <c:formatCode>m"月"d"日";@</c:formatCode>
                <c:ptCount val="22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'zk79+991'!$Z$6:$Z$33</c:f>
              <c:numCache>
                <c:formatCode>0.00_ </c:formatCode>
                <c:ptCount val="28"/>
                <c:pt idx="0">
                  <c:v>0</c:v>
                </c:pt>
                <c:pt idx="1">
                  <c:v>-0.29999999999930099</c:v>
                </c:pt>
                <c:pt idx="2">
                  <c:v>-0.49999999999883499</c:v>
                </c:pt>
                <c:pt idx="3">
                  <c:v>-0.70000000000014495</c:v>
                </c:pt>
                <c:pt idx="4">
                  <c:v>-0.60000000000037801</c:v>
                </c:pt>
                <c:pt idx="5">
                  <c:v>-1.0999999999992101</c:v>
                </c:pt>
                <c:pt idx="6">
                  <c:v>-1.2999999999987499</c:v>
                </c:pt>
                <c:pt idx="7">
                  <c:v>-1.0999999999992101</c:v>
                </c:pt>
                <c:pt idx="8">
                  <c:v>-1.6999999999995901</c:v>
                </c:pt>
                <c:pt idx="9">
                  <c:v>-1.8999999999991199</c:v>
                </c:pt>
                <c:pt idx="10">
                  <c:v>-1.7999999999993599</c:v>
                </c:pt>
                <c:pt idx="11">
                  <c:v>-2.2999999999999701</c:v>
                </c:pt>
                <c:pt idx="12">
                  <c:v>-2.3999999999997401</c:v>
                </c:pt>
                <c:pt idx="13">
                  <c:v>-2.4999999999995</c:v>
                </c:pt>
                <c:pt idx="14">
                  <c:v>-2.59999999999927</c:v>
                </c:pt>
                <c:pt idx="15">
                  <c:v>-2.4999999999995</c:v>
                </c:pt>
                <c:pt idx="16">
                  <c:v>-2.7999999999987999</c:v>
                </c:pt>
                <c:pt idx="17">
                  <c:v>-2.9000000000003499</c:v>
                </c:pt>
                <c:pt idx="18">
                  <c:v>-2.7999999999987999</c:v>
                </c:pt>
                <c:pt idx="19">
                  <c:v>-3.0999999999998802</c:v>
                </c:pt>
                <c:pt idx="20">
                  <c:v>-3.2999999999994101</c:v>
                </c:pt>
                <c:pt idx="21">
                  <c:v>-3.1999999999001698</c:v>
                </c:pt>
              </c:numCache>
            </c:numRef>
          </c:val>
        </c:ser>
        <c:ser>
          <c:idx val="2"/>
          <c:order val="2"/>
          <c:tx>
            <c:strRef>
              <c:f>'zk79+991'!$AC$4:$AE$4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'zk79+991'!$S$6:$S$27</c:f>
              <c:numCache>
                <c:formatCode>m"月"d"日";@</c:formatCode>
                <c:ptCount val="22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-1.2999999999987499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-2.2999999999999701</c:v>
                </c:pt>
                <c:pt idx="12">
                  <c:v>-2.3999999999890802</c:v>
                </c:pt>
                <c:pt idx="13">
                  <c:v>-2.49999999997996</c:v>
                </c:pt>
                <c:pt idx="14">
                  <c:v>-2.5999999999690702</c:v>
                </c:pt>
                <c:pt idx="15">
                  <c:v>-2.7999999999987999</c:v>
                </c:pt>
                <c:pt idx="16">
                  <c:v>-2.7999999999490699</c:v>
                </c:pt>
                <c:pt idx="17">
                  <c:v>-2.8999999999399502</c:v>
                </c:pt>
                <c:pt idx="18">
                  <c:v>-3.2999999999994101</c:v>
                </c:pt>
                <c:pt idx="19">
                  <c:v>-3.09999999990929</c:v>
                </c:pt>
                <c:pt idx="20">
                  <c:v>-3.1999999999001698</c:v>
                </c:pt>
              </c:numCache>
            </c:numRef>
          </c:val>
        </c:ser>
        <c:dLbls/>
        <c:marker val="1"/>
        <c:axId val="396385280"/>
        <c:axId val="396396032"/>
      </c:lineChart>
      <c:lineChart>
        <c:grouping val="standard"/>
        <c:ser>
          <c:idx val="3"/>
          <c:order val="3"/>
          <c:tx>
            <c:strRef>
              <c:f>'zk79+991'!$AG$3:$AG$5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'zk79+991'!$S$6:$S$27</c:f>
              <c:numCache>
                <c:formatCode>m"月"d"日";@</c:formatCode>
                <c:ptCount val="22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</c:numCache>
            </c:numRef>
          </c:val>
        </c:ser>
        <c:dLbls/>
        <c:marker val="1"/>
        <c:axId val="396397952"/>
        <c:axId val="396407936"/>
      </c:lineChart>
      <c:dateAx>
        <c:axId val="3963852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396032"/>
        <c:crossesAt val="-50"/>
        <c:auto val="1"/>
        <c:lblOffset val="100"/>
        <c:baseTimeUnit val="days"/>
        <c:majorUnit val="3"/>
        <c:majorTimeUnit val="days"/>
      </c:dateAx>
      <c:valAx>
        <c:axId val="39639603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385280"/>
        <c:crosses val="autoZero"/>
        <c:crossBetween val="midCat"/>
        <c:majorUnit val="1.4"/>
        <c:minorUnit val="0.1"/>
      </c:valAx>
      <c:dateAx>
        <c:axId val="3963979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6407936"/>
        <c:crosses val="autoZero"/>
        <c:auto val="1"/>
        <c:lblOffset val="100"/>
        <c:baseTimeUnit val="days"/>
      </c:dateAx>
      <c:valAx>
        <c:axId val="39640793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39795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991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'zk79+991'!$C$4:$G$4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'zk79+991'!$A$6:$A$38</c:f>
              <c:numCache>
                <c:formatCode>m"月"d"日";@</c:formatCode>
                <c:ptCount val="33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'zk79+991'!$G$6:$G$34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-0.30000000003838101</c:v>
                </c:pt>
                <c:pt idx="3">
                  <c:v>-0.199999999949796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0.40000000001327901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-4.9999999987449001E-2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0.15000000001919001</c:v>
                </c:pt>
                <c:pt idx="19">
                  <c:v>-0.35000000002582998</c:v>
                </c:pt>
                <c:pt idx="20">
                  <c:v>-9.9999999974897905E-2</c:v>
                </c:pt>
                <c:pt idx="21">
                  <c:v>-0.40000000001327901</c:v>
                </c:pt>
              </c:numCache>
            </c:numRef>
          </c:val>
        </c:ser>
        <c:ser>
          <c:idx val="1"/>
          <c:order val="1"/>
          <c:tx>
            <c:strRef>
              <c:f>'zk79+991'!$H$4:$L$4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'zk79+991'!$A$6:$A$38</c:f>
              <c:numCache>
                <c:formatCode>m"月"d"日";@</c:formatCode>
                <c:ptCount val="33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0.10000000008858501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-0.59999999996307496</c:v>
                </c:pt>
                <c:pt idx="10">
                  <c:v>0.199999999949796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-0.10000000008858501</c:v>
                </c:pt>
                <c:pt idx="14">
                  <c:v>-9.9999999974897905E-2</c:v>
                </c:pt>
                <c:pt idx="15">
                  <c:v>-9.9999999974897905E-2</c:v>
                </c:pt>
                <c:pt idx="16">
                  <c:v>0</c:v>
                </c:pt>
                <c:pt idx="17">
                  <c:v>-4.9999999987449001E-2</c:v>
                </c:pt>
                <c:pt idx="18">
                  <c:v>-0.20000000000663901</c:v>
                </c:pt>
                <c:pt idx="19">
                  <c:v>9.9999999974897905E-2</c:v>
                </c:pt>
                <c:pt idx="20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'zk79+991'!$M$4:$Q$4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'zk79+991'!$A$6:$A$38</c:f>
              <c:numCache>
                <c:formatCode>m"月"d"日";@</c:formatCode>
                <c:ptCount val="33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-0.29999999992469401</c:v>
                </c:pt>
                <c:pt idx="2">
                  <c:v>9.9999999974897905E-2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9.9999999974897905E-2</c:v>
                </c:pt>
                <c:pt idx="14">
                  <c:v>-9.9999999974897905E-2</c:v>
                </c:pt>
                <c:pt idx="15">
                  <c:v>0.15000000001919001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-0.100000000031741</c:v>
                </c:pt>
                <c:pt idx="19">
                  <c:v>0</c:v>
                </c:pt>
                <c:pt idx="20">
                  <c:v>-4.9999999987449001E-2</c:v>
                </c:pt>
              </c:numCache>
            </c:numRef>
          </c:val>
        </c:ser>
        <c:dLbls/>
        <c:marker val="1"/>
        <c:axId val="396330496"/>
        <c:axId val="396345344"/>
      </c:lineChart>
      <c:dateAx>
        <c:axId val="3963304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345344"/>
        <c:crossesAt val="-50"/>
        <c:auto val="1"/>
        <c:lblOffset val="100"/>
        <c:baseTimeUnit val="days"/>
      </c:dateAx>
      <c:valAx>
        <c:axId val="39634534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33049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9+991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'zk79+991'!$U$4:$W$4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'zk79+991'!$S$6:$S$41</c:f>
              <c:numCache>
                <c:formatCode>m"月"d"日";@</c:formatCode>
                <c:ptCount val="36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'zk79+991'!$W$6:$W$32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-0.10000000000154299</c:v>
                </c:pt>
                <c:pt idx="3">
                  <c:v>0.30000000000107702</c:v>
                </c:pt>
                <c:pt idx="4">
                  <c:v>0.29999999999930099</c:v>
                </c:pt>
                <c:pt idx="5">
                  <c:v>0.40000000000084401</c:v>
                </c:pt>
                <c:pt idx="6">
                  <c:v>0.19999999999953399</c:v>
                </c:pt>
                <c:pt idx="7">
                  <c:v>0.29999999999930099</c:v>
                </c:pt>
                <c:pt idx="8">
                  <c:v>0.10000000000154299</c:v>
                </c:pt>
                <c:pt idx="9">
                  <c:v>0.50000000000949296</c:v>
                </c:pt>
                <c:pt idx="10">
                  <c:v>0.29999999999930099</c:v>
                </c:pt>
                <c:pt idx="11">
                  <c:v>9.9999999990885199E-2</c:v>
                </c:pt>
                <c:pt idx="12">
                  <c:v>0.19999999999953399</c:v>
                </c:pt>
                <c:pt idx="13">
                  <c:v>0.19999999999953399</c:v>
                </c:pt>
                <c:pt idx="14">
                  <c:v>9.99999999997669E-2</c:v>
                </c:pt>
                <c:pt idx="15">
                  <c:v>0.15000000000053901</c:v>
                </c:pt>
                <c:pt idx="16">
                  <c:v>9.99999999997669E-2</c:v>
                </c:pt>
                <c:pt idx="17">
                  <c:v>4.9999999999883499E-2</c:v>
                </c:pt>
                <c:pt idx="18">
                  <c:v>0.15000000000053901</c:v>
                </c:pt>
                <c:pt idx="19">
                  <c:v>9.99999999997669E-2</c:v>
                </c:pt>
                <c:pt idx="20">
                  <c:v>9.99999999997669E-2</c:v>
                </c:pt>
                <c:pt idx="21">
                  <c:v>-0.79999999991109405</c:v>
                </c:pt>
              </c:numCache>
            </c:numRef>
          </c:val>
        </c:ser>
        <c:ser>
          <c:idx val="1"/>
          <c:order val="1"/>
          <c:tx>
            <c:strRef>
              <c:f>'zk79+991'!$Y$4:$AA$4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'zk79+991'!$S$6:$S$41</c:f>
              <c:numCache>
                <c:formatCode>m"月"d"日";@</c:formatCode>
                <c:ptCount val="36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-0.29999999999930099</c:v>
                </c:pt>
                <c:pt idx="2">
                  <c:v>-0.19999999999953399</c:v>
                </c:pt>
                <c:pt idx="3">
                  <c:v>-0.20000000000130999</c:v>
                </c:pt>
                <c:pt idx="4">
                  <c:v>9.99999999997669E-2</c:v>
                </c:pt>
                <c:pt idx="5">
                  <c:v>-0.49999999999883499</c:v>
                </c:pt>
                <c:pt idx="6">
                  <c:v>-0.19999999999953399</c:v>
                </c:pt>
                <c:pt idx="7">
                  <c:v>0.19999999999953399</c:v>
                </c:pt>
                <c:pt idx="8">
                  <c:v>-0.60000000000037801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-0.50000000000061096</c:v>
                </c:pt>
                <c:pt idx="12">
                  <c:v>-9.99999999997669E-2</c:v>
                </c:pt>
                <c:pt idx="13">
                  <c:v>-9.99999999997669E-2</c:v>
                </c:pt>
                <c:pt idx="14">
                  <c:v>-9.99999999997669E-2</c:v>
                </c:pt>
                <c:pt idx="15">
                  <c:v>4.9999999999883499E-2</c:v>
                </c:pt>
                <c:pt idx="16">
                  <c:v>-0.14999999999965</c:v>
                </c:pt>
                <c:pt idx="17">
                  <c:v>-5.0000000000771601E-2</c:v>
                </c:pt>
                <c:pt idx="18">
                  <c:v>5.0000000000771601E-2</c:v>
                </c:pt>
                <c:pt idx="19">
                  <c:v>-0.15000000000053901</c:v>
                </c:pt>
                <c:pt idx="20">
                  <c:v>-9.99999999997669E-2</c:v>
                </c:pt>
                <c:pt idx="21">
                  <c:v>-0.106666666666655</c:v>
                </c:pt>
              </c:numCache>
            </c:numRef>
          </c:val>
        </c:ser>
        <c:ser>
          <c:idx val="2"/>
          <c:order val="2"/>
          <c:tx>
            <c:strRef>
              <c:f>'zk79+991'!$AC$4:$AE$4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'zk79+991'!$S$6:$S$41</c:f>
              <c:numCache>
                <c:formatCode>m"月"d"日";@</c:formatCode>
                <c:ptCount val="36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-0.50000000000061096</c:v>
                </c:pt>
                <c:pt idx="4">
                  <c:v>-0.19999999999953399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-0.20000000000130999</c:v>
                </c:pt>
                <c:pt idx="8">
                  <c:v>0.10000000000154299</c:v>
                </c:pt>
                <c:pt idx="9">
                  <c:v>-0.50000000000061096</c:v>
                </c:pt>
                <c:pt idx="10">
                  <c:v>-0.19999999999953399</c:v>
                </c:pt>
                <c:pt idx="11">
                  <c:v>-0.30000000000107702</c:v>
                </c:pt>
                <c:pt idx="12">
                  <c:v>-9.9999999989108801E-2</c:v>
                </c:pt>
                <c:pt idx="13">
                  <c:v>-9.9999999990885199E-2</c:v>
                </c:pt>
                <c:pt idx="14">
                  <c:v>-9.9999999989108801E-2</c:v>
                </c:pt>
                <c:pt idx="15">
                  <c:v>-0.100000000014866</c:v>
                </c:pt>
                <c:pt idx="16">
                  <c:v>2.48689957516035E-11</c:v>
                </c:pt>
                <c:pt idx="17">
                  <c:v>-4.99999999954426E-2</c:v>
                </c:pt>
                <c:pt idx="18">
                  <c:v>-0.20000000002973201</c:v>
                </c:pt>
                <c:pt idx="19">
                  <c:v>0.100000000045064</c:v>
                </c:pt>
                <c:pt idx="20">
                  <c:v>-4.99999999954426E-2</c:v>
                </c:pt>
              </c:numCache>
            </c:numRef>
          </c:val>
        </c:ser>
        <c:dLbls/>
        <c:marker val="1"/>
        <c:axId val="396445952"/>
        <c:axId val="396481280"/>
      </c:lineChart>
      <c:dateAx>
        <c:axId val="3964459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481280"/>
        <c:crossesAt val="-50"/>
        <c:auto val="1"/>
        <c:lblOffset val="100"/>
        <c:baseTimeUnit val="days"/>
        <c:majorUnit val="4"/>
        <c:majorTimeUnit val="days"/>
      </c:dateAx>
      <c:valAx>
        <c:axId val="39648128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44595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ZK79+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991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'zk79+991'!$C$4:$G$4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'zk79+991'!$A$6:$A$34</c:f>
              <c:numCache>
                <c:formatCode>m"月"d"日";@</c:formatCode>
                <c:ptCount val="29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'zk79+991'!$F$6:$F$29</c:f>
              <c:numCache>
                <c:formatCode>0.00_ </c:formatCode>
                <c:ptCount val="24"/>
                <c:pt idx="0">
                  <c:v>0</c:v>
                </c:pt>
                <c:pt idx="1">
                  <c:v>0.199999999949796</c:v>
                </c:pt>
                <c:pt idx="2">
                  <c:v>-0.10000000008858501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-0.40000000001327901</c:v>
                </c:pt>
                <c:pt idx="6">
                  <c:v>-0.90000000000145497</c:v>
                </c:pt>
                <c:pt idx="7">
                  <c:v>-1.1000000000649399</c:v>
                </c:pt>
                <c:pt idx="8">
                  <c:v>-1.2000000000398401</c:v>
                </c:pt>
                <c:pt idx="9">
                  <c:v>-1.5000000000782201</c:v>
                </c:pt>
                <c:pt idx="10">
                  <c:v>-1.70000000002801</c:v>
                </c:pt>
                <c:pt idx="11">
                  <c:v>-1.30000000001473</c:v>
                </c:pt>
                <c:pt idx="12">
                  <c:v>-1.5000000000782201</c:v>
                </c:pt>
                <c:pt idx="13">
                  <c:v>-1.70000000002801</c:v>
                </c:pt>
                <c:pt idx="14">
                  <c:v>-1.9000000000915001</c:v>
                </c:pt>
                <c:pt idx="15">
                  <c:v>-2.00000000006639</c:v>
                </c:pt>
                <c:pt idx="16">
                  <c:v>-2.2999999999910901</c:v>
                </c:pt>
                <c:pt idx="17">
                  <c:v>-2.5000000000545701</c:v>
                </c:pt>
                <c:pt idx="18">
                  <c:v>-2.2000000000161899</c:v>
                </c:pt>
                <c:pt idx="19">
                  <c:v>-2.9000000000678501</c:v>
                </c:pt>
                <c:pt idx="20">
                  <c:v>-3.1000000000176402</c:v>
                </c:pt>
                <c:pt idx="21">
                  <c:v>-0.80000000002655702</c:v>
                </c:pt>
              </c:numCache>
            </c:numRef>
          </c:val>
        </c:ser>
        <c:ser>
          <c:idx val="1"/>
          <c:order val="1"/>
          <c:tx>
            <c:strRef>
              <c:f>'zk79+991'!$H$4:$L$4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'zk79+991'!$A$6:$A$34</c:f>
              <c:numCache>
                <c:formatCode>m"月"d"日";@</c:formatCode>
                <c:ptCount val="29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-0.10000000008858501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-0.90000000000145497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-2.2000000000161899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-2.2999999999910901</c:v>
                </c:pt>
                <c:pt idx="13">
                  <c:v>-2.40000000007967</c:v>
                </c:pt>
                <c:pt idx="14">
                  <c:v>-2.5000000000545701</c:v>
                </c:pt>
                <c:pt idx="15">
                  <c:v>-2.70000000000437</c:v>
                </c:pt>
                <c:pt idx="16">
                  <c:v>-2.70000000000437</c:v>
                </c:pt>
                <c:pt idx="17">
                  <c:v>-2.79999999997926</c:v>
                </c:pt>
                <c:pt idx="18">
                  <c:v>-3.1999999999925399</c:v>
                </c:pt>
                <c:pt idx="19">
                  <c:v>-3.0000000000427498</c:v>
                </c:pt>
                <c:pt idx="20">
                  <c:v>-3.1000000000176402</c:v>
                </c:pt>
                <c:pt idx="21">
                  <c:v>-2.6666666667551901E-2</c:v>
                </c:pt>
              </c:numCache>
            </c:numRef>
          </c:val>
        </c:ser>
        <c:ser>
          <c:idx val="2"/>
          <c:order val="2"/>
          <c:tx>
            <c:strRef>
              <c:f>'zk79+991'!$M$4:$Q$4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'zk79+991'!$A$6:$A$34</c:f>
              <c:numCache>
                <c:formatCode>m"月"d"日";@</c:formatCode>
                <c:ptCount val="29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'zk79+991'!$P$6:$P$28</c:f>
              <c:numCache>
                <c:formatCode>0.00_ </c:formatCode>
                <c:ptCount val="23"/>
                <c:pt idx="0">
                  <c:v>0</c:v>
                </c:pt>
                <c:pt idx="1">
                  <c:v>-0.29999999992469401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-0.90000000000145497</c:v>
                </c:pt>
                <c:pt idx="7">
                  <c:v>-1.1999999999261499</c:v>
                </c:pt>
                <c:pt idx="8">
                  <c:v>-1.39999999998963</c:v>
                </c:pt>
                <c:pt idx="9">
                  <c:v>-1.4999999999645299</c:v>
                </c:pt>
                <c:pt idx="10">
                  <c:v>-1.8000000000029099</c:v>
                </c:pt>
                <c:pt idx="11">
                  <c:v>-1.9999999999527101</c:v>
                </c:pt>
                <c:pt idx="12">
                  <c:v>-1.8999999999778101</c:v>
                </c:pt>
                <c:pt idx="13">
                  <c:v>-1.8000000000029099</c:v>
                </c:pt>
                <c:pt idx="14">
                  <c:v>-1.8999999999778101</c:v>
                </c:pt>
                <c:pt idx="15">
                  <c:v>-1.5999999999394301</c:v>
                </c:pt>
                <c:pt idx="16">
                  <c:v>-1.4999999999645299</c:v>
                </c:pt>
                <c:pt idx="17">
                  <c:v>-1.9999999999527101</c:v>
                </c:pt>
                <c:pt idx="18">
                  <c:v>-2.2000000000161899</c:v>
                </c:pt>
                <c:pt idx="19">
                  <c:v>-2.2000000000161899</c:v>
                </c:pt>
                <c:pt idx="20">
                  <c:v>-2.2999999999910901</c:v>
                </c:pt>
              </c:numCache>
            </c:numRef>
          </c:val>
        </c:ser>
        <c:dLbls/>
        <c:marker val="1"/>
        <c:axId val="396544640"/>
        <c:axId val="396559488"/>
      </c:lineChart>
      <c:lineChart>
        <c:grouping val="standard"/>
        <c:ser>
          <c:idx val="3"/>
          <c:order val="3"/>
          <c:tx>
            <c:strRef>
              <c:f>'zk79+991'!$AG$3:$AG$5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'zk79+991'!$A$6:$A$34</c:f>
              <c:numCache>
                <c:formatCode>m"月"d"日";@</c:formatCode>
                <c:ptCount val="29"/>
                <c:pt idx="0">
                  <c:v>44750</c:v>
                </c:pt>
                <c:pt idx="1">
                  <c:v>44751</c:v>
                </c:pt>
                <c:pt idx="2">
                  <c:v>44752</c:v>
                </c:pt>
                <c:pt idx="3">
                  <c:v>44753</c:v>
                </c:pt>
                <c:pt idx="4">
                  <c:v>44754</c:v>
                </c:pt>
                <c:pt idx="5">
                  <c:v>44755</c:v>
                </c:pt>
                <c:pt idx="6">
                  <c:v>44756</c:v>
                </c:pt>
                <c:pt idx="7">
                  <c:v>44757</c:v>
                </c:pt>
                <c:pt idx="8">
                  <c:v>44758</c:v>
                </c:pt>
                <c:pt idx="9">
                  <c:v>44759</c:v>
                </c:pt>
                <c:pt idx="10">
                  <c:v>44760</c:v>
                </c:pt>
                <c:pt idx="11">
                  <c:v>44761</c:v>
                </c:pt>
                <c:pt idx="12">
                  <c:v>44762</c:v>
                </c:pt>
                <c:pt idx="13">
                  <c:v>44763</c:v>
                </c:pt>
                <c:pt idx="14">
                  <c:v>44764</c:v>
                </c:pt>
                <c:pt idx="15">
                  <c:v>44766</c:v>
                </c:pt>
                <c:pt idx="16">
                  <c:v>44768</c:v>
                </c:pt>
                <c:pt idx="17">
                  <c:v>44770</c:v>
                </c:pt>
                <c:pt idx="18">
                  <c:v>44772</c:v>
                </c:pt>
                <c:pt idx="19">
                  <c:v>44774</c:v>
                </c:pt>
                <c:pt idx="20">
                  <c:v>44776</c:v>
                </c:pt>
              </c:numCache>
            </c:numRef>
          </c:cat>
          <c:val>
            <c:numRef>
              <c:f>'zk79+991'!$AG$6:$AG$31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</c:numCache>
            </c:numRef>
          </c:val>
        </c:ser>
        <c:dLbls/>
        <c:marker val="1"/>
        <c:axId val="396561408"/>
        <c:axId val="396571392"/>
      </c:lineChart>
      <c:dateAx>
        <c:axId val="3965446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559488"/>
        <c:crossesAt val="-50"/>
        <c:auto val="1"/>
        <c:lblOffset val="100"/>
        <c:baseTimeUnit val="days"/>
      </c:dateAx>
      <c:valAx>
        <c:axId val="39655948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544640"/>
        <c:crosses val="autoZero"/>
        <c:crossBetween val="midCat"/>
        <c:majorUnit val="1"/>
        <c:minorUnit val="0.5"/>
      </c:valAx>
      <c:dateAx>
        <c:axId val="39656140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6571392"/>
        <c:crosses val="autoZero"/>
        <c:auto val="1"/>
        <c:lblOffset val="100"/>
        <c:baseTimeUnit val="days"/>
      </c:dateAx>
      <c:valAx>
        <c:axId val="396571392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56140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83125000000000004"/>
          <c:h val="8.8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80+029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'zk80+029'!$U$4:$W$4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'zk80+029'!$S$6:$S$27</c:f>
              <c:numCache>
                <c:formatCode>m"月"d"日";@</c:formatCode>
                <c:ptCount val="22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-1.6999999999995901</c:v>
                </c:pt>
                <c:pt idx="9">
                  <c:v>-1.6999999999995901</c:v>
                </c:pt>
                <c:pt idx="10">
                  <c:v>-2.2999999999999701</c:v>
                </c:pt>
                <c:pt idx="11">
                  <c:v>-2.59999999999927</c:v>
                </c:pt>
                <c:pt idx="12">
                  <c:v>-2.59999999999927</c:v>
                </c:pt>
                <c:pt idx="13">
                  <c:v>-3.2000000000103102</c:v>
                </c:pt>
                <c:pt idx="14">
                  <c:v>-3.5000000000096101</c:v>
                </c:pt>
                <c:pt idx="15">
                  <c:v>-3.6000000000004899</c:v>
                </c:pt>
                <c:pt idx="16">
                  <c:v>-4.1000000000099801</c:v>
                </c:pt>
                <c:pt idx="17">
                  <c:v>-4.4000000000092898</c:v>
                </c:pt>
                <c:pt idx="18">
                  <c:v>-4.1999999999990898</c:v>
                </c:pt>
                <c:pt idx="19">
                  <c:v>-5.0000000000096598</c:v>
                </c:pt>
                <c:pt idx="20">
                  <c:v>-4.8999999999992401</c:v>
                </c:pt>
                <c:pt idx="21">
                  <c:v>-1.3000000000005201</c:v>
                </c:pt>
              </c:numCache>
            </c:numRef>
          </c:val>
        </c:ser>
        <c:ser>
          <c:idx val="1"/>
          <c:order val="1"/>
          <c:tx>
            <c:strRef>
              <c:f>'zk80+029'!$Y$4:$AA$4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'zk80+029'!$S$6:$S$27</c:f>
              <c:numCache>
                <c:formatCode>m"月"d"日";@</c:formatCode>
                <c:ptCount val="22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'zk80+029'!$Z$6:$Z$33</c:f>
              <c:numCache>
                <c:formatCode>0.00_ </c:formatCode>
                <c:ptCount val="28"/>
                <c:pt idx="0">
                  <c:v>0</c:v>
                </c:pt>
                <c:pt idx="1">
                  <c:v>-0.49999999999883499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-9.99999999997669E-2</c:v>
                </c:pt>
                <c:pt idx="5">
                  <c:v>-0.70000000000014495</c:v>
                </c:pt>
                <c:pt idx="6">
                  <c:v>-0.999999999999446</c:v>
                </c:pt>
                <c:pt idx="7">
                  <c:v>-1.0999999999992101</c:v>
                </c:pt>
                <c:pt idx="8">
                  <c:v>-1.1999999999989801</c:v>
                </c:pt>
                <c:pt idx="9">
                  <c:v>-1.50000000000006</c:v>
                </c:pt>
                <c:pt idx="10">
                  <c:v>-1.4000000000002899</c:v>
                </c:pt>
                <c:pt idx="11">
                  <c:v>-1.50000000000006</c:v>
                </c:pt>
                <c:pt idx="12">
                  <c:v>-1.99999999999889</c:v>
                </c:pt>
                <c:pt idx="13">
                  <c:v>-1.6999999999995901</c:v>
                </c:pt>
                <c:pt idx="14">
                  <c:v>-1.7999999999993599</c:v>
                </c:pt>
                <c:pt idx="15">
                  <c:v>-2.2999999999999701</c:v>
                </c:pt>
                <c:pt idx="16">
                  <c:v>-1.99999999999889</c:v>
                </c:pt>
                <c:pt idx="17">
                  <c:v>-2.10000000000043</c:v>
                </c:pt>
                <c:pt idx="18">
                  <c:v>-2.2000000000002</c:v>
                </c:pt>
                <c:pt idx="19">
                  <c:v>-2.4999999999995</c:v>
                </c:pt>
                <c:pt idx="20">
                  <c:v>-2.3999999999997401</c:v>
                </c:pt>
                <c:pt idx="21">
                  <c:v>-4.4000000000004</c:v>
                </c:pt>
              </c:numCache>
            </c:numRef>
          </c:val>
        </c:ser>
        <c:ser>
          <c:idx val="2"/>
          <c:order val="2"/>
          <c:tx>
            <c:strRef>
              <c:f>'zk80+029'!$AC$4:$AE$4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'zk80+029'!$S$6:$S$27</c:f>
              <c:numCache>
                <c:formatCode>m"月"d"日";@</c:formatCode>
                <c:ptCount val="22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'zk80+029'!$AD$6:$AD$37</c:f>
              <c:numCache>
                <c:formatCode>0.00_ 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-0.60000000000037801</c:v>
                </c:pt>
                <c:pt idx="3">
                  <c:v>-0.799999999999912</c:v>
                </c:pt>
                <c:pt idx="4">
                  <c:v>-1.0000000000012199</c:v>
                </c:pt>
                <c:pt idx="5">
                  <c:v>-1.20000000000076</c:v>
                </c:pt>
                <c:pt idx="6">
                  <c:v>-1.59999999999982</c:v>
                </c:pt>
                <c:pt idx="7">
                  <c:v>-1.80000000000113</c:v>
                </c:pt>
                <c:pt idx="8">
                  <c:v>-2.10000000000043</c:v>
                </c:pt>
                <c:pt idx="9">
                  <c:v>-2.2000000000002</c:v>
                </c:pt>
                <c:pt idx="10">
                  <c:v>-2.3999999999997401</c:v>
                </c:pt>
                <c:pt idx="11">
                  <c:v>-2.6000000000010499</c:v>
                </c:pt>
                <c:pt idx="12">
                  <c:v>-2.5000000000012799</c:v>
                </c:pt>
                <c:pt idx="13">
                  <c:v>-3.0000000000001101</c:v>
                </c:pt>
                <c:pt idx="14">
                  <c:v>-3.1999999999996498</c:v>
                </c:pt>
                <c:pt idx="15">
                  <c:v>-3.0999999999998802</c:v>
                </c:pt>
                <c:pt idx="16">
                  <c:v>-3.6000000000004899</c:v>
                </c:pt>
                <c:pt idx="17">
                  <c:v>-3.80000000000003</c:v>
                </c:pt>
                <c:pt idx="18">
                  <c:v>-4.1000000000011001</c:v>
                </c:pt>
                <c:pt idx="19">
                  <c:v>-4.2000000000008697</c:v>
                </c:pt>
                <c:pt idx="20">
                  <c:v>-4.4000000000004</c:v>
                </c:pt>
              </c:numCache>
            </c:numRef>
          </c:val>
        </c:ser>
        <c:dLbls/>
        <c:marker val="1"/>
        <c:axId val="396765824"/>
        <c:axId val="396780672"/>
      </c:lineChart>
      <c:lineChart>
        <c:grouping val="standard"/>
        <c:ser>
          <c:idx val="3"/>
          <c:order val="3"/>
          <c:tx>
            <c:strRef>
              <c:f>'zk80+029'!$AG$3:$AG$5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'zk80+029'!$S$6:$S$27</c:f>
              <c:numCache>
                <c:formatCode>m"月"d"日";@</c:formatCode>
                <c:ptCount val="22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'zk80+029'!$AG$6:$AG$31</c:f>
              <c:numCache>
                <c:formatCode>0.0_ </c:formatCode>
                <c:ptCount val="26"/>
                <c:pt idx="0">
                  <c:v>3</c:v>
                </c:pt>
                <c:pt idx="1">
                  <c:v>7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31</c:v>
                </c:pt>
                <c:pt idx="6">
                  <c:v>37</c:v>
                </c:pt>
                <c:pt idx="7">
                  <c:v>43</c:v>
                </c:pt>
                <c:pt idx="8">
                  <c:v>49</c:v>
                </c:pt>
                <c:pt idx="9">
                  <c:v>55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91</c:v>
                </c:pt>
                <c:pt idx="16">
                  <c:v>97</c:v>
                </c:pt>
                <c:pt idx="17">
                  <c:v>103</c:v>
                </c:pt>
                <c:pt idx="18">
                  <c:v>109</c:v>
                </c:pt>
                <c:pt idx="19">
                  <c:v>115</c:v>
                </c:pt>
                <c:pt idx="20">
                  <c:v>121</c:v>
                </c:pt>
              </c:numCache>
            </c:numRef>
          </c:val>
        </c:ser>
        <c:dLbls/>
        <c:marker val="1"/>
        <c:axId val="396782592"/>
        <c:axId val="396792576"/>
      </c:lineChart>
      <c:dateAx>
        <c:axId val="3967658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780672"/>
        <c:crossesAt val="-50"/>
        <c:auto val="1"/>
        <c:lblOffset val="100"/>
        <c:baseTimeUnit val="days"/>
        <c:majorUnit val="3"/>
        <c:majorTimeUnit val="days"/>
      </c:dateAx>
      <c:valAx>
        <c:axId val="396780672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765824"/>
        <c:crosses val="autoZero"/>
        <c:crossBetween val="midCat"/>
        <c:majorUnit val="1.6"/>
        <c:minorUnit val="0.1"/>
      </c:valAx>
      <c:dateAx>
        <c:axId val="3967825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6792576"/>
        <c:crosses val="autoZero"/>
        <c:auto val="1"/>
        <c:lblOffset val="100"/>
        <c:baseTimeUnit val="days"/>
      </c:dateAx>
      <c:valAx>
        <c:axId val="396792576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78259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0928E-2"/>
          <c:w val="0.863250000000000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80+029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'zk80+029'!$C$4:$G$4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'zk80+029'!$A$6:$A$38</c:f>
              <c:numCache>
                <c:formatCode>m"月"d"日";@</c:formatCode>
                <c:ptCount val="33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'zk80+029'!$G$6:$G$34</c:f>
              <c:numCache>
                <c:formatCode>0.00_ </c:formatCode>
                <c:ptCount val="29"/>
                <c:pt idx="0">
                  <c:v>0</c:v>
                </c:pt>
                <c:pt idx="1">
                  <c:v>-0.49999999998817701</c:v>
                </c:pt>
                <c:pt idx="2">
                  <c:v>0.10000000008858501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-0.20000000006348301</c:v>
                </c:pt>
                <c:pt idx="11">
                  <c:v>-9.9999999974897905E-2</c:v>
                </c:pt>
                <c:pt idx="12">
                  <c:v>-0.30000000003838101</c:v>
                </c:pt>
                <c:pt idx="13">
                  <c:v>-0.199999999949796</c:v>
                </c:pt>
                <c:pt idx="14">
                  <c:v>0.30000000003838101</c:v>
                </c:pt>
                <c:pt idx="15">
                  <c:v>-0.35000000002582998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-0.24999999999408801</c:v>
                </c:pt>
                <c:pt idx="19">
                  <c:v>-0.100000000031741</c:v>
                </c:pt>
                <c:pt idx="20">
                  <c:v>0.45000000000072798</c:v>
                </c:pt>
                <c:pt idx="21">
                  <c:v>-2.2999999999910901</c:v>
                </c:pt>
              </c:numCache>
            </c:numRef>
          </c:val>
        </c:ser>
        <c:ser>
          <c:idx val="1"/>
          <c:order val="1"/>
          <c:tx>
            <c:strRef>
              <c:f>'zk80+029'!$H$4:$L$4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'zk80+029'!$A$6:$A$38</c:f>
              <c:numCache>
                <c:formatCode>m"月"d"日";@</c:formatCode>
                <c:ptCount val="33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-5.0000000044292399E-2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0.100000000031741</c:v>
                </c:pt>
                <c:pt idx="19">
                  <c:v>-0.30000000003838101</c:v>
                </c:pt>
                <c:pt idx="20">
                  <c:v>-9.9999999974897905E-2</c:v>
                </c:pt>
              </c:numCache>
            </c:numRef>
          </c:val>
        </c:ser>
        <c:ser>
          <c:idx val="2"/>
          <c:order val="2"/>
          <c:tx>
            <c:strRef>
              <c:f>'zk80+029'!$M$4:$Q$4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'zk80+029'!$A$6:$A$38</c:f>
              <c:numCache>
                <c:formatCode>m"月"d"日";@</c:formatCode>
                <c:ptCount val="33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'zk80+029'!$Q$6:$Q$31</c:f>
              <c:numCache>
                <c:formatCode>0.00_ </c:formatCode>
                <c:ptCount val="26"/>
                <c:pt idx="0">
                  <c:v>0</c:v>
                </c:pt>
                <c:pt idx="1">
                  <c:v>-0.40000000001327901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-0.40000000001327901</c:v>
                </c:pt>
                <c:pt idx="7">
                  <c:v>-0.20000000006348301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-0.199999999949796</c:v>
                </c:pt>
                <c:pt idx="14">
                  <c:v>-0.10000000008858501</c:v>
                </c:pt>
                <c:pt idx="15">
                  <c:v>-0.149999999962347</c:v>
                </c:pt>
                <c:pt idx="16">
                  <c:v>-0.100000000031741</c:v>
                </c:pt>
                <c:pt idx="17">
                  <c:v>0.15000000001919001</c:v>
                </c:pt>
                <c:pt idx="18">
                  <c:v>-0.35000000002582998</c:v>
                </c:pt>
                <c:pt idx="19">
                  <c:v>-9.9999999974897905E-2</c:v>
                </c:pt>
                <c:pt idx="20">
                  <c:v>4.9999999987449001E-2</c:v>
                </c:pt>
              </c:numCache>
            </c:numRef>
          </c:val>
        </c:ser>
        <c:dLbls/>
        <c:marker val="1"/>
        <c:axId val="396658176"/>
        <c:axId val="396660096"/>
      </c:lineChart>
      <c:dateAx>
        <c:axId val="3966581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660096"/>
        <c:crossesAt val="-50"/>
        <c:auto val="1"/>
        <c:lblOffset val="100"/>
        <c:baseTimeUnit val="days"/>
      </c:dateAx>
      <c:valAx>
        <c:axId val="39666009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658176"/>
        <c:crosses val="autoZero"/>
        <c:crossBetween val="midCat"/>
        <c:majorUnit val="0.700000000000000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0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80+029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'zk80+029'!$U$4:$W$4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'zk80+029'!$S$6:$S$41</c:f>
              <c:numCache>
                <c:formatCode>m"月"d"日";@</c:formatCode>
                <c:ptCount val="36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0.50000000000061096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0.30000000000107702</c:v>
                </c:pt>
                <c:pt idx="8">
                  <c:v>0.29999999999930099</c:v>
                </c:pt>
                <c:pt idx="9">
                  <c:v>0</c:v>
                </c:pt>
                <c:pt idx="10">
                  <c:v>0.60000000000037801</c:v>
                </c:pt>
                <c:pt idx="11">
                  <c:v>0.29999999999930099</c:v>
                </c:pt>
                <c:pt idx="12">
                  <c:v>0</c:v>
                </c:pt>
                <c:pt idx="13">
                  <c:v>0.60000000001103604</c:v>
                </c:pt>
                <c:pt idx="14">
                  <c:v>0.29999999999930099</c:v>
                </c:pt>
                <c:pt idx="15">
                  <c:v>4.99999999954426E-2</c:v>
                </c:pt>
                <c:pt idx="16">
                  <c:v>0.25000000000474598</c:v>
                </c:pt>
                <c:pt idx="17">
                  <c:v>0.14999999999965</c:v>
                </c:pt>
                <c:pt idx="18">
                  <c:v>-0.100000000005096</c:v>
                </c:pt>
                <c:pt idx="19">
                  <c:v>0.40000000000528502</c:v>
                </c:pt>
                <c:pt idx="20">
                  <c:v>-5.00000000052125E-2</c:v>
                </c:pt>
                <c:pt idx="21">
                  <c:v>-2.59999999999927</c:v>
                </c:pt>
              </c:numCache>
            </c:numRef>
          </c:val>
        </c:ser>
        <c:ser>
          <c:idx val="1"/>
          <c:order val="1"/>
          <c:tx>
            <c:strRef>
              <c:f>'zk80+029'!$Y$4:$AA$4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'zk80+029'!$S$6:$S$41</c:f>
              <c:numCache>
                <c:formatCode>m"月"d"日";@</c:formatCode>
                <c:ptCount val="36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-0.49999999999883499</c:v>
                </c:pt>
                <c:pt idx="2">
                  <c:v>0.39999999999906799</c:v>
                </c:pt>
                <c:pt idx="3">
                  <c:v>-0.19999999999953399</c:v>
                </c:pt>
                <c:pt idx="4">
                  <c:v>0.19999999999953399</c:v>
                </c:pt>
                <c:pt idx="5">
                  <c:v>-0.60000000000037801</c:v>
                </c:pt>
                <c:pt idx="6">
                  <c:v>-0.29999999999930099</c:v>
                </c:pt>
                <c:pt idx="7">
                  <c:v>-9.99999999997669E-2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9.99999999997669E-2</c:v>
                </c:pt>
                <c:pt idx="11">
                  <c:v>-9.99999999997669E-2</c:v>
                </c:pt>
                <c:pt idx="12">
                  <c:v>-0.49999999999883499</c:v>
                </c:pt>
                <c:pt idx="13">
                  <c:v>0.29999999999930099</c:v>
                </c:pt>
                <c:pt idx="14">
                  <c:v>-9.99999999997669E-2</c:v>
                </c:pt>
                <c:pt idx="15">
                  <c:v>-0.25000000000030598</c:v>
                </c:pt>
                <c:pt idx="16">
                  <c:v>0.15000000000053901</c:v>
                </c:pt>
                <c:pt idx="17">
                  <c:v>-5.0000000000771601E-2</c:v>
                </c:pt>
                <c:pt idx="18">
                  <c:v>-4.9999999999883499E-2</c:v>
                </c:pt>
                <c:pt idx="19">
                  <c:v>-0.14999999999965</c:v>
                </c:pt>
                <c:pt idx="20">
                  <c:v>4.9999999999883499E-2</c:v>
                </c:pt>
                <c:pt idx="21">
                  <c:v>-0.18421052631573401</c:v>
                </c:pt>
              </c:numCache>
            </c:numRef>
          </c:val>
        </c:ser>
        <c:ser>
          <c:idx val="2"/>
          <c:order val="2"/>
          <c:tx>
            <c:strRef>
              <c:f>'zk80+029'!$AC$4:$AE$4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'zk80+029'!$S$6:$S$41</c:f>
              <c:numCache>
                <c:formatCode>m"月"d"日";@</c:formatCode>
                <c:ptCount val="36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'zk80+029'!$AE$6:$AE$38</c:f>
              <c:numCache>
                <c:formatCode>0.00_ 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-0.60000000000037801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-0.39999999999906799</c:v>
                </c:pt>
                <c:pt idx="7">
                  <c:v>-0.20000000000130999</c:v>
                </c:pt>
                <c:pt idx="8">
                  <c:v>-0.29999999999930099</c:v>
                </c:pt>
                <c:pt idx="9">
                  <c:v>-9.99999999997669E-2</c:v>
                </c:pt>
                <c:pt idx="10">
                  <c:v>-0.19999999999953399</c:v>
                </c:pt>
                <c:pt idx="11">
                  <c:v>-0.20000000000130999</c:v>
                </c:pt>
                <c:pt idx="12">
                  <c:v>9.99999999997669E-2</c:v>
                </c:pt>
                <c:pt idx="13">
                  <c:v>-0.49999999999883499</c:v>
                </c:pt>
                <c:pt idx="14">
                  <c:v>-0.19999999999953399</c:v>
                </c:pt>
                <c:pt idx="15">
                  <c:v>4.9999999999883499E-2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-0.15000000000053901</c:v>
                </c:pt>
                <c:pt idx="19">
                  <c:v>-4.9999999999883499E-2</c:v>
                </c:pt>
                <c:pt idx="20">
                  <c:v>-9.99999999997669E-2</c:v>
                </c:pt>
              </c:numCache>
            </c:numRef>
          </c:val>
        </c:ser>
        <c:dLbls/>
        <c:marker val="1"/>
        <c:axId val="396687232"/>
        <c:axId val="343720320"/>
      </c:lineChart>
      <c:dateAx>
        <c:axId val="3966872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720320"/>
        <c:crossesAt val="-50"/>
        <c:auto val="1"/>
        <c:lblOffset val="100"/>
        <c:baseTimeUnit val="days"/>
        <c:majorUnit val="3"/>
        <c:majorTimeUnit val="days"/>
      </c:dateAx>
      <c:valAx>
        <c:axId val="3437203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68723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9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k80+029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'zk80+029'!$C$4:$G$4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'zk80+029'!$A$6:$A$34</c:f>
              <c:numCache>
                <c:formatCode>m"月"d"日";@</c:formatCode>
                <c:ptCount val="29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'zk80+029'!$F$6:$F$32</c:f>
              <c:numCache>
                <c:formatCode>0.00_ </c:formatCode>
                <c:ptCount val="27"/>
                <c:pt idx="0">
                  <c:v>0</c:v>
                </c:pt>
                <c:pt idx="1">
                  <c:v>-0.49999999998817701</c:v>
                </c:pt>
                <c:pt idx="2">
                  <c:v>-0.39999999989959201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-0.90000000000145497</c:v>
                </c:pt>
                <c:pt idx="7">
                  <c:v>-1.39999999998963</c:v>
                </c:pt>
                <c:pt idx="8">
                  <c:v>-1.8999999999778101</c:v>
                </c:pt>
                <c:pt idx="9">
                  <c:v>-2.0999999999275998</c:v>
                </c:pt>
                <c:pt idx="10">
                  <c:v>-2.2999999999910901</c:v>
                </c:pt>
                <c:pt idx="11">
                  <c:v>-2.39999999996598</c:v>
                </c:pt>
                <c:pt idx="12">
                  <c:v>-2.70000000000437</c:v>
                </c:pt>
                <c:pt idx="13">
                  <c:v>-2.8999999999541601</c:v>
                </c:pt>
                <c:pt idx="14">
                  <c:v>-2.5999999999157799</c:v>
                </c:pt>
                <c:pt idx="15">
                  <c:v>-3.2999999999674401</c:v>
                </c:pt>
                <c:pt idx="16">
                  <c:v>-3.49999999991724</c:v>
                </c:pt>
                <c:pt idx="17">
                  <c:v>-3.3999999999423398</c:v>
                </c:pt>
                <c:pt idx="18">
                  <c:v>-3.8999999999305102</c:v>
                </c:pt>
                <c:pt idx="19">
                  <c:v>-4.099999999994</c:v>
                </c:pt>
                <c:pt idx="20">
                  <c:v>-3.1999999999925399</c:v>
                </c:pt>
                <c:pt idx="21">
                  <c:v>-2.6000000000294698</c:v>
                </c:pt>
              </c:numCache>
            </c:numRef>
          </c:val>
        </c:ser>
        <c:ser>
          <c:idx val="1"/>
          <c:order val="1"/>
          <c:tx>
            <c:strRef>
              <c:f>'zk80+029'!$H$4:$L$4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'zk80+029'!$A$6:$A$34</c:f>
              <c:numCache>
                <c:formatCode>m"月"d"日";@</c:formatCode>
                <c:ptCount val="29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-1.30000000001473</c:v>
                </c:pt>
                <c:pt idx="7">
                  <c:v>-1.4999999999645299</c:v>
                </c:pt>
                <c:pt idx="8">
                  <c:v>-1.70000000002801</c:v>
                </c:pt>
                <c:pt idx="9">
                  <c:v>-1.60000000005311</c:v>
                </c:pt>
                <c:pt idx="10">
                  <c:v>-2.1000000000412902</c:v>
                </c:pt>
                <c:pt idx="11">
                  <c:v>-2.2999999999910901</c:v>
                </c:pt>
                <c:pt idx="12">
                  <c:v>-2.2000000000161899</c:v>
                </c:pt>
                <c:pt idx="13">
                  <c:v>-2.70000000000437</c:v>
                </c:pt>
                <c:pt idx="14">
                  <c:v>-2.8999999999541601</c:v>
                </c:pt>
                <c:pt idx="15">
                  <c:v>-3.0000000000427498</c:v>
                </c:pt>
                <c:pt idx="16">
                  <c:v>-3.2999999999674401</c:v>
                </c:pt>
                <c:pt idx="17">
                  <c:v>-3.5000000000309202</c:v>
                </c:pt>
                <c:pt idx="18">
                  <c:v>-3.2999999999674401</c:v>
                </c:pt>
                <c:pt idx="19">
                  <c:v>-3.9000000000442001</c:v>
                </c:pt>
                <c:pt idx="20">
                  <c:v>-4.099999999994</c:v>
                </c:pt>
                <c:pt idx="21">
                  <c:v>-0.121052631578478</c:v>
                </c:pt>
              </c:numCache>
            </c:numRef>
          </c:val>
        </c:ser>
        <c:ser>
          <c:idx val="2"/>
          <c:order val="2"/>
          <c:tx>
            <c:strRef>
              <c:f>'zk80+029'!$M$4:$Q$4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'zk80+029'!$A$6:$A$34</c:f>
              <c:numCache>
                <c:formatCode>m"月"d"日";@</c:formatCode>
                <c:ptCount val="29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  <c:pt idx="13">
                  <c:v>44768</c:v>
                </c:pt>
                <c:pt idx="14">
                  <c:v>44769</c:v>
                </c:pt>
                <c:pt idx="15">
                  <c:v>44771</c:v>
                </c:pt>
                <c:pt idx="16">
                  <c:v>44773</c:v>
                </c:pt>
                <c:pt idx="17">
                  <c:v>44775</c:v>
                </c:pt>
                <c:pt idx="18">
                  <c:v>44777</c:v>
                </c:pt>
                <c:pt idx="19">
                  <c:v>44779</c:v>
                </c:pt>
                <c:pt idx="20">
                  <c:v>44781</c:v>
                </c:pt>
              </c:numCache>
            </c:numRef>
          </c:cat>
          <c:val>
            <c:numRef>
              <c:f>'zk80+029'!$P$6:$P$28</c:f>
              <c:numCache>
                <c:formatCode>0.00_ </c:formatCode>
                <c:ptCount val="23"/>
                <c:pt idx="0">
                  <c:v>0</c:v>
                </c:pt>
                <c:pt idx="1">
                  <c:v>-0.40000000001327901</c:v>
                </c:pt>
                <c:pt idx="2">
                  <c:v>-0.90000000000145497</c:v>
                </c:pt>
                <c:pt idx="3">
                  <c:v>-1.1000000000649399</c:v>
                </c:pt>
                <c:pt idx="4">
                  <c:v>-1.30000000001473</c:v>
                </c:pt>
                <c:pt idx="5">
                  <c:v>-1.4999999999645299</c:v>
                </c:pt>
                <c:pt idx="6">
                  <c:v>-1.8999999999778101</c:v>
                </c:pt>
                <c:pt idx="7">
                  <c:v>-2.1000000000412902</c:v>
                </c:pt>
                <c:pt idx="8">
                  <c:v>-2.00000000006639</c:v>
                </c:pt>
                <c:pt idx="9">
                  <c:v>-2.5000000000545701</c:v>
                </c:pt>
                <c:pt idx="10">
                  <c:v>-2.70000000000437</c:v>
                </c:pt>
                <c:pt idx="11">
                  <c:v>-2.6000000000294698</c:v>
                </c:pt>
                <c:pt idx="12">
                  <c:v>-3.1000000000176402</c:v>
                </c:pt>
                <c:pt idx="13">
                  <c:v>-3.2999999999674401</c:v>
                </c:pt>
                <c:pt idx="14">
                  <c:v>-3.40000000005602</c:v>
                </c:pt>
                <c:pt idx="15">
                  <c:v>-3.69999999998072</c:v>
                </c:pt>
                <c:pt idx="16">
                  <c:v>-3.9000000000442001</c:v>
                </c:pt>
                <c:pt idx="17">
                  <c:v>-3.6000000000058199</c:v>
                </c:pt>
                <c:pt idx="18">
                  <c:v>-4.3000000000574801</c:v>
                </c:pt>
                <c:pt idx="19">
                  <c:v>-4.5000000000072804</c:v>
                </c:pt>
                <c:pt idx="20">
                  <c:v>-4.4000000000323798</c:v>
                </c:pt>
              </c:numCache>
            </c:numRef>
          </c:val>
        </c:ser>
        <c:dLbls/>
        <c:marker val="1"/>
        <c:axId val="343652224"/>
        <c:axId val="343667072"/>
      </c:lineChart>
      <c:lineChart>
        <c:grouping val="standard"/>
        <c:ser>
          <c:idx val="3"/>
          <c:order val="3"/>
          <c:tx>
            <c:strRef>
              <c:f>'zk80+029'!$AG$3:$AG$5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'zk80+029'!$A$6:$A$18</c:f>
              <c:numCache>
                <c:formatCode>m"月"d"日";@</c:formatCode>
                <c:ptCount val="13"/>
                <c:pt idx="0">
                  <c:v>44755</c:v>
                </c:pt>
                <c:pt idx="1">
                  <c:v>44756</c:v>
                </c:pt>
                <c:pt idx="2">
                  <c:v>44757</c:v>
                </c:pt>
                <c:pt idx="3">
                  <c:v>44758</c:v>
                </c:pt>
                <c:pt idx="4">
                  <c:v>44759</c:v>
                </c:pt>
                <c:pt idx="5">
                  <c:v>44760</c:v>
                </c:pt>
                <c:pt idx="6">
                  <c:v>44761</c:v>
                </c:pt>
                <c:pt idx="7">
                  <c:v>44762</c:v>
                </c:pt>
                <c:pt idx="8">
                  <c:v>44763</c:v>
                </c:pt>
                <c:pt idx="9">
                  <c:v>44764</c:v>
                </c:pt>
                <c:pt idx="10">
                  <c:v>44765</c:v>
                </c:pt>
                <c:pt idx="11">
                  <c:v>44766</c:v>
                </c:pt>
                <c:pt idx="12">
                  <c:v>44767</c:v>
                </c:pt>
              </c:numCache>
            </c:numRef>
          </c:cat>
          <c:val>
            <c:numRef>
              <c:f>'zk80+029'!$AG$6:$AG$31</c:f>
              <c:numCache>
                <c:formatCode>0.0_ </c:formatCode>
                <c:ptCount val="26"/>
                <c:pt idx="0">
                  <c:v>3</c:v>
                </c:pt>
                <c:pt idx="1">
                  <c:v>7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31</c:v>
                </c:pt>
                <c:pt idx="6">
                  <c:v>37</c:v>
                </c:pt>
                <c:pt idx="7">
                  <c:v>43</c:v>
                </c:pt>
                <c:pt idx="8">
                  <c:v>49</c:v>
                </c:pt>
                <c:pt idx="9">
                  <c:v>55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91</c:v>
                </c:pt>
                <c:pt idx="16">
                  <c:v>97</c:v>
                </c:pt>
                <c:pt idx="17">
                  <c:v>103</c:v>
                </c:pt>
                <c:pt idx="18">
                  <c:v>109</c:v>
                </c:pt>
                <c:pt idx="19">
                  <c:v>115</c:v>
                </c:pt>
                <c:pt idx="20">
                  <c:v>121</c:v>
                </c:pt>
              </c:numCache>
            </c:numRef>
          </c:val>
        </c:ser>
        <c:dLbls/>
        <c:marker val="1"/>
        <c:axId val="343668992"/>
        <c:axId val="343748608"/>
      </c:lineChart>
      <c:dateAx>
        <c:axId val="3436522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7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667072"/>
        <c:crossesAt val="-50"/>
        <c:auto val="1"/>
        <c:lblOffset val="100"/>
        <c:baseTimeUnit val="days"/>
      </c:dateAx>
      <c:valAx>
        <c:axId val="34366707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652224"/>
        <c:crosses val="autoZero"/>
        <c:crossBetween val="midCat"/>
        <c:majorUnit val="1.4"/>
        <c:minorUnit val="0.5"/>
      </c:valAx>
      <c:dateAx>
        <c:axId val="3436689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3748608"/>
        <c:crosses val="autoZero"/>
        <c:auto val="1"/>
        <c:lblOffset val="100"/>
        <c:baseTimeUnit val="days"/>
      </c:dateAx>
      <c:valAx>
        <c:axId val="34374860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66899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509"/>
          <c:h val="9.3565374391895509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'zk80+060'!$U$4:$W$4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'zk80+060'!$S$6:$S$27</c:f>
              <c:numCache>
                <c:formatCode>m"月"d"日";@</c:formatCode>
                <c:ptCount val="22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'zk80+060'!$V$6:$V$32</c:f>
              <c:numCache>
                <c:formatCode>0.00_ </c:formatCode>
                <c:ptCount val="27"/>
                <c:pt idx="0">
                  <c:v>0</c:v>
                </c:pt>
                <c:pt idx="1">
                  <c:v>0.10000000000154299</c:v>
                </c:pt>
                <c:pt idx="2">
                  <c:v>-0.19999999999953399</c:v>
                </c:pt>
                <c:pt idx="3">
                  <c:v>-0.49999999999883499</c:v>
                </c:pt>
                <c:pt idx="4">
                  <c:v>-0.89999999999967895</c:v>
                </c:pt>
                <c:pt idx="5">
                  <c:v>-1.0999999999992101</c:v>
                </c:pt>
                <c:pt idx="6">
                  <c:v>-1.39999999999851</c:v>
                </c:pt>
                <c:pt idx="7">
                  <c:v>-1.50000000000006</c:v>
                </c:pt>
                <c:pt idx="8">
                  <c:v>-2.0000000000095501</c:v>
                </c:pt>
                <c:pt idx="9">
                  <c:v>-2.3000000000088501</c:v>
                </c:pt>
                <c:pt idx="10">
                  <c:v>-2.3999999999997401</c:v>
                </c:pt>
                <c:pt idx="11">
                  <c:v>-2.59999999999927</c:v>
                </c:pt>
                <c:pt idx="12">
                  <c:v>-2.7999999999987999</c:v>
                </c:pt>
                <c:pt idx="13">
                  <c:v>-2.8999999999985699</c:v>
                </c:pt>
                <c:pt idx="14">
                  <c:v>-3.1999999999996498</c:v>
                </c:pt>
                <c:pt idx="15">
                  <c:v>-3.3999999999991801</c:v>
                </c:pt>
                <c:pt idx="16">
                  <c:v>-3.4999999999989502</c:v>
                </c:pt>
                <c:pt idx="17">
                  <c:v>-3.80000000000003</c:v>
                </c:pt>
                <c:pt idx="18">
                  <c:v>-3.9999999999995599</c:v>
                </c:pt>
                <c:pt idx="19">
                  <c:v>-2.59999999999927</c:v>
                </c:pt>
              </c:numCache>
            </c:numRef>
          </c:val>
        </c:ser>
        <c:ser>
          <c:idx val="1"/>
          <c:order val="1"/>
          <c:tx>
            <c:strRef>
              <c:f>'zk80+060'!$Y$4:$AA$4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'zk80+060'!$S$6:$S$27</c:f>
              <c:numCache>
                <c:formatCode>m"月"d"日";@</c:formatCode>
                <c:ptCount val="22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'zk80+060'!$Z$6:$Z$33</c:f>
              <c:numCache>
                <c:formatCode>0.00_ </c:formatCode>
                <c:ptCount val="28"/>
                <c:pt idx="0">
                  <c:v>0</c:v>
                </c:pt>
                <c:pt idx="1">
                  <c:v>-0.39999999999906799</c:v>
                </c:pt>
                <c:pt idx="2">
                  <c:v>-0.60000000000037801</c:v>
                </c:pt>
                <c:pt idx="3">
                  <c:v>-0.799999999999912</c:v>
                </c:pt>
                <c:pt idx="4">
                  <c:v>-0.39999999999906799</c:v>
                </c:pt>
                <c:pt idx="5">
                  <c:v>-1.20000000000076</c:v>
                </c:pt>
                <c:pt idx="6">
                  <c:v>-1.4000000000002899</c:v>
                </c:pt>
                <c:pt idx="7">
                  <c:v>-1.0999999999992101</c:v>
                </c:pt>
                <c:pt idx="8">
                  <c:v>-1.7999999999993599</c:v>
                </c:pt>
                <c:pt idx="9">
                  <c:v>-2.0000000000006701</c:v>
                </c:pt>
                <c:pt idx="10">
                  <c:v>-2.3999999999997401</c:v>
                </c:pt>
                <c:pt idx="11">
                  <c:v>-2.3999999999997401</c:v>
                </c:pt>
                <c:pt idx="12">
                  <c:v>-2.59999999999927</c:v>
                </c:pt>
                <c:pt idx="13">
                  <c:v>-2.9000000000003499</c:v>
                </c:pt>
                <c:pt idx="14">
                  <c:v>-3.0000000000001101</c:v>
                </c:pt>
                <c:pt idx="15">
                  <c:v>-3.1999999999996498</c:v>
                </c:pt>
                <c:pt idx="16">
                  <c:v>-3.3999999999991801</c:v>
                </c:pt>
                <c:pt idx="17">
                  <c:v>-3.6000000000004899</c:v>
                </c:pt>
                <c:pt idx="18">
                  <c:v>-3.80000000000003</c:v>
                </c:pt>
                <c:pt idx="19">
                  <c:v>-4.1000000000011001</c:v>
                </c:pt>
              </c:numCache>
            </c:numRef>
          </c:val>
        </c:ser>
        <c:ser>
          <c:idx val="2"/>
          <c:order val="2"/>
          <c:tx>
            <c:strRef>
              <c:f>'zk80+060'!$AC$4:$AE$4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'zk80+060'!$S$6:$S$27</c:f>
              <c:numCache>
                <c:formatCode>m"月"d"日";@</c:formatCode>
                <c:ptCount val="22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'zk80+060'!$AD$6:$AD$37</c:f>
              <c:numCache>
                <c:formatCode>0.00_ 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-0.60000000000037801</c:v>
                </c:pt>
                <c:pt idx="3">
                  <c:v>-0.799999999999912</c:v>
                </c:pt>
                <c:pt idx="4">
                  <c:v>-1.0000000000012199</c:v>
                </c:pt>
                <c:pt idx="5">
                  <c:v>-1.3000000000005201</c:v>
                </c:pt>
                <c:pt idx="6">
                  <c:v>-1.59999999999982</c:v>
                </c:pt>
                <c:pt idx="7">
                  <c:v>-1.80000000000113</c:v>
                </c:pt>
                <c:pt idx="8">
                  <c:v>-2.10000000000043</c:v>
                </c:pt>
                <c:pt idx="9">
                  <c:v>-2.2000000000002</c:v>
                </c:pt>
                <c:pt idx="10">
                  <c:v>-2.3999999999997401</c:v>
                </c:pt>
                <c:pt idx="11">
                  <c:v>-2.6000000000099299</c:v>
                </c:pt>
                <c:pt idx="12">
                  <c:v>-2.5000000000012799</c:v>
                </c:pt>
                <c:pt idx="13">
                  <c:v>-3.0000000000107701</c:v>
                </c:pt>
                <c:pt idx="14">
                  <c:v>-3.2000000000103102</c:v>
                </c:pt>
                <c:pt idx="15">
                  <c:v>-3.0999999999998802</c:v>
                </c:pt>
                <c:pt idx="16">
                  <c:v>-3.6000000000111498</c:v>
                </c:pt>
                <c:pt idx="17">
                  <c:v>-3.8000000000106802</c:v>
                </c:pt>
                <c:pt idx="18">
                  <c:v>-4.1000000000011001</c:v>
                </c:pt>
              </c:numCache>
            </c:numRef>
          </c:val>
        </c:ser>
        <c:dLbls/>
        <c:marker val="1"/>
        <c:axId val="343853696"/>
        <c:axId val="343860352"/>
      </c:lineChart>
      <c:lineChart>
        <c:grouping val="standard"/>
        <c:ser>
          <c:idx val="3"/>
          <c:order val="3"/>
          <c:tx>
            <c:strRef>
              <c:f>'zk80+060'!$AG$3:$AG$5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'zk80+060'!$S$6:$S$27</c:f>
              <c:numCache>
                <c:formatCode>m"月"d"日";@</c:formatCode>
                <c:ptCount val="22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</c:numCache>
            </c:numRef>
          </c:val>
        </c:ser>
        <c:dLbls/>
        <c:marker val="1"/>
        <c:axId val="343862272"/>
        <c:axId val="343868160"/>
      </c:lineChart>
      <c:dateAx>
        <c:axId val="3438536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860352"/>
        <c:crossesAt val="-50"/>
        <c:auto val="1"/>
        <c:lblOffset val="100"/>
        <c:baseTimeUnit val="days"/>
      </c:dateAx>
      <c:valAx>
        <c:axId val="34386035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7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853696"/>
        <c:crosses val="autoZero"/>
        <c:crossBetween val="midCat"/>
        <c:majorUnit val="1.4"/>
        <c:minorUnit val="0.1"/>
      </c:valAx>
      <c:dateAx>
        <c:axId val="3438622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3868160"/>
        <c:crosses val="autoZero"/>
        <c:auto val="1"/>
        <c:lblOffset val="100"/>
        <c:baseTimeUnit val="days"/>
      </c:dateAx>
      <c:valAx>
        <c:axId val="34386816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86227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026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22"/>
        </c:manualLayout>
      </c:layout>
      <c:lineChart>
        <c:grouping val="standard"/>
        <c:ser>
          <c:idx val="0"/>
          <c:order val="0"/>
          <c:tx>
            <c:strRef>
              <c:f>'zk80+060'!$C$4:$G$4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'zk80+060'!$A$6:$A$38</c:f>
              <c:numCache>
                <c:formatCode>m"月"d"日";@</c:formatCode>
                <c:ptCount val="33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-0.30000000003838101</c:v>
                </c:pt>
                <c:pt idx="3">
                  <c:v>-9.9999999974897905E-2</c:v>
                </c:pt>
                <c:pt idx="4">
                  <c:v>-0.199999999949796</c:v>
                </c:pt>
                <c:pt idx="5">
                  <c:v>0</c:v>
                </c:pt>
                <c:pt idx="6">
                  <c:v>-0.40000000001327901</c:v>
                </c:pt>
                <c:pt idx="7">
                  <c:v>-0.20000000006348301</c:v>
                </c:pt>
                <c:pt idx="8">
                  <c:v>0.10000000008858501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-9.9999999974897905E-2</c:v>
                </c:pt>
                <c:pt idx="12">
                  <c:v>-0.30000000003838101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4.9999999987449001E-2</c:v>
                </c:pt>
                <c:pt idx="19">
                  <c:v>-1.30000000001473</c:v>
                </c:pt>
              </c:numCache>
            </c:numRef>
          </c:val>
        </c:ser>
        <c:ser>
          <c:idx val="1"/>
          <c:order val="1"/>
          <c:tx>
            <c:strRef>
              <c:f>'zk80+060'!$H$4:$L$4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'zk80+060'!$A$6:$A$38</c:f>
              <c:numCache>
                <c:formatCode>m"月"d"日";@</c:formatCode>
                <c:ptCount val="33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'zk80+060'!$L$6:$L$35</c:f>
              <c:numCache>
                <c:formatCode>0.00_ </c:formatCode>
                <c:ptCount val="30"/>
                <c:pt idx="0">
                  <c:v>0</c:v>
                </c:pt>
                <c:pt idx="1">
                  <c:v>-0.30000000003838101</c:v>
                </c:pt>
                <c:pt idx="2">
                  <c:v>9.9999999974897905E-2</c:v>
                </c:pt>
                <c:pt idx="3">
                  <c:v>-0.40000000001327901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9.9999999974897905E-2</c:v>
                </c:pt>
                <c:pt idx="13">
                  <c:v>-0.49999999998817701</c:v>
                </c:pt>
                <c:pt idx="14">
                  <c:v>-0.199999999949796</c:v>
                </c:pt>
                <c:pt idx="15">
                  <c:v>0.149999999962347</c:v>
                </c:pt>
                <c:pt idx="16">
                  <c:v>-0.34999999996898601</c:v>
                </c:pt>
                <c:pt idx="17">
                  <c:v>-0.100000000031741</c:v>
                </c:pt>
                <c:pt idx="18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'zk80+060'!$M$4:$Q$4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'zk80+060'!$A$6:$A$38</c:f>
              <c:numCache>
                <c:formatCode>m"月"d"日";@</c:formatCode>
                <c:ptCount val="33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'zk80+060'!$Q$6:$Q$31</c:f>
              <c:numCache>
                <c:formatCode>0.00_ </c:formatCode>
                <c:ptCount val="26"/>
                <c:pt idx="0">
                  <c:v>0</c:v>
                </c:pt>
                <c:pt idx="1">
                  <c:v>9.9999999974897905E-2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-0.199999999949796</c:v>
                </c:pt>
                <c:pt idx="5">
                  <c:v>-0.10000000008858501</c:v>
                </c:pt>
                <c:pt idx="6">
                  <c:v>-0.29999999992469401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9.9999999974897905E-2</c:v>
                </c:pt>
                <c:pt idx="13">
                  <c:v>-9.9999999974897905E-2</c:v>
                </c:pt>
                <c:pt idx="14">
                  <c:v>0.30000000003838101</c:v>
                </c:pt>
                <c:pt idx="15">
                  <c:v>4.9999999987449001E-2</c:v>
                </c:pt>
                <c:pt idx="16">
                  <c:v>-0.24999999999408801</c:v>
                </c:pt>
                <c:pt idx="17">
                  <c:v>-0.100000000031741</c:v>
                </c:pt>
                <c:pt idx="18">
                  <c:v>0</c:v>
                </c:pt>
              </c:numCache>
            </c:numRef>
          </c:val>
        </c:ser>
        <c:dLbls/>
        <c:marker val="1"/>
        <c:axId val="343925888"/>
        <c:axId val="343928192"/>
      </c:lineChart>
      <c:dateAx>
        <c:axId val="3439258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928192"/>
        <c:crossesAt val="-50"/>
        <c:auto val="1"/>
        <c:lblOffset val="100"/>
        <c:baseTimeUnit val="days"/>
      </c:dateAx>
      <c:valAx>
        <c:axId val="34392819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9258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'zk80+060'!$S$6:$S$41</c:f>
              <c:numCache>
                <c:formatCode>m"月"d"日";@</c:formatCode>
                <c:ptCount val="36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'zk80+060'!$W$6:$W$32</c:f>
              <c:numCache>
                <c:formatCode>0.00_ </c:formatCode>
                <c:ptCount val="27"/>
                <c:pt idx="0">
                  <c:v>0</c:v>
                </c:pt>
                <c:pt idx="1">
                  <c:v>-0.10000000000154299</c:v>
                </c:pt>
                <c:pt idx="2">
                  <c:v>0.30000000000107702</c:v>
                </c:pt>
                <c:pt idx="3">
                  <c:v>0.29999999999930099</c:v>
                </c:pt>
                <c:pt idx="4">
                  <c:v>0.40000000000084401</c:v>
                </c:pt>
                <c:pt idx="5">
                  <c:v>0.19999999999953399</c:v>
                </c:pt>
                <c:pt idx="6">
                  <c:v>0.29999999999930099</c:v>
                </c:pt>
                <c:pt idx="7">
                  <c:v>0.10000000000154299</c:v>
                </c:pt>
                <c:pt idx="8">
                  <c:v>0.50000000000949296</c:v>
                </c:pt>
                <c:pt idx="9">
                  <c:v>0.29999999999930099</c:v>
                </c:pt>
                <c:pt idx="10">
                  <c:v>9.9999999990885199E-2</c:v>
                </c:pt>
                <c:pt idx="11">
                  <c:v>0.19999999999953399</c:v>
                </c:pt>
                <c:pt idx="12">
                  <c:v>0.19999999999953399</c:v>
                </c:pt>
                <c:pt idx="13">
                  <c:v>9.99999999997669E-2</c:v>
                </c:pt>
                <c:pt idx="14">
                  <c:v>0.30000000000107702</c:v>
                </c:pt>
                <c:pt idx="15">
                  <c:v>9.99999999997669E-2</c:v>
                </c:pt>
                <c:pt idx="16">
                  <c:v>4.9999999999883499E-2</c:v>
                </c:pt>
                <c:pt idx="17">
                  <c:v>0.15000000000053901</c:v>
                </c:pt>
                <c:pt idx="18">
                  <c:v>9.99999999997669E-2</c:v>
                </c:pt>
                <c:pt idx="19">
                  <c:v>-2.8000000000005798</c:v>
                </c:pt>
              </c:numCache>
            </c:numRef>
          </c:val>
        </c:ser>
        <c:ser>
          <c:idx val="1"/>
          <c:order val="1"/>
          <c:tx>
            <c:strRef>
              <c:f>'zk80+060'!$Y$4:$AA$4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'zk80+060'!$S$6:$S$41</c:f>
              <c:numCache>
                <c:formatCode>m"月"d"日";@</c:formatCode>
                <c:ptCount val="36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-0.39999999999906799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0.40000000000084401</c:v>
                </c:pt>
                <c:pt idx="5">
                  <c:v>-0.80000000000168803</c:v>
                </c:pt>
                <c:pt idx="6">
                  <c:v>-0.19999999999953399</c:v>
                </c:pt>
                <c:pt idx="7">
                  <c:v>0.30000000000107702</c:v>
                </c:pt>
                <c:pt idx="8">
                  <c:v>-0.70000000000014495</c:v>
                </c:pt>
                <c:pt idx="9">
                  <c:v>-0.20000000000130999</c:v>
                </c:pt>
                <c:pt idx="10">
                  <c:v>-0.39999999999906799</c:v>
                </c:pt>
                <c:pt idx="11">
                  <c:v>0</c:v>
                </c:pt>
                <c:pt idx="12">
                  <c:v>-0.19999999999953399</c:v>
                </c:pt>
                <c:pt idx="13">
                  <c:v>-0.30000000000107702</c:v>
                </c:pt>
                <c:pt idx="14">
                  <c:v>-9.99999999997669E-2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-0.100000000000655</c:v>
                </c:pt>
                <c:pt idx="18">
                  <c:v>-9.99999999997669E-2</c:v>
                </c:pt>
                <c:pt idx="19">
                  <c:v>-0.15263157894738699</c:v>
                </c:pt>
              </c:numCache>
            </c:numRef>
          </c:val>
        </c:ser>
        <c:ser>
          <c:idx val="2"/>
          <c:order val="2"/>
          <c:tx>
            <c:strRef>
              <c:f>'zk80+060'!$AC$4:$AE$4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'zk80+060'!$S$6:$S$41</c:f>
              <c:numCache>
                <c:formatCode>m"月"d"日";@</c:formatCode>
                <c:ptCount val="36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'zk80+060'!$AE$6:$AE$38</c:f>
              <c:numCache>
                <c:formatCode>0.00_ 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-0.60000000000037801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-0.29999999999930099</c:v>
                </c:pt>
                <c:pt idx="6">
                  <c:v>-0.29999999999930099</c:v>
                </c:pt>
                <c:pt idx="7">
                  <c:v>-0.20000000000130999</c:v>
                </c:pt>
                <c:pt idx="8">
                  <c:v>-0.29999999999930099</c:v>
                </c:pt>
                <c:pt idx="9">
                  <c:v>-9.99999999997669E-2</c:v>
                </c:pt>
                <c:pt idx="10">
                  <c:v>-0.19999999999953399</c:v>
                </c:pt>
                <c:pt idx="11">
                  <c:v>-0.200000000010192</c:v>
                </c:pt>
                <c:pt idx="12">
                  <c:v>0.100000000008649</c:v>
                </c:pt>
                <c:pt idx="13">
                  <c:v>-0.50000000000949296</c:v>
                </c:pt>
                <c:pt idx="14">
                  <c:v>-0.19999999999953399</c:v>
                </c:pt>
                <c:pt idx="15">
                  <c:v>5.00000000052125E-2</c:v>
                </c:pt>
                <c:pt idx="16">
                  <c:v>-0.25000000000563499</c:v>
                </c:pt>
                <c:pt idx="17">
                  <c:v>-9.99999999997669E-2</c:v>
                </c:pt>
                <c:pt idx="18">
                  <c:v>-0.14999999999520999</c:v>
                </c:pt>
              </c:numCache>
            </c:numRef>
          </c:val>
        </c:ser>
        <c:dLbls/>
        <c:marker val="1"/>
        <c:axId val="343959424"/>
        <c:axId val="344002944"/>
      </c:lineChart>
      <c:dateAx>
        <c:axId val="3439594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002944"/>
        <c:crossesAt val="-50"/>
        <c:auto val="1"/>
        <c:lblOffset val="100"/>
        <c:baseTimeUnit val="days"/>
      </c:dateAx>
      <c:valAx>
        <c:axId val="34400294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95942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k80+060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'zk80+060'!$A$6:$A$34</c:f>
              <c:numCache>
                <c:formatCode>m"月"d"日";@</c:formatCode>
                <c:ptCount val="29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'zk80+060'!$F$6:$F$24</c:f>
              <c:numCache>
                <c:formatCode>0.00_ </c:formatCode>
                <c:ptCount val="19"/>
                <c:pt idx="0">
                  <c:v>0</c:v>
                </c:pt>
                <c:pt idx="1">
                  <c:v>-0.20000000006348301</c:v>
                </c:pt>
                <c:pt idx="2">
                  <c:v>-0.50000000010186296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-0.80000000002655702</c:v>
                </c:pt>
                <c:pt idx="6">
                  <c:v>-1.2000000000398401</c:v>
                </c:pt>
                <c:pt idx="7">
                  <c:v>-1.4000000001033199</c:v>
                </c:pt>
                <c:pt idx="8">
                  <c:v>-1.30000000001473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-2.1000000000412902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-2.5000000000545701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-3.1000000000176402</c:v>
                </c:pt>
                <c:pt idx="18">
                  <c:v>-3.0000000000427498</c:v>
                </c:pt>
              </c:numCache>
            </c:numRef>
          </c:val>
        </c:ser>
        <c:ser>
          <c:idx val="1"/>
          <c:order val="1"/>
          <c:tx>
            <c:strRef>
              <c:f>'zk80+060'!$H$4:$L$4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'zk80+060'!$A$6:$A$34</c:f>
              <c:numCache>
                <c:formatCode>m"月"d"日";@</c:formatCode>
                <c:ptCount val="29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'zk80+060'!$K$6:$K$30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-1.1000000000649399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-1.5000000000782201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-2.1000000000412902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-2.5000000000545701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-3.30000000008113</c:v>
                </c:pt>
                <c:pt idx="19">
                  <c:v>-6.8421052632354401E-2</c:v>
                </c:pt>
              </c:numCache>
            </c:numRef>
          </c:val>
        </c:ser>
        <c:ser>
          <c:idx val="2"/>
          <c:order val="2"/>
          <c:tx>
            <c:strRef>
              <c:f>'zk80+060'!$M$4:$Q$4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'zk80+060'!$A$6:$A$34</c:f>
              <c:numCache>
                <c:formatCode>m"月"d"日";@</c:formatCode>
                <c:ptCount val="29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'zk80+060'!$P$6:$P$28</c:f>
              <c:numCache>
                <c:formatCode>0.00_ </c:formatCode>
                <c:ptCount val="23"/>
                <c:pt idx="0">
                  <c:v>0</c:v>
                </c:pt>
                <c:pt idx="1">
                  <c:v>9.9999999974897905E-2</c:v>
                </c:pt>
                <c:pt idx="2">
                  <c:v>-0.10000000008858501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-0.60000000007676102</c:v>
                </c:pt>
                <c:pt idx="6">
                  <c:v>-0.90000000000145497</c:v>
                </c:pt>
                <c:pt idx="7">
                  <c:v>-1.1000000000649399</c:v>
                </c:pt>
                <c:pt idx="8">
                  <c:v>-1.2000000000398401</c:v>
                </c:pt>
                <c:pt idx="9">
                  <c:v>-1.5000000000782201</c:v>
                </c:pt>
                <c:pt idx="10">
                  <c:v>-1.70000000002801</c:v>
                </c:pt>
                <c:pt idx="11">
                  <c:v>-1.60000000005311</c:v>
                </c:pt>
                <c:pt idx="12">
                  <c:v>-1.5000000000782201</c:v>
                </c:pt>
                <c:pt idx="13">
                  <c:v>-1.60000000005311</c:v>
                </c:pt>
                <c:pt idx="14">
                  <c:v>-1.30000000001473</c:v>
                </c:pt>
                <c:pt idx="15">
                  <c:v>-1.2000000000398401</c:v>
                </c:pt>
                <c:pt idx="16">
                  <c:v>-1.70000000002801</c:v>
                </c:pt>
                <c:pt idx="17">
                  <c:v>-1.9000000000915001</c:v>
                </c:pt>
                <c:pt idx="18">
                  <c:v>-1.9000000000915001</c:v>
                </c:pt>
              </c:numCache>
            </c:numRef>
          </c:val>
        </c:ser>
        <c:dLbls/>
        <c:marker val="1"/>
        <c:axId val="344274816"/>
        <c:axId val="344293760"/>
      </c:lineChart>
      <c:lineChart>
        <c:grouping val="standard"/>
        <c:ser>
          <c:idx val="3"/>
          <c:order val="3"/>
          <c:tx>
            <c:strRef>
              <c:f>'zk80+060'!$AG$3:$AG$5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'zk80+060'!$A$6:$A$24</c:f>
              <c:numCache>
                <c:formatCode>m"月"d"日";@</c:formatCode>
                <c:ptCount val="19"/>
                <c:pt idx="0">
                  <c:v>44766</c:v>
                </c:pt>
                <c:pt idx="1">
                  <c:v>44767</c:v>
                </c:pt>
                <c:pt idx="2">
                  <c:v>44768</c:v>
                </c:pt>
                <c:pt idx="3">
                  <c:v>44769</c:v>
                </c:pt>
                <c:pt idx="4">
                  <c:v>44770</c:v>
                </c:pt>
                <c:pt idx="5">
                  <c:v>44771</c:v>
                </c:pt>
                <c:pt idx="6">
                  <c:v>44772</c:v>
                </c:pt>
                <c:pt idx="7">
                  <c:v>44773</c:v>
                </c:pt>
                <c:pt idx="8">
                  <c:v>44774</c:v>
                </c:pt>
                <c:pt idx="9">
                  <c:v>44775</c:v>
                </c:pt>
                <c:pt idx="10">
                  <c:v>44776</c:v>
                </c:pt>
                <c:pt idx="11">
                  <c:v>44777</c:v>
                </c:pt>
                <c:pt idx="12">
                  <c:v>44778</c:v>
                </c:pt>
                <c:pt idx="13">
                  <c:v>44779</c:v>
                </c:pt>
                <c:pt idx="14">
                  <c:v>44780</c:v>
                </c:pt>
                <c:pt idx="15">
                  <c:v>44782</c:v>
                </c:pt>
                <c:pt idx="16">
                  <c:v>44784</c:v>
                </c:pt>
                <c:pt idx="17">
                  <c:v>44786</c:v>
                </c:pt>
                <c:pt idx="18">
                  <c:v>44788</c:v>
                </c:pt>
              </c:numCache>
            </c:numRef>
          </c:cat>
          <c:val>
            <c:numRef>
              <c:f>'zk80+060'!$AG$6:$AG$31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</c:numCache>
            </c:numRef>
          </c:val>
        </c:ser>
        <c:dLbls/>
        <c:marker val="1"/>
        <c:axId val="344295680"/>
        <c:axId val="344305664"/>
      </c:lineChart>
      <c:dateAx>
        <c:axId val="3442748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293760"/>
        <c:crossesAt val="-50"/>
        <c:auto val="1"/>
        <c:lblOffset val="100"/>
        <c:baseTimeUnit val="days"/>
      </c:dateAx>
      <c:valAx>
        <c:axId val="34429376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426E-3"/>
              <c:y val="0.310714679773309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274816"/>
        <c:crosses val="autoZero"/>
        <c:crossBetween val="midCat"/>
        <c:majorUnit val="1"/>
        <c:minorUnit val="0.5"/>
      </c:valAx>
      <c:dateAx>
        <c:axId val="34429568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4305664"/>
        <c:crosses val="autoZero"/>
        <c:auto val="1"/>
        <c:lblOffset val="100"/>
        <c:baseTimeUnit val="days"/>
      </c:dateAx>
      <c:valAx>
        <c:axId val="34430566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29568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509"/>
          <c:h val="9.3565374391895606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'zk80+096'!$U$4:$W$4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'zk80+096'!$S$6:$S$27</c:f>
              <c:numCache>
                <c:formatCode>m"月"d"日";@</c:formatCode>
                <c:ptCount val="22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0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-1.4000000000002899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-2.3999999999997401</c:v>
                </c:pt>
                <c:pt idx="13">
                  <c:v>-2.2999999999999701</c:v>
                </c:pt>
                <c:pt idx="14">
                  <c:v>-2.7999999999987999</c:v>
                </c:pt>
                <c:pt idx="15">
                  <c:v>-3.0000000000001101</c:v>
                </c:pt>
                <c:pt idx="16">
                  <c:v>-3.1999999999889899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-3.4999999999989502</c:v>
                </c:pt>
              </c:numCache>
            </c:numRef>
          </c:val>
        </c:ser>
        <c:ser>
          <c:idx val="1"/>
          <c:order val="1"/>
          <c:tx>
            <c:strRef>
              <c:f>'zk80+096'!$Y$4:$AA$4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'zk80+096'!$S$6:$S$27</c:f>
              <c:numCache>
                <c:formatCode>m"月"d"日";@</c:formatCode>
                <c:ptCount val="22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'zk80+096'!$Z$6:$Z$33</c:f>
              <c:numCache>
                <c:formatCode>0.00_ </c:formatCode>
                <c:ptCount val="28"/>
                <c:pt idx="0">
                  <c:v>0</c:v>
                </c:pt>
                <c:pt idx="1">
                  <c:v>-0.29999999999930099</c:v>
                </c:pt>
                <c:pt idx="2">
                  <c:v>-0.19999999999953399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-0.19999999999953399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-1.8999999999991199</c:v>
                </c:pt>
                <c:pt idx="12">
                  <c:v>-2.3999999999997401</c:v>
                </c:pt>
                <c:pt idx="13">
                  <c:v>-2.59999999999927</c:v>
                </c:pt>
                <c:pt idx="14">
                  <c:v>-3.0000000000001101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-3.3999999999991801</c:v>
                </c:pt>
                <c:pt idx="18">
                  <c:v>-3.4999999999989502</c:v>
                </c:pt>
                <c:pt idx="19">
                  <c:v>-3.59999999998983</c:v>
                </c:pt>
              </c:numCache>
            </c:numRef>
          </c:val>
        </c:ser>
        <c:ser>
          <c:idx val="2"/>
          <c:order val="2"/>
          <c:tx>
            <c:strRef>
              <c:f>'zk80+096'!$AC$4:$AE$4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'zk80+096'!$S$6:$S$27</c:f>
              <c:numCache>
                <c:formatCode>m"月"d"日";@</c:formatCode>
                <c:ptCount val="22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-0.999999999999446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-0.89999999999967895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-2.0000000000006701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-2.10000000000043</c:v>
                </c:pt>
                <c:pt idx="13">
                  <c:v>-2.59999999999039</c:v>
                </c:pt>
                <c:pt idx="14">
                  <c:v>-2.6999999999990401</c:v>
                </c:pt>
                <c:pt idx="15">
                  <c:v>-2.99999999998946</c:v>
                </c:pt>
                <c:pt idx="16">
                  <c:v>-3.1999999999889899</c:v>
                </c:pt>
                <c:pt idx="17">
                  <c:v>-3.0999999999998802</c:v>
                </c:pt>
                <c:pt idx="18">
                  <c:v>-3.59999999998983</c:v>
                </c:pt>
              </c:numCache>
            </c:numRef>
          </c:val>
        </c:ser>
        <c:dLbls/>
        <c:marker val="1"/>
        <c:axId val="344434944"/>
        <c:axId val="344445696"/>
      </c:lineChart>
      <c:lineChart>
        <c:grouping val="standard"/>
        <c:ser>
          <c:idx val="3"/>
          <c:order val="3"/>
          <c:tx>
            <c:strRef>
              <c:f>'zk80+096'!$AG$3:$AG$5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'zk80+096'!$S$6:$S$27</c:f>
              <c:numCache>
                <c:formatCode>m"月"d"日";@</c:formatCode>
                <c:ptCount val="22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'zk80+096'!$AG$6:$AG$31</c:f>
              <c:numCache>
                <c:formatCode>0.0_ </c:formatCode>
                <c:ptCount val="26"/>
                <c:pt idx="0">
                  <c:v>9</c:v>
                </c:pt>
                <c:pt idx="1">
                  <c:v>17</c:v>
                </c:pt>
                <c:pt idx="2">
                  <c:v>25</c:v>
                </c:pt>
                <c:pt idx="3">
                  <c:v>33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47</c:v>
                </c:pt>
                <c:pt idx="8">
                  <c:v>53</c:v>
                </c:pt>
                <c:pt idx="9">
                  <c:v>59</c:v>
                </c:pt>
                <c:pt idx="10">
                  <c:v>65</c:v>
                </c:pt>
                <c:pt idx="11">
                  <c:v>71</c:v>
                </c:pt>
                <c:pt idx="12">
                  <c:v>71</c:v>
                </c:pt>
                <c:pt idx="13">
                  <c:v>77</c:v>
                </c:pt>
                <c:pt idx="14">
                  <c:v>83</c:v>
                </c:pt>
                <c:pt idx="15">
                  <c:v>89</c:v>
                </c:pt>
                <c:pt idx="16">
                  <c:v>95</c:v>
                </c:pt>
                <c:pt idx="17">
                  <c:v>101</c:v>
                </c:pt>
                <c:pt idx="18">
                  <c:v>107</c:v>
                </c:pt>
              </c:numCache>
            </c:numRef>
          </c:val>
        </c:ser>
        <c:dLbls/>
        <c:marker val="1"/>
        <c:axId val="344447616"/>
        <c:axId val="344453504"/>
      </c:lineChart>
      <c:dateAx>
        <c:axId val="3444349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445696"/>
        <c:crossesAt val="-50"/>
        <c:auto val="1"/>
        <c:lblOffset val="100"/>
        <c:baseTimeUnit val="days"/>
      </c:dateAx>
      <c:valAx>
        <c:axId val="344445696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434944"/>
        <c:crosses val="autoZero"/>
        <c:crossBetween val="midCat"/>
        <c:majorUnit val="1.4"/>
        <c:minorUnit val="0.1"/>
      </c:valAx>
      <c:dateAx>
        <c:axId val="3444476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4453504"/>
        <c:crosses val="autoZero"/>
        <c:auto val="1"/>
        <c:lblOffset val="100"/>
        <c:baseTimeUnit val="days"/>
      </c:dateAx>
      <c:valAx>
        <c:axId val="34445350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44761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123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'zk80+096'!$C$4:$G$4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'zk80+096'!$A$6:$A$38</c:f>
              <c:numCache>
                <c:formatCode>m"月"d"日";@</c:formatCode>
                <c:ptCount val="33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'zk80+096'!$G$6:$G$34</c:f>
              <c:numCache>
                <c:formatCode>0.00_ </c:formatCode>
                <c:ptCount val="29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0.29999999992469401</c:v>
                </c:pt>
                <c:pt idx="4">
                  <c:v>-0.69999999993797202</c:v>
                </c:pt>
                <c:pt idx="5">
                  <c:v>-0.20000000006348301</c:v>
                </c:pt>
                <c:pt idx="6">
                  <c:v>-0.40000000001327901</c:v>
                </c:pt>
                <c:pt idx="7">
                  <c:v>0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-9.9999999974897905E-2</c:v>
                </c:pt>
                <c:pt idx="12">
                  <c:v>-0.30000000003838101</c:v>
                </c:pt>
                <c:pt idx="13">
                  <c:v>-0.199999999949796</c:v>
                </c:pt>
                <c:pt idx="14">
                  <c:v>-0.49999999998817701</c:v>
                </c:pt>
                <c:pt idx="15">
                  <c:v>4.9999999987449001E-2</c:v>
                </c:pt>
                <c:pt idx="16">
                  <c:v>-0.100000000031741</c:v>
                </c:pt>
                <c:pt idx="17">
                  <c:v>-9.9999999974897905E-2</c:v>
                </c:pt>
                <c:pt idx="18">
                  <c:v>-9.9999999974897905E-2</c:v>
                </c:pt>
                <c:pt idx="19">
                  <c:v>-3.6000000000058199</c:v>
                </c:pt>
              </c:numCache>
            </c:numRef>
          </c:val>
        </c:ser>
        <c:ser>
          <c:idx val="1"/>
          <c:order val="1"/>
          <c:tx>
            <c:strRef>
              <c:f>'zk80+096'!$H$4:$L$4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'zk80+096'!$A$6:$A$38</c:f>
              <c:numCache>
                <c:formatCode>m"月"d"日";@</c:formatCode>
                <c:ptCount val="33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0.10000000008858501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-0.199999999949796</c:v>
                </c:pt>
                <c:pt idx="9">
                  <c:v>-0.30000000003838101</c:v>
                </c:pt>
                <c:pt idx="10">
                  <c:v>-9.9999999974897905E-2</c:v>
                </c:pt>
                <c:pt idx="11">
                  <c:v>-0.20000000006348301</c:v>
                </c:pt>
                <c:pt idx="12">
                  <c:v>0.10000000008858501</c:v>
                </c:pt>
                <c:pt idx="13">
                  <c:v>-0.49999999998817701</c:v>
                </c:pt>
                <c:pt idx="14">
                  <c:v>-0.20000000006348301</c:v>
                </c:pt>
                <c:pt idx="15">
                  <c:v>-4.9999999987449001E-2</c:v>
                </c:pt>
                <c:pt idx="16">
                  <c:v>-0.15000000001919001</c:v>
                </c:pt>
                <c:pt idx="17">
                  <c:v>-9.9999999974897905E-2</c:v>
                </c:pt>
                <c:pt idx="18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'zk80+096'!$M$4:$Q$4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'zk80+096'!$A$6:$A$38</c:f>
              <c:numCache>
                <c:formatCode>m"月"d"日";@</c:formatCode>
                <c:ptCount val="33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-0.20000000006348301</c:v>
                </c:pt>
                <c:pt idx="10">
                  <c:v>-9.9999999974897905E-2</c:v>
                </c:pt>
                <c:pt idx="11">
                  <c:v>-0.29999999992469401</c:v>
                </c:pt>
                <c:pt idx="12">
                  <c:v>-0.20000000006348301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4.9999999987449001E-2</c:v>
                </c:pt>
              </c:numCache>
            </c:numRef>
          </c:val>
        </c:ser>
        <c:dLbls/>
        <c:marker val="1"/>
        <c:axId val="344179840"/>
        <c:axId val="344181760"/>
      </c:lineChart>
      <c:dateAx>
        <c:axId val="34417984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181760"/>
        <c:crossesAt val="-50"/>
        <c:auto val="1"/>
        <c:lblOffset val="100"/>
        <c:baseTimeUnit val="days"/>
      </c:dateAx>
      <c:valAx>
        <c:axId val="34418176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17984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80+096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'zk80+096'!$U$4:$W$4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'zk80+096'!$S$6:$S$41</c:f>
              <c:numCache>
                <c:formatCode>m"月"d"日";@</c:formatCode>
                <c:ptCount val="36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-0.19999999999953399</c:v>
                </c:pt>
                <c:pt idx="3">
                  <c:v>0.60000000000037801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0.30000000000107702</c:v>
                </c:pt>
                <c:pt idx="8">
                  <c:v>0.19999999999953399</c:v>
                </c:pt>
                <c:pt idx="9">
                  <c:v>-0.19999999999953399</c:v>
                </c:pt>
                <c:pt idx="10">
                  <c:v>0.59999999999860198</c:v>
                </c:pt>
                <c:pt idx="11">
                  <c:v>0.20000000000130999</c:v>
                </c:pt>
                <c:pt idx="12">
                  <c:v>0.19999999999953399</c:v>
                </c:pt>
                <c:pt idx="13">
                  <c:v>-9.99999999997669E-2</c:v>
                </c:pt>
                <c:pt idx="14">
                  <c:v>0.49999999999883499</c:v>
                </c:pt>
                <c:pt idx="15">
                  <c:v>0.100000000000655</c:v>
                </c:pt>
                <c:pt idx="16">
                  <c:v>9.9999999994437899E-2</c:v>
                </c:pt>
                <c:pt idx="17">
                  <c:v>-4.99999999945544E-2</c:v>
                </c:pt>
                <c:pt idx="18">
                  <c:v>9.99999999997669E-2</c:v>
                </c:pt>
                <c:pt idx="19">
                  <c:v>-3.59999999998983</c:v>
                </c:pt>
              </c:numCache>
            </c:numRef>
          </c:val>
        </c:ser>
        <c:ser>
          <c:idx val="1"/>
          <c:order val="1"/>
          <c:tx>
            <c:strRef>
              <c:f>'zk80+096'!$Y$4:$AA$4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'zk80+096'!$S$6:$S$41</c:f>
              <c:numCache>
                <c:formatCode>m"月"d"日";@</c:formatCode>
                <c:ptCount val="36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-0.29999999999930099</c:v>
                </c:pt>
                <c:pt idx="2">
                  <c:v>9.99999999997669E-2</c:v>
                </c:pt>
                <c:pt idx="3">
                  <c:v>-0.39999999999906799</c:v>
                </c:pt>
                <c:pt idx="4">
                  <c:v>-0.20000000000130999</c:v>
                </c:pt>
                <c:pt idx="5">
                  <c:v>0.60000000000037801</c:v>
                </c:pt>
                <c:pt idx="6">
                  <c:v>-0.999999999999446</c:v>
                </c:pt>
                <c:pt idx="7">
                  <c:v>-0.20000000000130999</c:v>
                </c:pt>
                <c:pt idx="8">
                  <c:v>-9.99999999997669E-2</c:v>
                </c:pt>
                <c:pt idx="9">
                  <c:v>-0.29999999999930099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-0.19999999999953399</c:v>
                </c:pt>
                <c:pt idx="14">
                  <c:v>-0.40000000000084401</c:v>
                </c:pt>
                <c:pt idx="15">
                  <c:v>0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-4.9999999999883499E-2</c:v>
                </c:pt>
                <c:pt idx="19">
                  <c:v>-0.149999999999576</c:v>
                </c:pt>
              </c:numCache>
            </c:numRef>
          </c:val>
        </c:ser>
        <c:ser>
          <c:idx val="2"/>
          <c:order val="2"/>
          <c:tx>
            <c:strRef>
              <c:f>'zk80+096'!$AC$4:$AE$4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'zk80+096'!$S$6:$S$41</c:f>
              <c:numCache>
                <c:formatCode>m"月"d"日";@</c:formatCode>
                <c:ptCount val="36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-0.60000000000037801</c:v>
                </c:pt>
                <c:pt idx="4">
                  <c:v>0.19999999999953399</c:v>
                </c:pt>
                <c:pt idx="5">
                  <c:v>-0.19999999999953399</c:v>
                </c:pt>
                <c:pt idx="6">
                  <c:v>9.99999999997669E-2</c:v>
                </c:pt>
                <c:pt idx="7">
                  <c:v>-0.50000000000061096</c:v>
                </c:pt>
                <c:pt idx="8">
                  <c:v>-0.19999999999953399</c:v>
                </c:pt>
                <c:pt idx="9">
                  <c:v>-0.40000000000084401</c:v>
                </c:pt>
                <c:pt idx="10">
                  <c:v>0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-0.49999999998995298</c:v>
                </c:pt>
                <c:pt idx="14">
                  <c:v>-0.100000000008649</c:v>
                </c:pt>
                <c:pt idx="15">
                  <c:v>-0.14999999999520999</c:v>
                </c:pt>
                <c:pt idx="16">
                  <c:v>-9.99999999997669E-2</c:v>
                </c:pt>
                <c:pt idx="17">
                  <c:v>4.99999999945544E-2</c:v>
                </c:pt>
                <c:pt idx="18">
                  <c:v>-0.24999999999497599</c:v>
                </c:pt>
              </c:numCache>
            </c:numRef>
          </c:val>
        </c:ser>
        <c:dLbls/>
        <c:marker val="1"/>
        <c:axId val="344557056"/>
        <c:axId val="344588288"/>
      </c:lineChart>
      <c:dateAx>
        <c:axId val="3445570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588288"/>
        <c:crossesAt val="-50"/>
        <c:auto val="1"/>
        <c:lblOffset val="100"/>
        <c:baseTimeUnit val="days"/>
      </c:dateAx>
      <c:valAx>
        <c:axId val="34458828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55705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k80+096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'zk80+096'!$C$4:$G$4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'zk80+096'!$A$6:$A$34</c:f>
              <c:numCache>
                <c:formatCode>m"月"d"日";@</c:formatCode>
                <c:ptCount val="29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'zk80+096'!$F$6:$F$24</c:f>
              <c:numCache>
                <c:formatCode>0.00_ </c:formatCode>
                <c:ptCount val="19"/>
                <c:pt idx="0">
                  <c:v>0</c:v>
                </c:pt>
                <c:pt idx="1">
                  <c:v>-9.9999999974897905E-2</c:v>
                </c:pt>
                <c:pt idx="2">
                  <c:v>-0.29999999992469401</c:v>
                </c:pt>
                <c:pt idx="3">
                  <c:v>0</c:v>
                </c:pt>
                <c:pt idx="4">
                  <c:v>-0.69999999993797202</c:v>
                </c:pt>
                <c:pt idx="5">
                  <c:v>-0.90000000000145497</c:v>
                </c:pt>
                <c:pt idx="6">
                  <c:v>-1.30000000001473</c:v>
                </c:pt>
                <c:pt idx="7">
                  <c:v>-1.30000000001473</c:v>
                </c:pt>
                <c:pt idx="8">
                  <c:v>-1.4999999999645299</c:v>
                </c:pt>
                <c:pt idx="9">
                  <c:v>-1.39999999998963</c:v>
                </c:pt>
                <c:pt idx="10">
                  <c:v>-1.8999999999778101</c:v>
                </c:pt>
                <c:pt idx="11">
                  <c:v>-1.9999999999527101</c:v>
                </c:pt>
                <c:pt idx="12">
                  <c:v>-2.2999999999910901</c:v>
                </c:pt>
                <c:pt idx="13">
                  <c:v>-2.4999999999408802</c:v>
                </c:pt>
                <c:pt idx="14">
                  <c:v>-2.9999999999290599</c:v>
                </c:pt>
                <c:pt idx="15">
                  <c:v>-2.8999999999541601</c:v>
                </c:pt>
                <c:pt idx="16">
                  <c:v>-3.1000000000176402</c:v>
                </c:pt>
                <c:pt idx="17">
                  <c:v>-3.2999999999674401</c:v>
                </c:pt>
                <c:pt idx="18">
                  <c:v>-3.49999999991724</c:v>
                </c:pt>
              </c:numCache>
            </c:numRef>
          </c:val>
        </c:ser>
        <c:ser>
          <c:idx val="1"/>
          <c:order val="1"/>
          <c:tx>
            <c:strRef>
              <c:f>'zk80+096'!$H$4:$L$4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'zk80+096'!$A$6:$A$34</c:f>
              <c:numCache>
                <c:formatCode>m"月"d"日";@</c:formatCode>
                <c:ptCount val="29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-0.29999999992469401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-1.30000000001473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-1.8999999999778101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-2.0999999999275998</c:v>
                </c:pt>
                <c:pt idx="13">
                  <c:v>-2.5999999999157799</c:v>
                </c:pt>
                <c:pt idx="14">
                  <c:v>-2.79999999997926</c:v>
                </c:pt>
                <c:pt idx="15">
                  <c:v>-2.8999999999541601</c:v>
                </c:pt>
                <c:pt idx="16">
                  <c:v>-3.1999999999925399</c:v>
                </c:pt>
                <c:pt idx="17">
                  <c:v>-3.3999999999423398</c:v>
                </c:pt>
                <c:pt idx="18">
                  <c:v>-3.2999999999674401</c:v>
                </c:pt>
                <c:pt idx="19">
                  <c:v>-0.15000000000024299</c:v>
                </c:pt>
              </c:numCache>
            </c:numRef>
          </c:val>
        </c:ser>
        <c:ser>
          <c:idx val="2"/>
          <c:order val="2"/>
          <c:tx>
            <c:strRef>
              <c:f>'zk80+096'!$M$4:$Q$4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'zk80+096'!$A$6:$A$34</c:f>
              <c:numCache>
                <c:formatCode>m"月"d"日";@</c:formatCode>
                <c:ptCount val="29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-0.69999999993797202</c:v>
                </c:pt>
                <c:pt idx="3">
                  <c:v>-0.90000000000145497</c:v>
                </c:pt>
                <c:pt idx="4">
                  <c:v>-0.80000000002655702</c:v>
                </c:pt>
                <c:pt idx="5">
                  <c:v>-1.30000000001473</c:v>
                </c:pt>
                <c:pt idx="6">
                  <c:v>-1.4999999999645299</c:v>
                </c:pt>
                <c:pt idx="7">
                  <c:v>-1.39999999998963</c:v>
                </c:pt>
                <c:pt idx="8">
                  <c:v>-1.8999999999778101</c:v>
                </c:pt>
                <c:pt idx="9">
                  <c:v>-2.1000000000412902</c:v>
                </c:pt>
                <c:pt idx="10">
                  <c:v>-2.2000000000161899</c:v>
                </c:pt>
                <c:pt idx="11">
                  <c:v>-2.4999999999408802</c:v>
                </c:pt>
                <c:pt idx="12">
                  <c:v>-2.70000000000437</c:v>
                </c:pt>
                <c:pt idx="13">
                  <c:v>-2.6000000000294698</c:v>
                </c:pt>
                <c:pt idx="14">
                  <c:v>-3.1000000000176402</c:v>
                </c:pt>
                <c:pt idx="15">
                  <c:v>-3.2999999999674401</c:v>
                </c:pt>
                <c:pt idx="16">
                  <c:v>-3.1999999999925399</c:v>
                </c:pt>
                <c:pt idx="17">
                  <c:v>-3.69999999998072</c:v>
                </c:pt>
                <c:pt idx="18">
                  <c:v>-3.6000000000058199</c:v>
                </c:pt>
              </c:numCache>
            </c:numRef>
          </c:val>
        </c:ser>
        <c:dLbls/>
        <c:marker val="1"/>
        <c:axId val="344724992"/>
        <c:axId val="344739840"/>
      </c:lineChart>
      <c:lineChart>
        <c:grouping val="standard"/>
        <c:ser>
          <c:idx val="3"/>
          <c:order val="3"/>
          <c:tx>
            <c:strRef>
              <c:f>'zk80+096'!$AG$3:$AG$5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'zk80+096'!$A$6:$A$24</c:f>
              <c:numCache>
                <c:formatCode>m"月"d"日";@</c:formatCode>
                <c:ptCount val="19"/>
                <c:pt idx="0">
                  <c:v>44770</c:v>
                </c:pt>
                <c:pt idx="1">
                  <c:v>44771</c:v>
                </c:pt>
                <c:pt idx="2">
                  <c:v>44772</c:v>
                </c:pt>
                <c:pt idx="3">
                  <c:v>44773</c:v>
                </c:pt>
                <c:pt idx="4">
                  <c:v>44774</c:v>
                </c:pt>
                <c:pt idx="5">
                  <c:v>44775</c:v>
                </c:pt>
                <c:pt idx="6">
                  <c:v>44776</c:v>
                </c:pt>
                <c:pt idx="7">
                  <c:v>44777</c:v>
                </c:pt>
                <c:pt idx="8">
                  <c:v>44778</c:v>
                </c:pt>
                <c:pt idx="9">
                  <c:v>44779</c:v>
                </c:pt>
                <c:pt idx="10">
                  <c:v>44780</c:v>
                </c:pt>
                <c:pt idx="11">
                  <c:v>44781</c:v>
                </c:pt>
                <c:pt idx="12">
                  <c:v>44782</c:v>
                </c:pt>
                <c:pt idx="13">
                  <c:v>44783</c:v>
                </c:pt>
                <c:pt idx="14">
                  <c:v>44784</c:v>
                </c:pt>
                <c:pt idx="15">
                  <c:v>44786</c:v>
                </c:pt>
                <c:pt idx="16">
                  <c:v>44788</c:v>
                </c:pt>
                <c:pt idx="17">
                  <c:v>44790</c:v>
                </c:pt>
                <c:pt idx="18">
                  <c:v>44792</c:v>
                </c:pt>
              </c:numCache>
            </c:numRef>
          </c:cat>
          <c:val>
            <c:numRef>
              <c:f>'zk80+096'!$AG$6:$AG$31</c:f>
              <c:numCache>
                <c:formatCode>0.0_ </c:formatCode>
                <c:ptCount val="26"/>
                <c:pt idx="0">
                  <c:v>9</c:v>
                </c:pt>
                <c:pt idx="1">
                  <c:v>17</c:v>
                </c:pt>
                <c:pt idx="2">
                  <c:v>25</c:v>
                </c:pt>
                <c:pt idx="3">
                  <c:v>33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47</c:v>
                </c:pt>
                <c:pt idx="8">
                  <c:v>53</c:v>
                </c:pt>
                <c:pt idx="9">
                  <c:v>59</c:v>
                </c:pt>
                <c:pt idx="10">
                  <c:v>65</c:v>
                </c:pt>
                <c:pt idx="11">
                  <c:v>71</c:v>
                </c:pt>
                <c:pt idx="12">
                  <c:v>71</c:v>
                </c:pt>
                <c:pt idx="13">
                  <c:v>77</c:v>
                </c:pt>
                <c:pt idx="14">
                  <c:v>83</c:v>
                </c:pt>
                <c:pt idx="15">
                  <c:v>89</c:v>
                </c:pt>
                <c:pt idx="16">
                  <c:v>95</c:v>
                </c:pt>
                <c:pt idx="17">
                  <c:v>101</c:v>
                </c:pt>
                <c:pt idx="18">
                  <c:v>107</c:v>
                </c:pt>
              </c:numCache>
            </c:numRef>
          </c:val>
        </c:ser>
        <c:dLbls/>
        <c:marker val="1"/>
        <c:axId val="344741760"/>
        <c:axId val="344743296"/>
      </c:lineChart>
      <c:dateAx>
        <c:axId val="3447249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7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739840"/>
        <c:crossesAt val="-50"/>
        <c:auto val="1"/>
        <c:lblOffset val="100"/>
        <c:baseTimeUnit val="days"/>
      </c:dateAx>
      <c:valAx>
        <c:axId val="344739840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724992"/>
        <c:crosses val="autoZero"/>
        <c:crossBetween val="midCat"/>
        <c:majorUnit val="1"/>
        <c:minorUnit val="0.5"/>
      </c:valAx>
      <c:dateAx>
        <c:axId val="34474176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4743296"/>
        <c:crosses val="autoZero"/>
        <c:auto val="1"/>
        <c:lblOffset val="100"/>
        <c:baseTimeUnit val="days"/>
      </c:dateAx>
      <c:valAx>
        <c:axId val="34474329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74176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5606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80+134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'zk80+134'!$U$4:$W$4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'zk80+134'!$S$6:$S$28</c:f>
              <c:numCache>
                <c:formatCode>m"月"d"日";@</c:formatCode>
                <c:ptCount val="23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'zk80+134'!$V$6:$V$33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-2.0000000000006701</c:v>
                </c:pt>
                <c:pt idx="11">
                  <c:v>-2.1999999999895401</c:v>
                </c:pt>
                <c:pt idx="12">
                  <c:v>-2.2999999999999701</c:v>
                </c:pt>
                <c:pt idx="13">
                  <c:v>-2.4000000000103898</c:v>
                </c:pt>
                <c:pt idx="14">
                  <c:v>-2.9000000000003499</c:v>
                </c:pt>
                <c:pt idx="15">
                  <c:v>-2.6000000000294698</c:v>
                </c:pt>
                <c:pt idx="16">
                  <c:v>-2.70000000003989</c:v>
                </c:pt>
                <c:pt idx="17">
                  <c:v>-3.1999999999996498</c:v>
                </c:pt>
                <c:pt idx="18">
                  <c:v>-2.9000000000607402</c:v>
                </c:pt>
                <c:pt idx="19">
                  <c:v>-3.0000000000693898</c:v>
                </c:pt>
                <c:pt idx="20">
                  <c:v>-3.0999999999998802</c:v>
                </c:pt>
                <c:pt idx="21">
                  <c:v>-3.2999999999994101</c:v>
                </c:pt>
                <c:pt idx="22">
                  <c:v>-1.6999999999995901</c:v>
                </c:pt>
              </c:numCache>
            </c:numRef>
          </c:val>
        </c:ser>
        <c:ser>
          <c:idx val="1"/>
          <c:order val="1"/>
          <c:tx>
            <c:strRef>
              <c:f>'zk80+134'!$Y$4:$AA$4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'zk80+134'!$S$6:$S$28</c:f>
              <c:numCache>
                <c:formatCode>m"月"d"日";@</c:formatCode>
                <c:ptCount val="23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'zk80+134'!$Z$6:$Z$34</c:f>
              <c:numCache>
                <c:formatCode>0.00_ </c:formatCode>
                <c:ptCount val="29"/>
                <c:pt idx="0">
                  <c:v>0</c:v>
                </c:pt>
                <c:pt idx="1">
                  <c:v>-0.59999999999860198</c:v>
                </c:pt>
                <c:pt idx="2">
                  <c:v>-0.39999999999906799</c:v>
                </c:pt>
                <c:pt idx="3">
                  <c:v>-0.70000000000014495</c:v>
                </c:pt>
                <c:pt idx="4">
                  <c:v>-0.89999999999967895</c:v>
                </c:pt>
                <c:pt idx="5">
                  <c:v>-1.0999999999992101</c:v>
                </c:pt>
                <c:pt idx="6">
                  <c:v>-0.999999999999446</c:v>
                </c:pt>
                <c:pt idx="7">
                  <c:v>-1.50000000000006</c:v>
                </c:pt>
                <c:pt idx="8">
                  <c:v>-1.6999999999995901</c:v>
                </c:pt>
                <c:pt idx="9">
                  <c:v>-1.8999999999991199</c:v>
                </c:pt>
                <c:pt idx="10">
                  <c:v>-1.7999999999993599</c:v>
                </c:pt>
                <c:pt idx="11">
                  <c:v>-2.2999999999999701</c:v>
                </c:pt>
                <c:pt idx="12">
                  <c:v>-2.59999999999927</c:v>
                </c:pt>
                <c:pt idx="13">
                  <c:v>-2.4999999999995</c:v>
                </c:pt>
                <c:pt idx="14">
                  <c:v>-3.1999999999996498</c:v>
                </c:pt>
                <c:pt idx="15">
                  <c:v>-3.4999999999989502</c:v>
                </c:pt>
                <c:pt idx="16">
                  <c:v>-3.3999999999991801</c:v>
                </c:pt>
                <c:pt idx="17">
                  <c:v>-4.09999999999933</c:v>
                </c:pt>
                <c:pt idx="18">
                  <c:v>-4.3999999999986299</c:v>
                </c:pt>
                <c:pt idx="19">
                  <c:v>-4.3999999999986299</c:v>
                </c:pt>
                <c:pt idx="20">
                  <c:v>-4.5999999999999401</c:v>
                </c:pt>
                <c:pt idx="21">
                  <c:v>-4.2999999999988603</c:v>
                </c:pt>
                <c:pt idx="22">
                  <c:v>-4.8000000000012504</c:v>
                </c:pt>
              </c:numCache>
            </c:numRef>
          </c:val>
        </c:ser>
        <c:ser>
          <c:idx val="2"/>
          <c:order val="2"/>
          <c:tx>
            <c:strRef>
              <c:f>'zk80+134'!$AC$4:$AE$4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'zk80+134'!$S$6:$S$28</c:f>
              <c:numCache>
                <c:formatCode>m"月"d"日";@</c:formatCode>
                <c:ptCount val="23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'zk80+134'!$AD$6:$AD$38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-0.10000000000154299</c:v>
                </c:pt>
                <c:pt idx="3">
                  <c:v>-0.30000000000107702</c:v>
                </c:pt>
                <c:pt idx="4">
                  <c:v>-0.50000000000061096</c:v>
                </c:pt>
                <c:pt idx="5">
                  <c:v>-0.40000000000084401</c:v>
                </c:pt>
                <c:pt idx="6">
                  <c:v>-0.90000000000145497</c:v>
                </c:pt>
                <c:pt idx="7">
                  <c:v>-1.10000000000099</c:v>
                </c:pt>
                <c:pt idx="8">
                  <c:v>-1.0000000000012199</c:v>
                </c:pt>
                <c:pt idx="9">
                  <c:v>-1.50000000000006</c:v>
                </c:pt>
                <c:pt idx="10">
                  <c:v>-1.70000000000137</c:v>
                </c:pt>
                <c:pt idx="11">
                  <c:v>-1.70000000000137</c:v>
                </c:pt>
                <c:pt idx="12">
                  <c:v>-2.10000000000043</c:v>
                </c:pt>
                <c:pt idx="13">
                  <c:v>-2.0000000000006701</c:v>
                </c:pt>
                <c:pt idx="14">
                  <c:v>-2.9000000000003499</c:v>
                </c:pt>
                <c:pt idx="15">
                  <c:v>-3.30000000000119</c:v>
                </c:pt>
                <c:pt idx="16">
                  <c:v>-3.30000000000119</c:v>
                </c:pt>
                <c:pt idx="17">
                  <c:v>-3.6000000000004899</c:v>
                </c:pt>
                <c:pt idx="18">
                  <c:v>-4.2000000000008697</c:v>
                </c:pt>
                <c:pt idx="19">
                  <c:v>-4.5000000000001696</c:v>
                </c:pt>
                <c:pt idx="20">
                  <c:v>-5.0000000000007798</c:v>
                </c:pt>
                <c:pt idx="21">
                  <c:v>-4.8000000000012504</c:v>
                </c:pt>
              </c:numCache>
            </c:numRef>
          </c:val>
        </c:ser>
        <c:dLbls/>
        <c:marker val="1"/>
        <c:axId val="344807680"/>
        <c:axId val="344809856"/>
      </c:lineChart>
      <c:lineChart>
        <c:grouping val="standard"/>
        <c:ser>
          <c:idx val="3"/>
          <c:order val="3"/>
          <c:tx>
            <c:strRef>
              <c:f>'zk80+134'!$AG$3:$AG$5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'zk80+134'!$S$6:$S$28</c:f>
              <c:numCache>
                <c:formatCode>m"月"d"日";@</c:formatCode>
                <c:ptCount val="23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'zk80+134'!$AG$6:$AG$32</c:f>
              <c:numCache>
                <c:formatCode>0.0_ </c:formatCode>
                <c:ptCount val="27"/>
                <c:pt idx="0">
                  <c:v>8</c:v>
                </c:pt>
                <c:pt idx="1">
                  <c:v>14</c:v>
                </c:pt>
                <c:pt idx="2">
                  <c:v>20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37</c:v>
                </c:pt>
                <c:pt idx="7">
                  <c:v>43</c:v>
                </c:pt>
                <c:pt idx="8">
                  <c:v>49</c:v>
                </c:pt>
                <c:pt idx="9">
                  <c:v>55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91</c:v>
                </c:pt>
                <c:pt idx="16">
                  <c:v>97</c:v>
                </c:pt>
                <c:pt idx="17">
                  <c:v>103</c:v>
                </c:pt>
                <c:pt idx="18">
                  <c:v>109</c:v>
                </c:pt>
                <c:pt idx="19">
                  <c:v>115</c:v>
                </c:pt>
                <c:pt idx="20">
                  <c:v>118</c:v>
                </c:pt>
                <c:pt idx="21">
                  <c:v>121</c:v>
                </c:pt>
              </c:numCache>
            </c:numRef>
          </c:val>
        </c:ser>
        <c:dLbls/>
        <c:marker val="1"/>
        <c:axId val="344811776"/>
        <c:axId val="344813568"/>
      </c:lineChart>
      <c:dateAx>
        <c:axId val="3448076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809856"/>
        <c:crossesAt val="-50"/>
        <c:auto val="1"/>
        <c:lblOffset val="100"/>
        <c:baseTimeUnit val="days"/>
        <c:majorUnit val="3"/>
        <c:majorTimeUnit val="days"/>
      </c:dateAx>
      <c:valAx>
        <c:axId val="344809856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807680"/>
        <c:crosses val="autoZero"/>
        <c:crossBetween val="midCat"/>
        <c:majorUnit val="1.6"/>
        <c:minorUnit val="0.1"/>
      </c:valAx>
      <c:dateAx>
        <c:axId val="3448117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4813568"/>
        <c:crosses val="autoZero"/>
        <c:auto val="1"/>
        <c:lblOffset val="100"/>
        <c:baseTimeUnit val="days"/>
      </c:dateAx>
      <c:valAx>
        <c:axId val="344813568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81177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123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80+134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'zk80+134'!$C$4:$G$4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'zk80+134'!$A$6:$A$39</c:f>
              <c:numCache>
                <c:formatCode>m"月"d"日";@</c:formatCode>
                <c:ptCount val="34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'zk80+134'!$G$6:$G$35</c:f>
              <c:numCache>
                <c:formatCode>0.00_ </c:formatCode>
                <c:ptCount val="30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9.9999999974897905E-2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-0.29999999992469401</c:v>
                </c:pt>
                <c:pt idx="10">
                  <c:v>9.9999999974897905E-2</c:v>
                </c:pt>
                <c:pt idx="11">
                  <c:v>-0.30000000003838101</c:v>
                </c:pt>
                <c:pt idx="12">
                  <c:v>-0.40000000001327901</c:v>
                </c:pt>
                <c:pt idx="13">
                  <c:v>-0.40000000001327901</c:v>
                </c:pt>
                <c:pt idx="14">
                  <c:v>0.10000000008858501</c:v>
                </c:pt>
                <c:pt idx="15">
                  <c:v>-0.45000000000072798</c:v>
                </c:pt>
                <c:pt idx="16">
                  <c:v>-0.20000000000663901</c:v>
                </c:pt>
                <c:pt idx="17">
                  <c:v>0.149999999962347</c:v>
                </c:pt>
                <c:pt idx="18">
                  <c:v>-0.149999999962347</c:v>
                </c:pt>
                <c:pt idx="19">
                  <c:v>-4.9999999987449001E-2</c:v>
                </c:pt>
                <c:pt idx="20">
                  <c:v>-5.0000000044292399E-2</c:v>
                </c:pt>
                <c:pt idx="21">
                  <c:v>0.100000000031741</c:v>
                </c:pt>
                <c:pt idx="22">
                  <c:v>-0.70000000005165897</c:v>
                </c:pt>
              </c:numCache>
            </c:numRef>
          </c:val>
        </c:ser>
        <c:ser>
          <c:idx val="1"/>
          <c:order val="1"/>
          <c:tx>
            <c:strRef>
              <c:f>'zk80+134'!$H$4:$L$4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'zk80+134'!$A$6:$A$39</c:f>
              <c:numCache>
                <c:formatCode>m"月"d"日";@</c:formatCode>
                <c:ptCount val="34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'zk80+134'!$L$6:$L$36</c:f>
              <c:numCache>
                <c:formatCode>0.00_ </c:formatCode>
                <c:ptCount val="31"/>
                <c:pt idx="0">
                  <c:v>0</c:v>
                </c:pt>
                <c:pt idx="1">
                  <c:v>-0.20000000006348301</c:v>
                </c:pt>
                <c:pt idx="2">
                  <c:v>-0.29999999992469401</c:v>
                </c:pt>
                <c:pt idx="3">
                  <c:v>-9.9999999974897905E-2</c:v>
                </c:pt>
                <c:pt idx="4">
                  <c:v>-0.20000000006348301</c:v>
                </c:pt>
                <c:pt idx="5">
                  <c:v>9.9999999974897905E-2</c:v>
                </c:pt>
                <c:pt idx="6">
                  <c:v>0.10000000008858501</c:v>
                </c:pt>
                <c:pt idx="7">
                  <c:v>-0.80000000002655702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-0.199999999949796</c:v>
                </c:pt>
                <c:pt idx="13">
                  <c:v>-0.20000000006348301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-9.9999999974897905E-2</c:v>
                </c:pt>
                <c:pt idx="20">
                  <c:v>-5.0000000044292399E-2</c:v>
                </c:pt>
                <c:pt idx="21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'zk80+134'!$M$4:$Q$4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'zk80+134'!$A$6:$A$39</c:f>
              <c:numCache>
                <c:formatCode>m"月"d"日";@</c:formatCode>
                <c:ptCount val="34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'zk80+134'!$Q$6:$Q$32</c:f>
              <c:numCache>
                <c:formatCode>0.00_ </c:formatCode>
                <c:ptCount val="27"/>
                <c:pt idx="0">
                  <c:v>0</c:v>
                </c:pt>
                <c:pt idx="1">
                  <c:v>-0.20000000006348301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-0.29999999992469401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0</c:v>
                </c:pt>
                <c:pt idx="10">
                  <c:v>-0.40000000001327901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0.30000000003838101</c:v>
                </c:pt>
                <c:pt idx="14">
                  <c:v>-0.70000000005165897</c:v>
                </c:pt>
                <c:pt idx="15">
                  <c:v>-9.9999999974897905E-2</c:v>
                </c:pt>
                <c:pt idx="16">
                  <c:v>0.199999999949796</c:v>
                </c:pt>
                <c:pt idx="17">
                  <c:v>-0.39999999995643498</c:v>
                </c:pt>
                <c:pt idx="18">
                  <c:v>-0.100000000031741</c:v>
                </c:pt>
                <c:pt idx="19">
                  <c:v>0.100000000031741</c:v>
                </c:pt>
                <c:pt idx="20">
                  <c:v>4.9999999987449001E-2</c:v>
                </c:pt>
                <c:pt idx="21">
                  <c:v>9.9999999974897905E-2</c:v>
                </c:pt>
              </c:numCache>
            </c:numRef>
          </c:val>
        </c:ser>
        <c:dLbls/>
        <c:marker val="1"/>
        <c:axId val="344666880"/>
        <c:axId val="344668800"/>
      </c:lineChart>
      <c:dateAx>
        <c:axId val="3446668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668800"/>
        <c:crossesAt val="-50"/>
        <c:auto val="1"/>
        <c:lblOffset val="100"/>
        <c:baseTimeUnit val="days"/>
        <c:majorUnit val="3"/>
        <c:majorTimeUnit val="days"/>
      </c:dateAx>
      <c:valAx>
        <c:axId val="34466880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66688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80+134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'zk80+134'!$U$4:$W$4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'zk80+134'!$S$6:$S$42</c:f>
              <c:numCache>
                <c:formatCode>m"月"d"日";@</c:formatCode>
                <c:ptCount val="37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'zk80+134'!$W$6:$W$33</c:f>
              <c:numCache>
                <c:formatCode>0.00_ </c:formatCode>
                <c:ptCount val="28"/>
                <c:pt idx="0">
                  <c:v>0</c:v>
                </c:pt>
                <c:pt idx="1">
                  <c:v>0.19999999999953399</c:v>
                </c:pt>
                <c:pt idx="2">
                  <c:v>0.30000000000107702</c:v>
                </c:pt>
                <c:pt idx="3">
                  <c:v>9.99999999997669E-2</c:v>
                </c:pt>
                <c:pt idx="4">
                  <c:v>0.19999999999953399</c:v>
                </c:pt>
                <c:pt idx="5">
                  <c:v>-9.99999999997669E-2</c:v>
                </c:pt>
                <c:pt idx="6">
                  <c:v>0.50000000000061096</c:v>
                </c:pt>
                <c:pt idx="7">
                  <c:v>0.19999999999953399</c:v>
                </c:pt>
                <c:pt idx="8">
                  <c:v>0.19999999999953399</c:v>
                </c:pt>
                <c:pt idx="9">
                  <c:v>-9.99999999997669E-2</c:v>
                </c:pt>
                <c:pt idx="10">
                  <c:v>0.50000000000061096</c:v>
                </c:pt>
                <c:pt idx="11">
                  <c:v>0.19999999998887599</c:v>
                </c:pt>
                <c:pt idx="12">
                  <c:v>0.100000000010425</c:v>
                </c:pt>
                <c:pt idx="13">
                  <c:v>0.100000000010425</c:v>
                </c:pt>
                <c:pt idx="14">
                  <c:v>0.49999999998995298</c:v>
                </c:pt>
                <c:pt idx="15">
                  <c:v>-0.14999999998544</c:v>
                </c:pt>
                <c:pt idx="16">
                  <c:v>5.00000000052125E-2</c:v>
                </c:pt>
                <c:pt idx="17">
                  <c:v>0.24999999997987701</c:v>
                </c:pt>
                <c:pt idx="18">
                  <c:v>-0.14999999996945201</c:v>
                </c:pt>
                <c:pt idx="19">
                  <c:v>5.0000000004324398E-2</c:v>
                </c:pt>
                <c:pt idx="20">
                  <c:v>4.9999999965244499E-2</c:v>
                </c:pt>
                <c:pt idx="21">
                  <c:v>9.99999999997669E-2</c:v>
                </c:pt>
                <c:pt idx="22">
                  <c:v>-2.7000000000008102</c:v>
                </c:pt>
              </c:numCache>
            </c:numRef>
          </c:val>
        </c:ser>
        <c:ser>
          <c:idx val="1"/>
          <c:order val="1"/>
          <c:tx>
            <c:strRef>
              <c:f>'zk80+134'!$Y$4:$AA$4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'zk80+134'!$S$6:$S$42</c:f>
              <c:numCache>
                <c:formatCode>m"月"d"日";@</c:formatCode>
                <c:ptCount val="37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'zk80+134'!$AA$6:$AA$32</c:f>
              <c:numCache>
                <c:formatCode>0.00_ </c:formatCode>
                <c:ptCount val="27"/>
                <c:pt idx="0">
                  <c:v>0</c:v>
                </c:pt>
                <c:pt idx="1">
                  <c:v>-0.59999999999860198</c:v>
                </c:pt>
                <c:pt idx="2">
                  <c:v>0.19999999999953399</c:v>
                </c:pt>
                <c:pt idx="3">
                  <c:v>-0.30000000000107702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9.99999999997669E-2</c:v>
                </c:pt>
                <c:pt idx="7">
                  <c:v>-0.50000000000061096</c:v>
                </c:pt>
                <c:pt idx="8">
                  <c:v>-0.19999999999953399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-0.50000000000061096</c:v>
                </c:pt>
                <c:pt idx="12">
                  <c:v>-0.29999999999930099</c:v>
                </c:pt>
                <c:pt idx="13">
                  <c:v>9.99999999997669E-2</c:v>
                </c:pt>
                <c:pt idx="14">
                  <c:v>-0.70000000000014495</c:v>
                </c:pt>
                <c:pt idx="15">
                  <c:v>-0.14999999999965</c:v>
                </c:pt>
                <c:pt idx="16">
                  <c:v>4.9999999999883499E-2</c:v>
                </c:pt>
                <c:pt idx="17">
                  <c:v>-0.35000000000007198</c:v>
                </c:pt>
                <c:pt idx="18">
                  <c:v>-0.14999999999965</c:v>
                </c:pt>
                <c:pt idx="19">
                  <c:v>0</c:v>
                </c:pt>
                <c:pt idx="20">
                  <c:v>-0.100000000000655</c:v>
                </c:pt>
                <c:pt idx="21">
                  <c:v>0.15000000000053901</c:v>
                </c:pt>
                <c:pt idx="22">
                  <c:v>-0.168750000000051</c:v>
                </c:pt>
              </c:numCache>
            </c:numRef>
          </c:val>
        </c:ser>
        <c:ser>
          <c:idx val="2"/>
          <c:order val="2"/>
          <c:tx>
            <c:strRef>
              <c:f>'zk80+134'!$AC$4:$AE$4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'zk80+134'!$S$6:$S$42</c:f>
              <c:numCache>
                <c:formatCode>m"月"d"日";@</c:formatCode>
                <c:ptCount val="37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'zk80+134'!$AE$6:$AE$39</c:f>
              <c:numCache>
                <c:formatCode>0.00_ </c:formatCode>
                <c:ptCount val="34"/>
                <c:pt idx="0">
                  <c:v>0</c:v>
                </c:pt>
                <c:pt idx="1">
                  <c:v>-0.20000000000130999</c:v>
                </c:pt>
                <c:pt idx="2">
                  <c:v>9.99999999997669E-2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-0.49999999999883499</c:v>
                </c:pt>
                <c:pt idx="10">
                  <c:v>-0.20000000000130999</c:v>
                </c:pt>
                <c:pt idx="11">
                  <c:v>0</c:v>
                </c:pt>
                <c:pt idx="12">
                  <c:v>-0.39999999999906799</c:v>
                </c:pt>
                <c:pt idx="13">
                  <c:v>9.99999999997669E-2</c:v>
                </c:pt>
                <c:pt idx="14">
                  <c:v>-0.89999999999967895</c:v>
                </c:pt>
                <c:pt idx="15">
                  <c:v>-0.20000000000042201</c:v>
                </c:pt>
                <c:pt idx="16">
                  <c:v>0</c:v>
                </c:pt>
                <c:pt idx="17">
                  <c:v>-0.14999999999965</c:v>
                </c:pt>
                <c:pt idx="18">
                  <c:v>-0.300000000000189</c:v>
                </c:pt>
                <c:pt idx="19">
                  <c:v>-0.14999999999965</c:v>
                </c:pt>
                <c:pt idx="20">
                  <c:v>-0.25000000000030598</c:v>
                </c:pt>
                <c:pt idx="21">
                  <c:v>9.99999999997669E-2</c:v>
                </c:pt>
              </c:numCache>
            </c:numRef>
          </c:val>
        </c:ser>
        <c:dLbls/>
        <c:marker val="1"/>
        <c:axId val="344990848"/>
        <c:axId val="344993152"/>
      </c:lineChart>
      <c:dateAx>
        <c:axId val="3449908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993152"/>
        <c:crossesAt val="-50"/>
        <c:auto val="1"/>
        <c:lblOffset val="100"/>
        <c:baseTimeUnit val="days"/>
        <c:majorUnit val="3"/>
        <c:majorTimeUnit val="days"/>
      </c:dateAx>
      <c:valAx>
        <c:axId val="34499315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99084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k80+134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1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'zk80+134'!$C$4:$G$4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'zk80+134'!$A$6:$A$35</c:f>
              <c:numCache>
                <c:formatCode>m"月"d"日";@</c:formatCode>
                <c:ptCount val="30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'zk80+134'!$F$6:$F$27</c:f>
              <c:numCache>
                <c:formatCode>0.00_ </c:formatCode>
                <c:ptCount val="22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-0.90000000000145497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-1.30000000001473</c:v>
                </c:pt>
                <c:pt idx="7">
                  <c:v>-1.5000000000782201</c:v>
                </c:pt>
                <c:pt idx="8">
                  <c:v>-1.60000000005311</c:v>
                </c:pt>
                <c:pt idx="9">
                  <c:v>-1.8999999999778101</c:v>
                </c:pt>
                <c:pt idx="10">
                  <c:v>-1.8000000000029099</c:v>
                </c:pt>
                <c:pt idx="11">
                  <c:v>-2.1000000000412902</c:v>
                </c:pt>
                <c:pt idx="12">
                  <c:v>-2.5000000000545701</c:v>
                </c:pt>
                <c:pt idx="13">
                  <c:v>-2.9000000000678501</c:v>
                </c:pt>
                <c:pt idx="14">
                  <c:v>-2.79999999997926</c:v>
                </c:pt>
                <c:pt idx="15">
                  <c:v>-3.69999999998072</c:v>
                </c:pt>
                <c:pt idx="16">
                  <c:v>-4.099999999994</c:v>
                </c:pt>
                <c:pt idx="17">
                  <c:v>-3.8000000000692999</c:v>
                </c:pt>
                <c:pt idx="18">
                  <c:v>-4.099999999994</c:v>
                </c:pt>
                <c:pt idx="19">
                  <c:v>-4.1999999999688997</c:v>
                </c:pt>
                <c:pt idx="20">
                  <c:v>-4.3000000000574801</c:v>
                </c:pt>
                <c:pt idx="21">
                  <c:v>-4.099999999994</c:v>
                </c:pt>
              </c:numCache>
            </c:numRef>
          </c:val>
        </c:ser>
        <c:ser>
          <c:idx val="1"/>
          <c:order val="1"/>
          <c:tx>
            <c:strRef>
              <c:f>'zk80+134'!$H$4:$L$4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'zk80+134'!$A$6:$A$35</c:f>
              <c:numCache>
                <c:formatCode>m"月"d"日";@</c:formatCode>
                <c:ptCount val="30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'zk80+134'!$K$6:$K$31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-0.49999999998817701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-0.70000000005165897</c:v>
                </c:pt>
                <c:pt idx="6">
                  <c:v>-0.59999999996307496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-1.8999999999778101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-2.9000000000678501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-3.2999999999674401</c:v>
                </c:pt>
                <c:pt idx="18">
                  <c:v>-3.6000000000058199</c:v>
                </c:pt>
                <c:pt idx="19">
                  <c:v>-3.7999999999556202</c:v>
                </c:pt>
                <c:pt idx="20">
                  <c:v>-3.9000000000442001</c:v>
                </c:pt>
                <c:pt idx="21">
                  <c:v>-3.69999999998072</c:v>
                </c:pt>
                <c:pt idx="22">
                  <c:v>-4.3750000003228699E-2</c:v>
                </c:pt>
              </c:numCache>
            </c:numRef>
          </c:val>
        </c:ser>
        <c:ser>
          <c:idx val="2"/>
          <c:order val="2"/>
          <c:tx>
            <c:strRef>
              <c:f>'zk80+134'!$M$4:$Q$4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'zk80+134'!$A$6:$A$35</c:f>
              <c:numCache>
                <c:formatCode>m"月"d"日";@</c:formatCode>
                <c:ptCount val="30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  <c:pt idx="19">
                  <c:v>44805</c:v>
                </c:pt>
                <c:pt idx="20">
                  <c:v>44807</c:v>
                </c:pt>
                <c:pt idx="21">
                  <c:v>44809</c:v>
                </c:pt>
              </c:numCache>
            </c:numRef>
          </c:cat>
          <c:val>
            <c:numRef>
              <c:f>'zk80+134'!$P$6:$P$29</c:f>
              <c:numCache>
                <c:formatCode>0.00_ </c:formatCode>
                <c:ptCount val="24"/>
                <c:pt idx="0">
                  <c:v>0</c:v>
                </c:pt>
                <c:pt idx="1">
                  <c:v>-0.20000000006348301</c:v>
                </c:pt>
                <c:pt idx="2">
                  <c:v>-0.10000000008858501</c:v>
                </c:pt>
                <c:pt idx="3">
                  <c:v>-0.30000000003838101</c:v>
                </c:pt>
                <c:pt idx="4">
                  <c:v>-0.50000000010186296</c:v>
                </c:pt>
                <c:pt idx="5">
                  <c:v>-0.60000000007676102</c:v>
                </c:pt>
                <c:pt idx="6">
                  <c:v>-0.90000000000145497</c:v>
                </c:pt>
                <c:pt idx="7">
                  <c:v>-1.1000000000649399</c:v>
                </c:pt>
                <c:pt idx="8">
                  <c:v>-1.30000000001473</c:v>
                </c:pt>
                <c:pt idx="9">
                  <c:v>-1.30000000001473</c:v>
                </c:pt>
                <c:pt idx="10">
                  <c:v>-1.70000000002801</c:v>
                </c:pt>
                <c:pt idx="11">
                  <c:v>-1.9000000000915001</c:v>
                </c:pt>
                <c:pt idx="12">
                  <c:v>-2.1000000000412902</c:v>
                </c:pt>
                <c:pt idx="13">
                  <c:v>-1.8000000000029099</c:v>
                </c:pt>
                <c:pt idx="14">
                  <c:v>-2.5000000000545701</c:v>
                </c:pt>
                <c:pt idx="15">
                  <c:v>-2.70000000000437</c:v>
                </c:pt>
                <c:pt idx="16">
                  <c:v>-2.3000000001047698</c:v>
                </c:pt>
                <c:pt idx="17">
                  <c:v>-3.1000000000176402</c:v>
                </c:pt>
                <c:pt idx="18">
                  <c:v>-3.30000000008113</c:v>
                </c:pt>
                <c:pt idx="19">
                  <c:v>-3.1000000000176402</c:v>
                </c:pt>
                <c:pt idx="20">
                  <c:v>-3.0000000000427498</c:v>
                </c:pt>
                <c:pt idx="21">
                  <c:v>-2.8000000000929499</c:v>
                </c:pt>
              </c:numCache>
            </c:numRef>
          </c:val>
        </c:ser>
        <c:dLbls/>
        <c:marker val="1"/>
        <c:axId val="345093632"/>
        <c:axId val="344920064"/>
      </c:lineChart>
      <c:lineChart>
        <c:grouping val="standard"/>
        <c:ser>
          <c:idx val="3"/>
          <c:order val="3"/>
          <c:tx>
            <c:strRef>
              <c:f>'zk80+134'!$AG$3:$AG$5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'zk80+134'!$A$6:$A$24</c:f>
              <c:numCache>
                <c:formatCode>m"月"d"日";@</c:formatCode>
                <c:ptCount val="19"/>
                <c:pt idx="0">
                  <c:v>44781</c:v>
                </c:pt>
                <c:pt idx="1">
                  <c:v>44782</c:v>
                </c:pt>
                <c:pt idx="2">
                  <c:v>44783</c:v>
                </c:pt>
                <c:pt idx="3">
                  <c:v>44784</c:v>
                </c:pt>
                <c:pt idx="4">
                  <c:v>44785</c:v>
                </c:pt>
                <c:pt idx="5">
                  <c:v>44786</c:v>
                </c:pt>
                <c:pt idx="6">
                  <c:v>44787</c:v>
                </c:pt>
                <c:pt idx="7">
                  <c:v>44788</c:v>
                </c:pt>
                <c:pt idx="8">
                  <c:v>44789</c:v>
                </c:pt>
                <c:pt idx="9">
                  <c:v>44790</c:v>
                </c:pt>
                <c:pt idx="10">
                  <c:v>44791</c:v>
                </c:pt>
                <c:pt idx="11">
                  <c:v>44792</c:v>
                </c:pt>
                <c:pt idx="12">
                  <c:v>44793</c:v>
                </c:pt>
                <c:pt idx="13">
                  <c:v>44794</c:v>
                </c:pt>
                <c:pt idx="14">
                  <c:v>44795</c:v>
                </c:pt>
                <c:pt idx="15">
                  <c:v>44797</c:v>
                </c:pt>
                <c:pt idx="16">
                  <c:v>44799</c:v>
                </c:pt>
                <c:pt idx="17">
                  <c:v>44801</c:v>
                </c:pt>
                <c:pt idx="18">
                  <c:v>44803</c:v>
                </c:pt>
              </c:numCache>
            </c:numRef>
          </c:cat>
          <c:val>
            <c:numRef>
              <c:f>'zk80+134'!$AG$6:$AG$32</c:f>
              <c:numCache>
                <c:formatCode>0.0_ </c:formatCode>
                <c:ptCount val="27"/>
                <c:pt idx="0">
                  <c:v>8</c:v>
                </c:pt>
                <c:pt idx="1">
                  <c:v>14</c:v>
                </c:pt>
                <c:pt idx="2">
                  <c:v>20</c:v>
                </c:pt>
                <c:pt idx="3">
                  <c:v>26</c:v>
                </c:pt>
                <c:pt idx="4">
                  <c:v>26</c:v>
                </c:pt>
                <c:pt idx="5">
                  <c:v>31</c:v>
                </c:pt>
                <c:pt idx="6">
                  <c:v>37</c:v>
                </c:pt>
                <c:pt idx="7">
                  <c:v>43</c:v>
                </c:pt>
                <c:pt idx="8">
                  <c:v>49</c:v>
                </c:pt>
                <c:pt idx="9">
                  <c:v>55</c:v>
                </c:pt>
                <c:pt idx="10">
                  <c:v>61</c:v>
                </c:pt>
                <c:pt idx="11">
                  <c:v>67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91</c:v>
                </c:pt>
                <c:pt idx="16">
                  <c:v>97</c:v>
                </c:pt>
                <c:pt idx="17">
                  <c:v>103</c:v>
                </c:pt>
                <c:pt idx="18">
                  <c:v>109</c:v>
                </c:pt>
                <c:pt idx="19">
                  <c:v>115</c:v>
                </c:pt>
                <c:pt idx="20">
                  <c:v>118</c:v>
                </c:pt>
                <c:pt idx="21">
                  <c:v>121</c:v>
                </c:pt>
              </c:numCache>
            </c:numRef>
          </c:val>
        </c:ser>
        <c:dLbls/>
        <c:marker val="1"/>
        <c:axId val="344921984"/>
        <c:axId val="344923520"/>
      </c:lineChart>
      <c:dateAx>
        <c:axId val="3450936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920064"/>
        <c:crossesAt val="-50"/>
        <c:auto val="1"/>
        <c:lblOffset val="100"/>
        <c:baseTimeUnit val="days"/>
        <c:majorUnit val="3"/>
        <c:majorTimeUnit val="days"/>
      </c:dateAx>
      <c:valAx>
        <c:axId val="344920064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093632"/>
        <c:crosses val="autoZero"/>
        <c:crossBetween val="midCat"/>
        <c:majorUnit val="1.2"/>
        <c:minorUnit val="0.5"/>
      </c:valAx>
      <c:dateAx>
        <c:axId val="3449219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4923520"/>
        <c:crosses val="autoZero"/>
        <c:auto val="1"/>
        <c:lblOffset val="100"/>
        <c:baseTimeUnit val="days"/>
      </c:dateAx>
      <c:valAx>
        <c:axId val="344923520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492198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591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156495375185001"/>
          <c:y val="7.118184959976132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'zk80+162'!$U$4:$W$4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'zk80+162'!$S$6:$S$27</c:f>
              <c:numCache>
                <c:formatCode>m"月"d"日";@</c:formatCode>
                <c:ptCount val="22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-0.70000000000014495</c:v>
                </c:pt>
                <c:pt idx="5">
                  <c:v>-0.60000000000037801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-1.50000000000894</c:v>
                </c:pt>
                <c:pt idx="9">
                  <c:v>-1.70000000001025</c:v>
                </c:pt>
                <c:pt idx="10">
                  <c:v>-1.99999999999889</c:v>
                </c:pt>
                <c:pt idx="11">
                  <c:v>-2.1000000000093202</c:v>
                </c:pt>
                <c:pt idx="12">
                  <c:v>-2.3000000000088501</c:v>
                </c:pt>
                <c:pt idx="13">
                  <c:v>-2.2999999999999701</c:v>
                </c:pt>
                <c:pt idx="14">
                  <c:v>-2.7000000000096902</c:v>
                </c:pt>
                <c:pt idx="15">
                  <c:v>-2.9000000000092299</c:v>
                </c:pt>
                <c:pt idx="16">
                  <c:v>-3.0000000000001101</c:v>
                </c:pt>
                <c:pt idx="17">
                  <c:v>-3.30000000001895</c:v>
                </c:pt>
                <c:pt idx="18">
                  <c:v>-3.5000000000202598</c:v>
                </c:pt>
                <c:pt idx="19">
                  <c:v>-3.3999999999991801</c:v>
                </c:pt>
                <c:pt idx="20">
                  <c:v>-3.9000000000193298</c:v>
                </c:pt>
                <c:pt idx="21">
                  <c:v>-3.70000000000026</c:v>
                </c:pt>
                <c:pt idx="22">
                  <c:v>-3.0000000000001101</c:v>
                </c:pt>
              </c:numCache>
            </c:numRef>
          </c:val>
        </c:ser>
        <c:ser>
          <c:idx val="1"/>
          <c:order val="1"/>
          <c:tx>
            <c:strRef>
              <c:f>'zk80+162'!$Y$4:$AA$4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'zk80+162'!$S$6:$S$27</c:f>
              <c:numCache>
                <c:formatCode>m"月"d"日";@</c:formatCode>
                <c:ptCount val="22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'zk80+162'!$Z$6:$Z$33</c:f>
              <c:numCache>
                <c:formatCode>0.00_ </c:formatCode>
                <c:ptCount val="28"/>
                <c:pt idx="0">
                  <c:v>0</c:v>
                </c:pt>
                <c:pt idx="1">
                  <c:v>-0.89999999999967895</c:v>
                </c:pt>
                <c:pt idx="2">
                  <c:v>-0.40000000000084401</c:v>
                </c:pt>
                <c:pt idx="3">
                  <c:v>-0.89999999999967895</c:v>
                </c:pt>
                <c:pt idx="4">
                  <c:v>-1.10000000000099</c:v>
                </c:pt>
                <c:pt idx="5">
                  <c:v>-1.3000000000005201</c:v>
                </c:pt>
                <c:pt idx="6">
                  <c:v>-1.4000000000002899</c:v>
                </c:pt>
                <c:pt idx="7">
                  <c:v>-1.6999999999995901</c:v>
                </c:pt>
                <c:pt idx="8">
                  <c:v>-1.9000000000009001</c:v>
                </c:pt>
                <c:pt idx="9">
                  <c:v>-1.80000000000113</c:v>
                </c:pt>
                <c:pt idx="10">
                  <c:v>-2.2999999999999701</c:v>
                </c:pt>
                <c:pt idx="11">
                  <c:v>-2.4999999999995</c:v>
                </c:pt>
                <c:pt idx="12">
                  <c:v>-2.3999999999997401</c:v>
                </c:pt>
                <c:pt idx="13">
                  <c:v>-2.9000000000003499</c:v>
                </c:pt>
                <c:pt idx="14">
                  <c:v>-3.0999999999998802</c:v>
                </c:pt>
                <c:pt idx="15">
                  <c:v>-2.9000000000003499</c:v>
                </c:pt>
                <c:pt idx="16">
                  <c:v>-3.5000000000007199</c:v>
                </c:pt>
                <c:pt idx="17">
                  <c:v>-3.70000000000026</c:v>
                </c:pt>
                <c:pt idx="18">
                  <c:v>-3.6000000000004899</c:v>
                </c:pt>
                <c:pt idx="19">
                  <c:v>-4.1000000000011001</c:v>
                </c:pt>
                <c:pt idx="20">
                  <c:v>-4.3000000000006402</c:v>
                </c:pt>
                <c:pt idx="21">
                  <c:v>-4.1000000000011001</c:v>
                </c:pt>
                <c:pt idx="22">
                  <c:v>-1.99999999999889</c:v>
                </c:pt>
              </c:numCache>
            </c:numRef>
          </c:val>
        </c:ser>
        <c:ser>
          <c:idx val="2"/>
          <c:order val="2"/>
          <c:tx>
            <c:strRef>
              <c:f>'zk80+162'!$AC$4:$AE$4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'zk80+162'!$S$6:$S$27</c:f>
              <c:numCache>
                <c:formatCode>m"月"d"日";@</c:formatCode>
                <c:ptCount val="22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-0.39999999999906799</c:v>
                </c:pt>
                <c:pt idx="4">
                  <c:v>-0.49999999999883499</c:v>
                </c:pt>
                <c:pt idx="5">
                  <c:v>-0.59999999999860198</c:v>
                </c:pt>
                <c:pt idx="6">
                  <c:v>-0.999999999999446</c:v>
                </c:pt>
                <c:pt idx="7">
                  <c:v>-0.799999999999912</c:v>
                </c:pt>
                <c:pt idx="8">
                  <c:v>-0.89999999999967895</c:v>
                </c:pt>
                <c:pt idx="9">
                  <c:v>-0.70000000000014495</c:v>
                </c:pt>
                <c:pt idx="10">
                  <c:v>-1.0999999999992101</c:v>
                </c:pt>
                <c:pt idx="11">
                  <c:v>-1.1999999999989801</c:v>
                </c:pt>
                <c:pt idx="12">
                  <c:v>-0.89999999999967895</c:v>
                </c:pt>
                <c:pt idx="13">
                  <c:v>-0.999999999999446</c:v>
                </c:pt>
                <c:pt idx="14">
                  <c:v>-1.50000000000006</c:v>
                </c:pt>
                <c:pt idx="15">
                  <c:v>-1.59999999999982</c:v>
                </c:pt>
                <c:pt idx="16">
                  <c:v>-1.6999999999995901</c:v>
                </c:pt>
                <c:pt idx="17">
                  <c:v>-1.59999999999982</c:v>
                </c:pt>
                <c:pt idx="18">
                  <c:v>-1.8999999999991199</c:v>
                </c:pt>
                <c:pt idx="19">
                  <c:v>-1.99999999999889</c:v>
                </c:pt>
                <c:pt idx="20">
                  <c:v>-2.0999999999986598</c:v>
                </c:pt>
                <c:pt idx="21">
                  <c:v>-1.99999999999889</c:v>
                </c:pt>
              </c:numCache>
            </c:numRef>
          </c:val>
        </c:ser>
        <c:dLbls/>
        <c:marker val="1"/>
        <c:axId val="345130496"/>
        <c:axId val="345141248"/>
      </c:lineChart>
      <c:lineChart>
        <c:grouping val="standard"/>
        <c:ser>
          <c:idx val="3"/>
          <c:order val="3"/>
          <c:tx>
            <c:strRef>
              <c:f>'zk80+162'!$AG$3:$AG$5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'zk80+162'!$S$6:$S$27</c:f>
              <c:numCache>
                <c:formatCode>m"月"d"日";@</c:formatCode>
                <c:ptCount val="22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19</c:v>
                </c:pt>
                <c:pt idx="3">
                  <c:v>32</c:v>
                </c:pt>
                <c:pt idx="4">
                  <c:v>45</c:v>
                </c:pt>
                <c:pt idx="5">
                  <c:v>58</c:v>
                </c:pt>
                <c:pt idx="6">
                  <c:v>71</c:v>
                </c:pt>
                <c:pt idx="7">
                  <c:v>84</c:v>
                </c:pt>
                <c:pt idx="8">
                  <c:v>97</c:v>
                </c:pt>
                <c:pt idx="9">
                  <c:v>100</c:v>
                </c:pt>
                <c:pt idx="10">
                  <c:v>103</c:v>
                </c:pt>
                <c:pt idx="11">
                  <c:v>106</c:v>
                </c:pt>
                <c:pt idx="12">
                  <c:v>109</c:v>
                </c:pt>
                <c:pt idx="13">
                  <c:v>112</c:v>
                </c:pt>
                <c:pt idx="14">
                  <c:v>115</c:v>
                </c:pt>
                <c:pt idx="15">
                  <c:v>118</c:v>
                </c:pt>
                <c:pt idx="16">
                  <c:v>121</c:v>
                </c:pt>
                <c:pt idx="17">
                  <c:v>124</c:v>
                </c:pt>
                <c:pt idx="18">
                  <c:v>127</c:v>
                </c:pt>
                <c:pt idx="19">
                  <c:v>130</c:v>
                </c:pt>
                <c:pt idx="20">
                  <c:v>133</c:v>
                </c:pt>
                <c:pt idx="21">
                  <c:v>136</c:v>
                </c:pt>
              </c:numCache>
            </c:numRef>
          </c:val>
        </c:ser>
        <c:dLbls/>
        <c:marker val="1"/>
        <c:axId val="345143168"/>
        <c:axId val="345144704"/>
      </c:lineChart>
      <c:dateAx>
        <c:axId val="3451304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141248"/>
        <c:crossesAt val="-50"/>
        <c:auto val="1"/>
        <c:lblOffset val="100"/>
        <c:baseTimeUnit val="days"/>
        <c:majorUnit val="3"/>
        <c:majorTimeUnit val="days"/>
      </c:dateAx>
      <c:valAx>
        <c:axId val="34514124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130496"/>
        <c:crosses val="autoZero"/>
        <c:crossBetween val="midCat"/>
        <c:majorUnit val="1.4"/>
        <c:minorUnit val="0.1"/>
      </c:valAx>
      <c:dateAx>
        <c:axId val="3451431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5144704"/>
        <c:crosses val="autoZero"/>
        <c:auto val="1"/>
        <c:lblOffset val="100"/>
        <c:baseTimeUnit val="days"/>
      </c:dateAx>
      <c:valAx>
        <c:axId val="34514470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14316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'zk80+162'!$C$4:$G$4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'zk80+162'!$A$6:$A$38</c:f>
              <c:numCache>
                <c:formatCode>m"月"d"日";@</c:formatCode>
                <c:ptCount val="33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-0.29999999992469401</c:v>
                </c:pt>
                <c:pt idx="3">
                  <c:v>-9.9999999974897905E-2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-0.20000000006348301</c:v>
                </c:pt>
                <c:pt idx="9">
                  <c:v>0.40000000001327901</c:v>
                </c:pt>
                <c:pt idx="10">
                  <c:v>-0.80000000002655702</c:v>
                </c:pt>
                <c:pt idx="11">
                  <c:v>0.30000000003838101</c:v>
                </c:pt>
                <c:pt idx="12">
                  <c:v>-0.69999999993797202</c:v>
                </c:pt>
                <c:pt idx="13">
                  <c:v>-0.20000000006348301</c:v>
                </c:pt>
                <c:pt idx="14">
                  <c:v>-0.199999999949796</c:v>
                </c:pt>
                <c:pt idx="15">
                  <c:v>0</c:v>
                </c:pt>
                <c:pt idx="16">
                  <c:v>-0.20000000000663901</c:v>
                </c:pt>
                <c:pt idx="17">
                  <c:v>-0.100000000031741</c:v>
                </c:pt>
                <c:pt idx="18">
                  <c:v>0.15000000001919001</c:v>
                </c:pt>
                <c:pt idx="19">
                  <c:v>-0.34999999996898601</c:v>
                </c:pt>
                <c:pt idx="20">
                  <c:v>-0.100000000031741</c:v>
                </c:pt>
                <c:pt idx="21">
                  <c:v>0.15000000001919001</c:v>
                </c:pt>
                <c:pt idx="22">
                  <c:v>-3.3999999999423398</c:v>
                </c:pt>
              </c:numCache>
            </c:numRef>
          </c:val>
        </c:ser>
        <c:ser>
          <c:idx val="1"/>
          <c:order val="1"/>
          <c:tx>
            <c:strRef>
              <c:f>'zk80+162'!$H$4:$L$4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'zk80+162'!$A$6:$A$38</c:f>
              <c:numCache>
                <c:formatCode>m"月"d"日";@</c:formatCode>
                <c:ptCount val="33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-0.50000000010186296</c:v>
                </c:pt>
                <c:pt idx="3">
                  <c:v>-0.199999999949796</c:v>
                </c:pt>
                <c:pt idx="4">
                  <c:v>-9.9999999974897905E-2</c:v>
                </c:pt>
                <c:pt idx="5">
                  <c:v>-9.9999999974897905E-2</c:v>
                </c:pt>
                <c:pt idx="6">
                  <c:v>-0.10000000008858501</c:v>
                </c:pt>
                <c:pt idx="7">
                  <c:v>-0.49999999998817701</c:v>
                </c:pt>
                <c:pt idx="8">
                  <c:v>0.30000000003838101</c:v>
                </c:pt>
                <c:pt idx="9">
                  <c:v>-9.9999999974897905E-2</c:v>
                </c:pt>
                <c:pt idx="10">
                  <c:v>-0.40000000001327901</c:v>
                </c:pt>
                <c:pt idx="11">
                  <c:v>0.199999999949796</c:v>
                </c:pt>
                <c:pt idx="12">
                  <c:v>-9.9999999974897905E-2</c:v>
                </c:pt>
                <c:pt idx="13">
                  <c:v>-0.49999999998817701</c:v>
                </c:pt>
                <c:pt idx="14">
                  <c:v>0.30000000003838101</c:v>
                </c:pt>
                <c:pt idx="15">
                  <c:v>-3.3333333362861602E-2</c:v>
                </c:pt>
                <c:pt idx="16">
                  <c:v>-0.29999999998153698</c:v>
                </c:pt>
                <c:pt idx="17">
                  <c:v>0.20000000000663901</c:v>
                </c:pt>
                <c:pt idx="18">
                  <c:v>-4.9999999987449001E-2</c:v>
                </c:pt>
                <c:pt idx="19">
                  <c:v>9.9999999974897905E-2</c:v>
                </c:pt>
                <c:pt idx="20">
                  <c:v>-0.20000000000663901</c:v>
                </c:pt>
                <c:pt idx="21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'zk80+162'!$M$4:$Q$4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'zk80+162'!$A$6:$A$38</c:f>
              <c:numCache>
                <c:formatCode>m"月"d"日";@</c:formatCode>
                <c:ptCount val="33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'zk80+162'!$Q$6:$Q$31</c:f>
              <c:numCache>
                <c:formatCode>0.00_ </c:formatCode>
                <c:ptCount val="26"/>
                <c:pt idx="0">
                  <c:v>0</c:v>
                </c:pt>
                <c:pt idx="1">
                  <c:v>-0.40000000001327901</c:v>
                </c:pt>
                <c:pt idx="2">
                  <c:v>-0.199999999949796</c:v>
                </c:pt>
                <c:pt idx="3">
                  <c:v>-0.10000000008858501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-0.20000000006348301</c:v>
                </c:pt>
                <c:pt idx="13">
                  <c:v>-9.9999999974897905E-2</c:v>
                </c:pt>
                <c:pt idx="14">
                  <c:v>-0.29999999992469401</c:v>
                </c:pt>
                <c:pt idx="15">
                  <c:v>-6.66666666878276E-2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-0.24999999999408801</c:v>
                </c:pt>
                <c:pt idx="21">
                  <c:v>-9.9999999974897905E-2</c:v>
                </c:pt>
              </c:numCache>
            </c:numRef>
          </c:val>
        </c:ser>
        <c:dLbls/>
        <c:marker val="1"/>
        <c:axId val="345325568"/>
        <c:axId val="345327872"/>
      </c:lineChart>
      <c:dateAx>
        <c:axId val="3453255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327872"/>
        <c:crossesAt val="-50"/>
        <c:auto val="1"/>
        <c:lblOffset val="100"/>
        <c:baseTimeUnit val="days"/>
        <c:majorUnit val="3"/>
        <c:majorTimeUnit val="days"/>
      </c:dateAx>
      <c:valAx>
        <c:axId val="34532787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32556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80+162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'zk80+162'!$U$4:$W$4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'zk80+162'!$S$6:$S$41</c:f>
              <c:numCache>
                <c:formatCode>m"月"d"日";@</c:formatCode>
                <c:ptCount val="36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9.99999999997669E-2</c:v>
                </c:pt>
                <c:pt idx="3">
                  <c:v>0.19999999999953399</c:v>
                </c:pt>
                <c:pt idx="4">
                  <c:v>0.20000000000130999</c:v>
                </c:pt>
                <c:pt idx="5">
                  <c:v>-9.99999999997669E-2</c:v>
                </c:pt>
                <c:pt idx="6">
                  <c:v>0.49999999999883499</c:v>
                </c:pt>
                <c:pt idx="7">
                  <c:v>-9.99999999997669E-2</c:v>
                </c:pt>
                <c:pt idx="8">
                  <c:v>0.50000000000949296</c:v>
                </c:pt>
                <c:pt idx="9">
                  <c:v>0.20000000000130999</c:v>
                </c:pt>
                <c:pt idx="10">
                  <c:v>0.29999999998864302</c:v>
                </c:pt>
                <c:pt idx="11">
                  <c:v>0.100000000010425</c:v>
                </c:pt>
                <c:pt idx="12">
                  <c:v>0.19999999999953399</c:v>
                </c:pt>
                <c:pt idx="13">
                  <c:v>-8.8817841970012507E-12</c:v>
                </c:pt>
                <c:pt idx="14">
                  <c:v>0.40000000000972602</c:v>
                </c:pt>
                <c:pt idx="15">
                  <c:v>6.6666666666511304E-2</c:v>
                </c:pt>
                <c:pt idx="16">
                  <c:v>4.99999999954426E-2</c:v>
                </c:pt>
                <c:pt idx="17">
                  <c:v>0.15000000000941999</c:v>
                </c:pt>
                <c:pt idx="18">
                  <c:v>0.100000000000655</c:v>
                </c:pt>
                <c:pt idx="19">
                  <c:v>-5.0000000010541598E-2</c:v>
                </c:pt>
                <c:pt idx="20">
                  <c:v>0.250000000010075</c:v>
                </c:pt>
                <c:pt idx="21">
                  <c:v>-0.100000000009537</c:v>
                </c:pt>
                <c:pt idx="22">
                  <c:v>-1.50000000000006</c:v>
                </c:pt>
              </c:numCache>
            </c:numRef>
          </c:val>
        </c:ser>
        <c:ser>
          <c:idx val="1"/>
          <c:order val="1"/>
          <c:tx>
            <c:strRef>
              <c:f>'zk80+162'!$Y$4:$AA$4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'zk80+162'!$S$6:$S$41</c:f>
              <c:numCache>
                <c:formatCode>m"月"d"日";@</c:formatCode>
                <c:ptCount val="36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-0.89999999999967895</c:v>
                </c:pt>
                <c:pt idx="2">
                  <c:v>0.49999999999883499</c:v>
                </c:pt>
                <c:pt idx="3">
                  <c:v>-0.49999999999883499</c:v>
                </c:pt>
                <c:pt idx="4">
                  <c:v>-0.20000000000130999</c:v>
                </c:pt>
                <c:pt idx="5">
                  <c:v>-0.19999999999953399</c:v>
                </c:pt>
                <c:pt idx="6">
                  <c:v>-9.99999999997669E-2</c:v>
                </c:pt>
                <c:pt idx="7">
                  <c:v>-0.29999999999930099</c:v>
                </c:pt>
                <c:pt idx="8">
                  <c:v>-0.20000000000130999</c:v>
                </c:pt>
                <c:pt idx="9">
                  <c:v>9.99999999997669E-2</c:v>
                </c:pt>
                <c:pt idx="10">
                  <c:v>-0.49999999999883499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-0.50000000000061096</c:v>
                </c:pt>
                <c:pt idx="14">
                  <c:v>-0.19999999999953399</c:v>
                </c:pt>
                <c:pt idx="15">
                  <c:v>6.6666666666511304E-2</c:v>
                </c:pt>
                <c:pt idx="16">
                  <c:v>-0.300000000000189</c:v>
                </c:pt>
                <c:pt idx="17">
                  <c:v>-9.99999999997669E-2</c:v>
                </c:pt>
                <c:pt idx="18">
                  <c:v>4.9999999999883499E-2</c:v>
                </c:pt>
                <c:pt idx="19">
                  <c:v>-0.25000000000030598</c:v>
                </c:pt>
                <c:pt idx="20">
                  <c:v>-9.99999999997669E-2</c:v>
                </c:pt>
                <c:pt idx="21">
                  <c:v>9.99999999997669E-2</c:v>
                </c:pt>
                <c:pt idx="22">
                  <c:v>-6.0000000000002301E-2</c:v>
                </c:pt>
              </c:numCache>
            </c:numRef>
          </c:val>
        </c:ser>
        <c:ser>
          <c:idx val="2"/>
          <c:order val="2"/>
          <c:tx>
            <c:strRef>
              <c:f>'zk80+162'!$AC$4:$AE$4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'zk80+162'!$S$6:$S$41</c:f>
              <c:numCache>
                <c:formatCode>m"月"d"日";@</c:formatCode>
                <c:ptCount val="36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-0.29999999999930099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-0.40000000000084401</c:v>
                </c:pt>
                <c:pt idx="7">
                  <c:v>0.19999999999953399</c:v>
                </c:pt>
                <c:pt idx="8">
                  <c:v>-9.99999999997669E-2</c:v>
                </c:pt>
                <c:pt idx="9">
                  <c:v>0.19999999999953399</c:v>
                </c:pt>
                <c:pt idx="10">
                  <c:v>-0.39999999999906799</c:v>
                </c:pt>
                <c:pt idx="11">
                  <c:v>-9.99999999997669E-2</c:v>
                </c:pt>
                <c:pt idx="12">
                  <c:v>0.29999999999930099</c:v>
                </c:pt>
                <c:pt idx="13">
                  <c:v>-9.99999999997669E-2</c:v>
                </c:pt>
                <c:pt idx="14">
                  <c:v>-0.50000000000061096</c:v>
                </c:pt>
                <c:pt idx="15">
                  <c:v>-3.3333333333255603E-2</c:v>
                </c:pt>
                <c:pt idx="16">
                  <c:v>-4.9999999999883499E-2</c:v>
                </c:pt>
                <c:pt idx="17">
                  <c:v>4.9999999999883499E-2</c:v>
                </c:pt>
                <c:pt idx="18">
                  <c:v>-0.14999999999965</c:v>
                </c:pt>
                <c:pt idx="19">
                  <c:v>-4.9999999999883499E-2</c:v>
                </c:pt>
                <c:pt idx="20">
                  <c:v>-4.9999999999883499E-2</c:v>
                </c:pt>
                <c:pt idx="21">
                  <c:v>4.9999999999883499E-2</c:v>
                </c:pt>
              </c:numCache>
            </c:numRef>
          </c:val>
        </c:ser>
        <c:dLbls/>
        <c:marker val="1"/>
        <c:axId val="345404160"/>
        <c:axId val="345406464"/>
      </c:lineChart>
      <c:dateAx>
        <c:axId val="3454041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406464"/>
        <c:crossesAt val="-50"/>
        <c:auto val="1"/>
        <c:lblOffset val="100"/>
        <c:baseTimeUnit val="days"/>
        <c:majorUnit val="3"/>
        <c:majorTimeUnit val="days"/>
      </c:dateAx>
      <c:valAx>
        <c:axId val="34540646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40416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k80+162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'zk80+162'!$C$4:$G$4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'zk80+162'!$A$6:$A$34</c:f>
              <c:numCache>
                <c:formatCode>m"月"d"日";@</c:formatCode>
                <c:ptCount val="29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'zk80+162'!$F$6:$F$27</c:f>
              <c:numCache>
                <c:formatCode>0.00_ </c:formatCode>
                <c:ptCount val="22"/>
                <c:pt idx="0">
                  <c:v>0</c:v>
                </c:pt>
                <c:pt idx="1">
                  <c:v>-0.20000000006348301</c:v>
                </c:pt>
                <c:pt idx="2">
                  <c:v>-0.49999999998817701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-1.1000000000649399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-1.2000000000398401</c:v>
                </c:pt>
                <c:pt idx="10">
                  <c:v>-2.00000000006639</c:v>
                </c:pt>
                <c:pt idx="11">
                  <c:v>-1.70000000002801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-2.79999999997926</c:v>
                </c:pt>
                <c:pt idx="16">
                  <c:v>-3.1999999999925399</c:v>
                </c:pt>
                <c:pt idx="17">
                  <c:v>-3.40000000005602</c:v>
                </c:pt>
                <c:pt idx="18">
                  <c:v>-3.1000000000176402</c:v>
                </c:pt>
                <c:pt idx="19">
                  <c:v>-3.7999999999556202</c:v>
                </c:pt>
                <c:pt idx="20">
                  <c:v>-4.0000000000191003</c:v>
                </c:pt>
                <c:pt idx="21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'zk80+162'!$H$4:$L$4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'zk80+162'!$A$6:$A$34</c:f>
              <c:numCache>
                <c:formatCode>m"月"d"日";@</c:formatCode>
                <c:ptCount val="29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-0.70000000005165897</c:v>
                </c:pt>
                <c:pt idx="3">
                  <c:v>-0.90000000000145497</c:v>
                </c:pt>
                <c:pt idx="4">
                  <c:v>-0.99999999997635303</c:v>
                </c:pt>
                <c:pt idx="5">
                  <c:v>-1.09999999995125</c:v>
                </c:pt>
                <c:pt idx="6">
                  <c:v>-1.2000000000398401</c:v>
                </c:pt>
                <c:pt idx="7">
                  <c:v>-1.70000000002801</c:v>
                </c:pt>
                <c:pt idx="8">
                  <c:v>-1.39999999998963</c:v>
                </c:pt>
                <c:pt idx="9">
                  <c:v>-1.4999999999645299</c:v>
                </c:pt>
                <c:pt idx="10">
                  <c:v>-1.8999999999778101</c:v>
                </c:pt>
                <c:pt idx="11">
                  <c:v>-1.70000000002801</c:v>
                </c:pt>
                <c:pt idx="12">
                  <c:v>-1.8000000000029099</c:v>
                </c:pt>
                <c:pt idx="13">
                  <c:v>-2.2999999999910901</c:v>
                </c:pt>
                <c:pt idx="14">
                  <c:v>-1.9999999999527101</c:v>
                </c:pt>
                <c:pt idx="15">
                  <c:v>-2.1000000000412902</c:v>
                </c:pt>
                <c:pt idx="16">
                  <c:v>-2.70000000000437</c:v>
                </c:pt>
                <c:pt idx="17">
                  <c:v>-2.2999999999910901</c:v>
                </c:pt>
                <c:pt idx="18">
                  <c:v>-2.39999999996598</c:v>
                </c:pt>
                <c:pt idx="19">
                  <c:v>-2.2000000000161899</c:v>
                </c:pt>
                <c:pt idx="20">
                  <c:v>-2.6000000000294698</c:v>
                </c:pt>
                <c:pt idx="21">
                  <c:v>-2.70000000000437</c:v>
                </c:pt>
                <c:pt idx="22">
                  <c:v>-0.13599999999769399</c:v>
                </c:pt>
              </c:numCache>
            </c:numRef>
          </c:val>
        </c:ser>
        <c:ser>
          <c:idx val="2"/>
          <c:order val="2"/>
          <c:tx>
            <c:strRef>
              <c:f>'zk80+162'!$M$4:$Q$4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'zk80+162'!$A$6:$A$34</c:f>
              <c:numCache>
                <c:formatCode>m"月"d"日";@</c:formatCode>
                <c:ptCount val="29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  <c:pt idx="19">
                  <c:v>44814</c:v>
                </c:pt>
                <c:pt idx="20">
                  <c:v>44816</c:v>
                </c:pt>
                <c:pt idx="21">
                  <c:v>44818</c:v>
                </c:pt>
              </c:numCache>
            </c:numRef>
          </c:cat>
          <c:val>
            <c:numRef>
              <c:f>'zk80+162'!$P$6:$P$28</c:f>
              <c:numCache>
                <c:formatCode>0.00_ </c:formatCode>
                <c:ptCount val="23"/>
                <c:pt idx="0">
                  <c:v>0</c:v>
                </c:pt>
                <c:pt idx="1">
                  <c:v>-0.40000000001327901</c:v>
                </c:pt>
                <c:pt idx="2">
                  <c:v>-0.59999999996307496</c:v>
                </c:pt>
                <c:pt idx="3">
                  <c:v>-0.70000000005165897</c:v>
                </c:pt>
                <c:pt idx="4">
                  <c:v>-0.90000000000145497</c:v>
                </c:pt>
                <c:pt idx="5">
                  <c:v>-1.09999999995125</c:v>
                </c:pt>
                <c:pt idx="6">
                  <c:v>-1.2000000000398401</c:v>
                </c:pt>
                <c:pt idx="7">
                  <c:v>-1.4999999999645299</c:v>
                </c:pt>
                <c:pt idx="8">
                  <c:v>-1.39999999998963</c:v>
                </c:pt>
                <c:pt idx="9">
                  <c:v>-1.8999999999778101</c:v>
                </c:pt>
                <c:pt idx="10">
                  <c:v>-1.9999999999527101</c:v>
                </c:pt>
                <c:pt idx="11">
                  <c:v>-2.2999999999910901</c:v>
                </c:pt>
                <c:pt idx="12">
                  <c:v>-2.5000000000545701</c:v>
                </c:pt>
                <c:pt idx="13">
                  <c:v>-2.6000000000294698</c:v>
                </c:pt>
                <c:pt idx="14">
                  <c:v>-2.8999999999541601</c:v>
                </c:pt>
                <c:pt idx="15">
                  <c:v>-3.1000000000176402</c:v>
                </c:pt>
                <c:pt idx="16">
                  <c:v>-3.0000000000427498</c:v>
                </c:pt>
                <c:pt idx="17">
                  <c:v>-3.5000000000309202</c:v>
                </c:pt>
                <c:pt idx="18">
                  <c:v>-3.69999999998072</c:v>
                </c:pt>
                <c:pt idx="19">
                  <c:v>-3.6000000000058199</c:v>
                </c:pt>
                <c:pt idx="20">
                  <c:v>-4.099999999994</c:v>
                </c:pt>
                <c:pt idx="21">
                  <c:v>-4.2999999999437897</c:v>
                </c:pt>
              </c:numCache>
            </c:numRef>
          </c:val>
        </c:ser>
        <c:dLbls/>
        <c:marker val="1"/>
        <c:axId val="345277568"/>
        <c:axId val="345279872"/>
      </c:lineChart>
      <c:lineChart>
        <c:grouping val="standard"/>
        <c:ser>
          <c:idx val="3"/>
          <c:order val="3"/>
          <c:tx>
            <c:strRef>
              <c:f>'zk80+162'!$AG$3:$AG$5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'zk80+162'!$A$6:$A$24</c:f>
              <c:numCache>
                <c:formatCode>m"月"d"日";@</c:formatCode>
                <c:ptCount val="19"/>
                <c:pt idx="0">
                  <c:v>44789</c:v>
                </c:pt>
                <c:pt idx="1">
                  <c:v>44790</c:v>
                </c:pt>
                <c:pt idx="2">
                  <c:v>44791</c:v>
                </c:pt>
                <c:pt idx="3">
                  <c:v>44792</c:v>
                </c:pt>
                <c:pt idx="4">
                  <c:v>44793</c:v>
                </c:pt>
                <c:pt idx="5">
                  <c:v>44794</c:v>
                </c:pt>
                <c:pt idx="6">
                  <c:v>44795</c:v>
                </c:pt>
                <c:pt idx="7">
                  <c:v>44796</c:v>
                </c:pt>
                <c:pt idx="8">
                  <c:v>44797</c:v>
                </c:pt>
                <c:pt idx="9">
                  <c:v>44798</c:v>
                </c:pt>
                <c:pt idx="10">
                  <c:v>44799</c:v>
                </c:pt>
                <c:pt idx="11">
                  <c:v>44800</c:v>
                </c:pt>
                <c:pt idx="12">
                  <c:v>44801</c:v>
                </c:pt>
                <c:pt idx="13">
                  <c:v>44802</c:v>
                </c:pt>
                <c:pt idx="14">
                  <c:v>44803</c:v>
                </c:pt>
                <c:pt idx="15">
                  <c:v>44806</c:v>
                </c:pt>
                <c:pt idx="16">
                  <c:v>44808</c:v>
                </c:pt>
                <c:pt idx="17">
                  <c:v>44810</c:v>
                </c:pt>
                <c:pt idx="18">
                  <c:v>44812</c:v>
                </c:pt>
              </c:numCache>
            </c:numRef>
          </c:cat>
          <c:val>
            <c:numRef>
              <c:f>'zk80+162'!$AG$6:$AG$31</c:f>
              <c:numCache>
                <c:formatCode>0.0_ 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19</c:v>
                </c:pt>
                <c:pt idx="3">
                  <c:v>32</c:v>
                </c:pt>
                <c:pt idx="4">
                  <c:v>45</c:v>
                </c:pt>
                <c:pt idx="5">
                  <c:v>58</c:v>
                </c:pt>
                <c:pt idx="6">
                  <c:v>71</c:v>
                </c:pt>
                <c:pt idx="7">
                  <c:v>84</c:v>
                </c:pt>
                <c:pt idx="8">
                  <c:v>97</c:v>
                </c:pt>
                <c:pt idx="9">
                  <c:v>100</c:v>
                </c:pt>
                <c:pt idx="10">
                  <c:v>103</c:v>
                </c:pt>
                <c:pt idx="11">
                  <c:v>106</c:v>
                </c:pt>
                <c:pt idx="12">
                  <c:v>109</c:v>
                </c:pt>
                <c:pt idx="13">
                  <c:v>112</c:v>
                </c:pt>
                <c:pt idx="14">
                  <c:v>115</c:v>
                </c:pt>
                <c:pt idx="15">
                  <c:v>118</c:v>
                </c:pt>
                <c:pt idx="16">
                  <c:v>121</c:v>
                </c:pt>
                <c:pt idx="17">
                  <c:v>124</c:v>
                </c:pt>
                <c:pt idx="18">
                  <c:v>127</c:v>
                </c:pt>
                <c:pt idx="19">
                  <c:v>130</c:v>
                </c:pt>
                <c:pt idx="20">
                  <c:v>133</c:v>
                </c:pt>
                <c:pt idx="21">
                  <c:v>136</c:v>
                </c:pt>
              </c:numCache>
            </c:numRef>
          </c:val>
        </c:ser>
        <c:dLbls/>
        <c:marker val="1"/>
        <c:axId val="345306624"/>
        <c:axId val="345308160"/>
      </c:lineChart>
      <c:dateAx>
        <c:axId val="3452775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279872"/>
        <c:crossesAt val="-50"/>
        <c:auto val="1"/>
        <c:lblOffset val="100"/>
        <c:baseTimeUnit val="days"/>
        <c:majorUnit val="3"/>
        <c:majorTimeUnit val="days"/>
      </c:dateAx>
      <c:valAx>
        <c:axId val="34527987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277568"/>
        <c:crosses val="autoZero"/>
        <c:crossBetween val="midCat"/>
        <c:majorUnit val="1.2"/>
        <c:minorUnit val="0.5"/>
      </c:valAx>
      <c:dateAx>
        <c:axId val="34530662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5308160"/>
        <c:crosses val="autoZero"/>
        <c:auto val="1"/>
        <c:lblOffset val="100"/>
        <c:baseTimeUnit val="days"/>
      </c:dateAx>
      <c:valAx>
        <c:axId val="345308160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30662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366138981055001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'zk80+200'!$U$4:$W$4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'zk80+200'!$S$6:$S$28</c:f>
              <c:numCache>
                <c:formatCode>m"月"d"日";@</c:formatCode>
                <c:ptCount val="23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'zk80+200'!$V$6:$V$33</c:f>
              <c:numCache>
                <c:formatCode>0.00_ </c:formatCode>
                <c:ptCount val="28"/>
                <c:pt idx="0">
                  <c:v>0</c:v>
                </c:pt>
                <c:pt idx="1">
                  <c:v>-0.10000000000154299</c:v>
                </c:pt>
                <c:pt idx="2">
                  <c:v>-0.30000000000107702</c:v>
                </c:pt>
                <c:pt idx="3">
                  <c:v>-0.40000000000084401</c:v>
                </c:pt>
                <c:pt idx="4">
                  <c:v>-0.70000000000014495</c:v>
                </c:pt>
                <c:pt idx="5">
                  <c:v>-0.90000000000145497</c:v>
                </c:pt>
                <c:pt idx="6">
                  <c:v>-0.80000000000168803</c:v>
                </c:pt>
                <c:pt idx="7">
                  <c:v>-1.3000000000005201</c:v>
                </c:pt>
                <c:pt idx="8">
                  <c:v>-1.50000000000006</c:v>
                </c:pt>
                <c:pt idx="9">
                  <c:v>-1.4000000000002899</c:v>
                </c:pt>
                <c:pt idx="10">
                  <c:v>-1.9000000000009001</c:v>
                </c:pt>
                <c:pt idx="11">
                  <c:v>-2.10000000000043</c:v>
                </c:pt>
                <c:pt idx="12">
                  <c:v>-2.6000000000010499</c:v>
                </c:pt>
                <c:pt idx="13">
                  <c:v>-2.5000000000012799</c:v>
                </c:pt>
                <c:pt idx="14">
                  <c:v>-2.6999999999901498</c:v>
                </c:pt>
                <c:pt idx="15">
                  <c:v>-2.5000000000012799</c:v>
                </c:pt>
                <c:pt idx="16">
                  <c:v>-3.0999999999910002</c:v>
                </c:pt>
                <c:pt idx="17">
                  <c:v>-3.0000000000001101</c:v>
                </c:pt>
                <c:pt idx="18">
                  <c:v>-3.4999999999900702</c:v>
                </c:pt>
                <c:pt idx="19">
                  <c:v>-3.69999999999138</c:v>
                </c:pt>
                <c:pt idx="20">
                  <c:v>-3.8999999999909098</c:v>
                </c:pt>
                <c:pt idx="21">
                  <c:v>-4.0000000000013403</c:v>
                </c:pt>
                <c:pt idx="22">
                  <c:v>-3.80000000000003</c:v>
                </c:pt>
                <c:pt idx="23">
                  <c:v>-3.3999999999991801</c:v>
                </c:pt>
              </c:numCache>
            </c:numRef>
          </c:val>
        </c:ser>
        <c:ser>
          <c:idx val="1"/>
          <c:order val="1"/>
          <c:tx>
            <c:strRef>
              <c:f>'zk80+200'!$Y$4:$AA$4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'zk80+200'!$S$6:$S$28</c:f>
              <c:numCache>
                <c:formatCode>m"月"d"日";@</c:formatCode>
                <c:ptCount val="23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'zk80+200'!$Z$6:$Z$34</c:f>
              <c:numCache>
                <c:formatCode>0.00_ </c:formatCode>
                <c:ptCount val="29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-0.39999999999906799</c:v>
                </c:pt>
                <c:pt idx="4">
                  <c:v>-0.59999999999860198</c:v>
                </c:pt>
                <c:pt idx="5">
                  <c:v>-0.70000000000014495</c:v>
                </c:pt>
                <c:pt idx="6">
                  <c:v>-0.999999999999446</c:v>
                </c:pt>
                <c:pt idx="7">
                  <c:v>-1.1999999999989801</c:v>
                </c:pt>
                <c:pt idx="8">
                  <c:v>-0.89999999999967895</c:v>
                </c:pt>
                <c:pt idx="9">
                  <c:v>-1.59999999999982</c:v>
                </c:pt>
                <c:pt idx="10">
                  <c:v>-1.7999999999993599</c:v>
                </c:pt>
                <c:pt idx="11">
                  <c:v>-1.8999999999991199</c:v>
                </c:pt>
                <c:pt idx="12">
                  <c:v>-2.2000000000002</c:v>
                </c:pt>
                <c:pt idx="13">
                  <c:v>-2.3999999999997401</c:v>
                </c:pt>
                <c:pt idx="14">
                  <c:v>-2.2000000000002</c:v>
                </c:pt>
                <c:pt idx="15">
                  <c:v>-2.7999999999987999</c:v>
                </c:pt>
                <c:pt idx="16">
                  <c:v>-3.0000000000001101</c:v>
                </c:pt>
                <c:pt idx="17">
                  <c:v>-2.8999999999985699</c:v>
                </c:pt>
                <c:pt idx="18">
                  <c:v>-3.3999999999991801</c:v>
                </c:pt>
                <c:pt idx="19">
                  <c:v>-3.5999999999987198</c:v>
                </c:pt>
                <c:pt idx="20">
                  <c:v>-3.4999999999989502</c:v>
                </c:pt>
                <c:pt idx="21">
                  <c:v>-3.5999999999987198</c:v>
                </c:pt>
                <c:pt idx="22">
                  <c:v>-3.3999999999991801</c:v>
                </c:pt>
                <c:pt idx="23">
                  <c:v>-3.6000000000004899</c:v>
                </c:pt>
              </c:numCache>
            </c:numRef>
          </c:val>
        </c:ser>
        <c:ser>
          <c:idx val="2"/>
          <c:order val="2"/>
          <c:tx>
            <c:strRef>
              <c:f>'zk80+200'!$AC$4:$AE$4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'zk80+200'!$S$6:$S$28</c:f>
              <c:numCache>
                <c:formatCode>m"月"d"日";@</c:formatCode>
                <c:ptCount val="23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'zk80+200'!$AD$6:$AD$38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0.19999999999953399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-0.799999999999912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-1.7999999999993599</c:v>
                </c:pt>
                <c:pt idx="10">
                  <c:v>-1.6999999999995901</c:v>
                </c:pt>
                <c:pt idx="11">
                  <c:v>-2.2000000000002</c:v>
                </c:pt>
                <c:pt idx="12">
                  <c:v>-2.3999999999890802</c:v>
                </c:pt>
                <c:pt idx="13">
                  <c:v>-2.59999999999039</c:v>
                </c:pt>
                <c:pt idx="14">
                  <c:v>-2.6999999999990401</c:v>
                </c:pt>
                <c:pt idx="15">
                  <c:v>-2.99999999998946</c:v>
                </c:pt>
                <c:pt idx="16">
                  <c:v>-3.1999999999889899</c:v>
                </c:pt>
                <c:pt idx="17">
                  <c:v>-3.0000000000001101</c:v>
                </c:pt>
                <c:pt idx="18">
                  <c:v>-3.59999999998983</c:v>
                </c:pt>
                <c:pt idx="19">
                  <c:v>-3.7999999999893701</c:v>
                </c:pt>
                <c:pt idx="20">
                  <c:v>-3.70000000000026</c:v>
                </c:pt>
                <c:pt idx="21">
                  <c:v>-3.8999999999997899</c:v>
                </c:pt>
                <c:pt idx="22">
                  <c:v>-3.6000000000004899</c:v>
                </c:pt>
              </c:numCache>
            </c:numRef>
          </c:val>
        </c:ser>
        <c:dLbls/>
        <c:marker val="1"/>
        <c:axId val="345625728"/>
        <c:axId val="345628032"/>
      </c:lineChart>
      <c:lineChart>
        <c:grouping val="standard"/>
        <c:ser>
          <c:idx val="3"/>
          <c:order val="3"/>
          <c:tx>
            <c:strRef>
              <c:f>'zk80+200'!$AG$3:$AG$5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'zk80+200'!$S$6:$S$28</c:f>
              <c:numCache>
                <c:formatCode>m"月"d"日";@</c:formatCode>
                <c:ptCount val="23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'zk80+200'!$AG$6:$AG$32</c:f>
              <c:numCache>
                <c:formatCode>0.0_ </c:formatCode>
                <c:ptCount val="27"/>
                <c:pt idx="0">
                  <c:v>10</c:v>
                </c:pt>
                <c:pt idx="1">
                  <c:v>14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30</c:v>
                </c:pt>
                <c:pt idx="6">
                  <c:v>34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50</c:v>
                </c:pt>
                <c:pt idx="11">
                  <c:v>54</c:v>
                </c:pt>
                <c:pt idx="12">
                  <c:v>58</c:v>
                </c:pt>
                <c:pt idx="13">
                  <c:v>62</c:v>
                </c:pt>
                <c:pt idx="14">
                  <c:v>66</c:v>
                </c:pt>
                <c:pt idx="15">
                  <c:v>70</c:v>
                </c:pt>
                <c:pt idx="16">
                  <c:v>74</c:v>
                </c:pt>
                <c:pt idx="17">
                  <c:v>78</c:v>
                </c:pt>
                <c:pt idx="18">
                  <c:v>82</c:v>
                </c:pt>
                <c:pt idx="19">
                  <c:v>86</c:v>
                </c:pt>
                <c:pt idx="20">
                  <c:v>90</c:v>
                </c:pt>
                <c:pt idx="21">
                  <c:v>94</c:v>
                </c:pt>
                <c:pt idx="22">
                  <c:v>97</c:v>
                </c:pt>
              </c:numCache>
            </c:numRef>
          </c:val>
        </c:ser>
        <c:dLbls/>
        <c:marker val="1"/>
        <c:axId val="345634304"/>
        <c:axId val="345635840"/>
      </c:lineChart>
      <c:dateAx>
        <c:axId val="3456257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628032"/>
        <c:crossesAt val="-50"/>
        <c:auto val="1"/>
        <c:lblOffset val="100"/>
        <c:baseTimeUnit val="days"/>
        <c:majorUnit val="3"/>
        <c:majorTimeUnit val="days"/>
      </c:dateAx>
      <c:valAx>
        <c:axId val="34562803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625728"/>
        <c:crosses val="autoZero"/>
        <c:crossBetween val="midCat"/>
        <c:majorUnit val="1.4"/>
        <c:minorUnit val="0.1"/>
      </c:valAx>
      <c:dateAx>
        <c:axId val="3456343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5635840"/>
        <c:crosses val="autoZero"/>
        <c:auto val="1"/>
        <c:lblOffset val="100"/>
        <c:baseTimeUnit val="days"/>
      </c:dateAx>
      <c:valAx>
        <c:axId val="34563584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63430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8.304342821420823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'zk80+200'!$C$4:$G$4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'zk80+200'!$A$6:$A$39</c:f>
              <c:numCache>
                <c:formatCode>m"月"d"日";@</c:formatCode>
                <c:ptCount val="34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'zk80+200'!$G$6:$G$35</c:f>
              <c:numCache>
                <c:formatCode>0.00_ 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0.40000000001327901</c:v>
                </c:pt>
                <c:pt idx="14">
                  <c:v>-0.80000000002655702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-9.9999999974897905E-2</c:v>
                </c:pt>
                <c:pt idx="19">
                  <c:v>4.9999999987449001E-2</c:v>
                </c:pt>
                <c:pt idx="20">
                  <c:v>-0.24999999999408801</c:v>
                </c:pt>
                <c:pt idx="21">
                  <c:v>9.9999999974897905E-2</c:v>
                </c:pt>
                <c:pt idx="22">
                  <c:v>-4.9999999987449001E-2</c:v>
                </c:pt>
                <c:pt idx="23">
                  <c:v>-3.6000000000058199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'zk80+200'!$H$4:$L$4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'zk80+200'!$A$6:$A$39</c:f>
              <c:numCache>
                <c:formatCode>m"月"d"日";@</c:formatCode>
                <c:ptCount val="34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'zk80+200'!$L$6:$L$36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-0.199999999949796</c:v>
                </c:pt>
                <c:pt idx="2">
                  <c:v>-0.10000000008858501</c:v>
                </c:pt>
                <c:pt idx="3">
                  <c:v>-0.29999999992469401</c:v>
                </c:pt>
                <c:pt idx="4">
                  <c:v>-0.20000000006348301</c:v>
                </c:pt>
                <c:pt idx="5">
                  <c:v>0.10000000008858501</c:v>
                </c:pt>
                <c:pt idx="6">
                  <c:v>-0.50000000010186296</c:v>
                </c:pt>
                <c:pt idx="7">
                  <c:v>-0.199999999949796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-5.0000000044292399E-2</c:v>
                </c:pt>
                <c:pt idx="17">
                  <c:v>-0.149999999962347</c:v>
                </c:pt>
                <c:pt idx="18">
                  <c:v>-0.100000000031741</c:v>
                </c:pt>
                <c:pt idx="19">
                  <c:v>4.9999999987449001E-2</c:v>
                </c:pt>
                <c:pt idx="20">
                  <c:v>-0.24999999999408801</c:v>
                </c:pt>
                <c:pt idx="21">
                  <c:v>5.0000000044292399E-2</c:v>
                </c:pt>
                <c:pt idx="22">
                  <c:v>9.9999999974897905E-2</c:v>
                </c:pt>
              </c:numCache>
            </c:numRef>
          </c:val>
        </c:ser>
        <c:ser>
          <c:idx val="2"/>
          <c:order val="2"/>
          <c:tx>
            <c:strRef>
              <c:f>'zk80+200'!$M$4:$Q$4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'zk80+200'!$A$6:$A$39</c:f>
              <c:numCache>
                <c:formatCode>m"月"d"日";@</c:formatCode>
                <c:ptCount val="34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'zk80+200'!$Q$6:$Q$32</c:f>
              <c:numCache>
                <c:formatCode>0.00_ 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0.29999999992469401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0</c:v>
                </c:pt>
                <c:pt idx="8">
                  <c:v>-0.40000000001327901</c:v>
                </c:pt>
                <c:pt idx="9">
                  <c:v>-0.199999999949796</c:v>
                </c:pt>
                <c:pt idx="10">
                  <c:v>-0.10000000008858501</c:v>
                </c:pt>
                <c:pt idx="11">
                  <c:v>-0.29999999992469401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0</c:v>
                </c:pt>
                <c:pt idx="16">
                  <c:v>-0.20000000000663901</c:v>
                </c:pt>
                <c:pt idx="17">
                  <c:v>-9.9999999974897905E-2</c:v>
                </c:pt>
                <c:pt idx="18">
                  <c:v>0.100000000031741</c:v>
                </c:pt>
                <c:pt idx="19">
                  <c:v>-0.30000000003838101</c:v>
                </c:pt>
                <c:pt idx="20">
                  <c:v>-0.149999999962347</c:v>
                </c:pt>
                <c:pt idx="21">
                  <c:v>-0.100000000031741</c:v>
                </c:pt>
                <c:pt idx="22">
                  <c:v>0.15000000001919001</c:v>
                </c:pt>
              </c:numCache>
            </c:numRef>
          </c:val>
        </c:ser>
        <c:dLbls/>
        <c:marker val="1"/>
        <c:axId val="345521536"/>
        <c:axId val="345569152"/>
      </c:lineChart>
      <c:dateAx>
        <c:axId val="3455215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569152"/>
        <c:crossesAt val="-50"/>
        <c:auto val="1"/>
        <c:lblOffset val="100"/>
        <c:baseTimeUnit val="days"/>
        <c:majorUnit val="3"/>
        <c:majorTimeUnit val="days"/>
      </c:dateAx>
      <c:valAx>
        <c:axId val="34556915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52153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'zk80+200'!$U$4:$W$4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'zk80+200'!$S$6:$S$42</c:f>
              <c:numCache>
                <c:formatCode>m"月"d"日";@</c:formatCode>
                <c:ptCount val="37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'zk80+200'!$W$6:$W$33</c:f>
              <c:numCache>
                <c:formatCode>0.00_ </c:formatCode>
                <c:ptCount val="28"/>
                <c:pt idx="0">
                  <c:v>0</c:v>
                </c:pt>
                <c:pt idx="1">
                  <c:v>0.10000000000154299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0.29999999999930099</c:v>
                </c:pt>
                <c:pt idx="5">
                  <c:v>0.20000000000130999</c:v>
                </c:pt>
                <c:pt idx="6">
                  <c:v>-9.99999999997669E-2</c:v>
                </c:pt>
                <c:pt idx="7">
                  <c:v>0.49999999999883499</c:v>
                </c:pt>
                <c:pt idx="8">
                  <c:v>0.19999999999953399</c:v>
                </c:pt>
                <c:pt idx="9">
                  <c:v>-9.99999999997669E-2</c:v>
                </c:pt>
                <c:pt idx="10">
                  <c:v>0.50000000000061096</c:v>
                </c:pt>
                <c:pt idx="11">
                  <c:v>0.19999999999953399</c:v>
                </c:pt>
                <c:pt idx="12">
                  <c:v>0.50000000000061096</c:v>
                </c:pt>
                <c:pt idx="13">
                  <c:v>-9.99999999997669E-2</c:v>
                </c:pt>
                <c:pt idx="14">
                  <c:v>0.19999999998887599</c:v>
                </c:pt>
                <c:pt idx="15">
                  <c:v>-9.9999999994437899E-2</c:v>
                </c:pt>
                <c:pt idx="16">
                  <c:v>0.29999999999485999</c:v>
                </c:pt>
                <c:pt idx="17">
                  <c:v>-4.99999999954426E-2</c:v>
                </c:pt>
                <c:pt idx="18">
                  <c:v>0.24999999999497599</c:v>
                </c:pt>
                <c:pt idx="19">
                  <c:v>0.100000000000655</c:v>
                </c:pt>
                <c:pt idx="20">
                  <c:v>9.99999999997669E-2</c:v>
                </c:pt>
                <c:pt idx="21">
                  <c:v>5.00000000052125E-2</c:v>
                </c:pt>
                <c:pt idx="22">
                  <c:v>-0.100000000000655</c:v>
                </c:pt>
                <c:pt idx="23">
                  <c:v>-3.6000000000004899</c:v>
                </c:pt>
              </c:numCache>
            </c:numRef>
          </c:val>
        </c:ser>
        <c:ser>
          <c:idx val="1"/>
          <c:order val="1"/>
          <c:tx>
            <c:strRef>
              <c:f>'zk80+200'!$Y$4:$AA$4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'zk80+200'!$S$6:$S$42</c:f>
              <c:numCache>
                <c:formatCode>m"月"d"日";@</c:formatCode>
                <c:ptCount val="37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'zk80+200'!$AA$6:$AA$32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-0.29999999999930099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-0.10000000000154299</c:v>
                </c:pt>
                <c:pt idx="6">
                  <c:v>-0.29999999999930099</c:v>
                </c:pt>
                <c:pt idx="7">
                  <c:v>-0.19999999999953399</c:v>
                </c:pt>
                <c:pt idx="8">
                  <c:v>0.29999999999930099</c:v>
                </c:pt>
                <c:pt idx="9">
                  <c:v>-0.70000000000014495</c:v>
                </c:pt>
                <c:pt idx="10">
                  <c:v>-0.19999999999953399</c:v>
                </c:pt>
                <c:pt idx="11">
                  <c:v>-9.99999999997669E-2</c:v>
                </c:pt>
                <c:pt idx="12">
                  <c:v>-0.30000000000107702</c:v>
                </c:pt>
                <c:pt idx="13">
                  <c:v>-0.19999999999953399</c:v>
                </c:pt>
                <c:pt idx="14">
                  <c:v>0.19999999999953399</c:v>
                </c:pt>
                <c:pt idx="15">
                  <c:v>-0.29999999999930099</c:v>
                </c:pt>
                <c:pt idx="16">
                  <c:v>-0.100000000000655</c:v>
                </c:pt>
                <c:pt idx="17">
                  <c:v>5.0000000000771601E-2</c:v>
                </c:pt>
                <c:pt idx="18">
                  <c:v>-0.25000000000030598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-4.9999999999883499E-2</c:v>
                </c:pt>
                <c:pt idx="22">
                  <c:v>9.99999999997669E-2</c:v>
                </c:pt>
                <c:pt idx="23">
                  <c:v>-0.11612903225807999</c:v>
                </c:pt>
              </c:numCache>
            </c:numRef>
          </c:val>
        </c:ser>
        <c:ser>
          <c:idx val="2"/>
          <c:order val="2"/>
          <c:tx>
            <c:strRef>
              <c:f>'zk80+200'!$AC$4:$AE$4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'zk80+200'!$S$6:$S$42</c:f>
              <c:numCache>
                <c:formatCode>m"月"d"日";@</c:formatCode>
                <c:ptCount val="37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'zk80+200'!$AE$6:$AE$39</c:f>
              <c:numCache>
                <c:formatCode>0.00_ </c:formatCode>
                <c:ptCount val="34"/>
                <c:pt idx="0">
                  <c:v>0</c:v>
                </c:pt>
                <c:pt idx="1">
                  <c:v>-0.19999999999953399</c:v>
                </c:pt>
                <c:pt idx="2">
                  <c:v>0.39999999999906799</c:v>
                </c:pt>
                <c:pt idx="3">
                  <c:v>-0.799999999999912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0.19999999999953399</c:v>
                </c:pt>
                <c:pt idx="7">
                  <c:v>-0.60000000000037801</c:v>
                </c:pt>
                <c:pt idx="8">
                  <c:v>-0.19999999999953399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-0.50000000000061096</c:v>
                </c:pt>
                <c:pt idx="12">
                  <c:v>-0.19999999998887599</c:v>
                </c:pt>
                <c:pt idx="13">
                  <c:v>-0.20000000000130999</c:v>
                </c:pt>
                <c:pt idx="14">
                  <c:v>-0.100000000008649</c:v>
                </c:pt>
                <c:pt idx="15">
                  <c:v>-0.14999999999520999</c:v>
                </c:pt>
                <c:pt idx="16">
                  <c:v>-9.99999999997669E-2</c:v>
                </c:pt>
                <c:pt idx="17">
                  <c:v>9.9999999994437899E-2</c:v>
                </c:pt>
                <c:pt idx="18">
                  <c:v>-0.29999999999485999</c:v>
                </c:pt>
                <c:pt idx="19">
                  <c:v>-9.99999999997669E-2</c:v>
                </c:pt>
                <c:pt idx="20">
                  <c:v>4.99999999945544E-2</c:v>
                </c:pt>
                <c:pt idx="21">
                  <c:v>-9.99999999997669E-2</c:v>
                </c:pt>
                <c:pt idx="22">
                  <c:v>0.14999999999965</c:v>
                </c:pt>
              </c:numCache>
            </c:numRef>
          </c:val>
        </c:ser>
        <c:dLbls/>
        <c:marker val="1"/>
        <c:axId val="345694592"/>
        <c:axId val="345696896"/>
      </c:lineChart>
      <c:dateAx>
        <c:axId val="3456945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696896"/>
        <c:crossesAt val="-50"/>
        <c:auto val="1"/>
        <c:lblOffset val="100"/>
        <c:baseTimeUnit val="days"/>
        <c:majorUnit val="3"/>
        <c:majorTimeUnit val="days"/>
      </c:dateAx>
      <c:valAx>
        <c:axId val="34569689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69459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k80+200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'zk80+200'!$C$4:$G$4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'zk80+200'!$A$6:$A$35</c:f>
              <c:numCache>
                <c:formatCode>m"月"d"日";@</c:formatCode>
                <c:ptCount val="30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'zk80+200'!$F$6:$F$28</c:f>
              <c:numCache>
                <c:formatCode>0.00_ 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-0.30000000003838101</c:v>
                </c:pt>
                <c:pt idx="5">
                  <c:v>-0.80000000002655702</c:v>
                </c:pt>
                <c:pt idx="6">
                  <c:v>-0.99999999997635303</c:v>
                </c:pt>
                <c:pt idx="7">
                  <c:v>-0.90000000000145497</c:v>
                </c:pt>
                <c:pt idx="8">
                  <c:v>-1.39999999998963</c:v>
                </c:pt>
                <c:pt idx="9">
                  <c:v>-1.5999999999394301</c:v>
                </c:pt>
                <c:pt idx="10">
                  <c:v>-1.4999999999645299</c:v>
                </c:pt>
                <c:pt idx="11">
                  <c:v>-1.9999999999527101</c:v>
                </c:pt>
                <c:pt idx="12">
                  <c:v>-2.2000000000161899</c:v>
                </c:pt>
                <c:pt idx="13">
                  <c:v>-1.8000000000029099</c:v>
                </c:pt>
                <c:pt idx="14">
                  <c:v>-2.6000000000294698</c:v>
                </c:pt>
                <c:pt idx="15">
                  <c:v>-2.79999999997926</c:v>
                </c:pt>
                <c:pt idx="16">
                  <c:v>-2.70000000000437</c:v>
                </c:pt>
                <c:pt idx="17">
                  <c:v>-3.1999999999925399</c:v>
                </c:pt>
                <c:pt idx="18">
                  <c:v>-3.3999999999423398</c:v>
                </c:pt>
                <c:pt idx="19">
                  <c:v>-3.2999999999674401</c:v>
                </c:pt>
                <c:pt idx="20">
                  <c:v>-3.7999999999556202</c:v>
                </c:pt>
                <c:pt idx="21">
                  <c:v>-3.6000000000058199</c:v>
                </c:pt>
                <c:pt idx="22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'zk80+200'!$H$4:$L$4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'zk80+200'!$A$6:$A$35</c:f>
              <c:numCache>
                <c:formatCode>m"月"d"日";@</c:formatCode>
                <c:ptCount val="30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'zk80+200'!$K$6:$K$31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-0.69999999993797202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-1.4999999999645299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-2.2999999999910901</c:v>
                </c:pt>
                <c:pt idx="14">
                  <c:v>-2.79999999997926</c:v>
                </c:pt>
                <c:pt idx="15">
                  <c:v>-2.9999999999290599</c:v>
                </c:pt>
                <c:pt idx="16">
                  <c:v>-3.1000000000176402</c:v>
                </c:pt>
                <c:pt idx="17">
                  <c:v>-3.3999999999423398</c:v>
                </c:pt>
                <c:pt idx="18">
                  <c:v>-3.6000000000058199</c:v>
                </c:pt>
                <c:pt idx="19">
                  <c:v>-3.5000000000309202</c:v>
                </c:pt>
                <c:pt idx="20">
                  <c:v>-4.0000000000191003</c:v>
                </c:pt>
                <c:pt idx="21">
                  <c:v>-3.8999999999305102</c:v>
                </c:pt>
                <c:pt idx="22">
                  <c:v>-3.69999999998072</c:v>
                </c:pt>
                <c:pt idx="23">
                  <c:v>-0.116129032258252</c:v>
                </c:pt>
              </c:numCache>
            </c:numRef>
          </c:val>
        </c:ser>
        <c:ser>
          <c:idx val="2"/>
          <c:order val="2"/>
          <c:tx>
            <c:strRef>
              <c:f>'zk80+200'!$M$4:$Q$4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'zk80+200'!$A$6:$A$35</c:f>
              <c:numCache>
                <c:formatCode>m"月"d"日";@</c:formatCode>
                <c:ptCount val="30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  <c:pt idx="19">
                  <c:v>44818</c:v>
                </c:pt>
                <c:pt idx="20">
                  <c:v>44820</c:v>
                </c:pt>
                <c:pt idx="21">
                  <c:v>44822</c:v>
                </c:pt>
                <c:pt idx="22">
                  <c:v>44824</c:v>
                </c:pt>
              </c:numCache>
            </c:numRef>
          </c:cat>
          <c:val>
            <c:numRef>
              <c:f>'zk80+200'!$P$6:$P$29</c:f>
              <c:numCache>
                <c:formatCode>0.00_ 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0.29999999992469401</c:v>
                </c:pt>
                <c:pt idx="3">
                  <c:v>-0.20000000006348301</c:v>
                </c:pt>
                <c:pt idx="4">
                  <c:v>-0.40000000001327901</c:v>
                </c:pt>
                <c:pt idx="5">
                  <c:v>-0.49999999998817701</c:v>
                </c:pt>
                <c:pt idx="6">
                  <c:v>-0.80000000002655702</c:v>
                </c:pt>
                <c:pt idx="7">
                  <c:v>-0.80000000002655702</c:v>
                </c:pt>
                <c:pt idx="8">
                  <c:v>-1.2000000000398401</c:v>
                </c:pt>
                <c:pt idx="9">
                  <c:v>-1.39999999998963</c:v>
                </c:pt>
                <c:pt idx="10">
                  <c:v>-1.5000000000782201</c:v>
                </c:pt>
                <c:pt idx="11">
                  <c:v>-1.8000000000029099</c:v>
                </c:pt>
                <c:pt idx="12">
                  <c:v>-2.00000000006639</c:v>
                </c:pt>
                <c:pt idx="13">
                  <c:v>-2.2000000000161899</c:v>
                </c:pt>
                <c:pt idx="14">
                  <c:v>-2.40000000007967</c:v>
                </c:pt>
                <c:pt idx="15">
                  <c:v>-2.40000000007967</c:v>
                </c:pt>
                <c:pt idx="16">
                  <c:v>-2.8000000000929499</c:v>
                </c:pt>
                <c:pt idx="17">
                  <c:v>-3.0000000000427498</c:v>
                </c:pt>
                <c:pt idx="18">
                  <c:v>-2.79999999997926</c:v>
                </c:pt>
                <c:pt idx="19">
                  <c:v>-3.40000000005602</c:v>
                </c:pt>
                <c:pt idx="20">
                  <c:v>-3.69999999998072</c:v>
                </c:pt>
                <c:pt idx="21">
                  <c:v>-3.9000000000442001</c:v>
                </c:pt>
                <c:pt idx="22">
                  <c:v>-3.6000000000058199</c:v>
                </c:pt>
              </c:numCache>
            </c:numRef>
          </c:val>
        </c:ser>
        <c:dLbls/>
        <c:marker val="1"/>
        <c:axId val="345907968"/>
        <c:axId val="345910272"/>
      </c:lineChart>
      <c:lineChart>
        <c:grouping val="standard"/>
        <c:ser>
          <c:idx val="3"/>
          <c:order val="3"/>
          <c:tx>
            <c:strRef>
              <c:f>'zk80+200'!$AG$3:$AG$5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'zk80+200'!$A$6:$A$24</c:f>
              <c:numCache>
                <c:formatCode>m"月"d"日";@</c:formatCode>
                <c:ptCount val="19"/>
                <c:pt idx="0">
                  <c:v>44794</c:v>
                </c:pt>
                <c:pt idx="1">
                  <c:v>44795</c:v>
                </c:pt>
                <c:pt idx="2">
                  <c:v>44796</c:v>
                </c:pt>
                <c:pt idx="3">
                  <c:v>44797</c:v>
                </c:pt>
                <c:pt idx="4">
                  <c:v>44798</c:v>
                </c:pt>
                <c:pt idx="5">
                  <c:v>44799</c:v>
                </c:pt>
                <c:pt idx="6">
                  <c:v>44800</c:v>
                </c:pt>
                <c:pt idx="7">
                  <c:v>44801</c:v>
                </c:pt>
                <c:pt idx="8">
                  <c:v>44802</c:v>
                </c:pt>
                <c:pt idx="9">
                  <c:v>44803</c:v>
                </c:pt>
                <c:pt idx="10">
                  <c:v>44804</c:v>
                </c:pt>
                <c:pt idx="11">
                  <c:v>44805</c:v>
                </c:pt>
                <c:pt idx="12">
                  <c:v>44806</c:v>
                </c:pt>
                <c:pt idx="13">
                  <c:v>44807</c:v>
                </c:pt>
                <c:pt idx="14">
                  <c:v>44808</c:v>
                </c:pt>
                <c:pt idx="15">
                  <c:v>44810</c:v>
                </c:pt>
                <c:pt idx="16">
                  <c:v>44812</c:v>
                </c:pt>
                <c:pt idx="17">
                  <c:v>44814</c:v>
                </c:pt>
                <c:pt idx="18">
                  <c:v>44816</c:v>
                </c:pt>
              </c:numCache>
            </c:numRef>
          </c:cat>
          <c:val>
            <c:numRef>
              <c:f>'zk80+200'!$AG$6:$AG$32</c:f>
              <c:numCache>
                <c:formatCode>0.0_ </c:formatCode>
                <c:ptCount val="27"/>
                <c:pt idx="0">
                  <c:v>10</c:v>
                </c:pt>
                <c:pt idx="1">
                  <c:v>14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30</c:v>
                </c:pt>
                <c:pt idx="6">
                  <c:v>34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50</c:v>
                </c:pt>
                <c:pt idx="11">
                  <c:v>54</c:v>
                </c:pt>
                <c:pt idx="12">
                  <c:v>58</c:v>
                </c:pt>
                <c:pt idx="13">
                  <c:v>62</c:v>
                </c:pt>
                <c:pt idx="14">
                  <c:v>66</c:v>
                </c:pt>
                <c:pt idx="15">
                  <c:v>70</c:v>
                </c:pt>
                <c:pt idx="16">
                  <c:v>74</c:v>
                </c:pt>
                <c:pt idx="17">
                  <c:v>78</c:v>
                </c:pt>
                <c:pt idx="18">
                  <c:v>82</c:v>
                </c:pt>
                <c:pt idx="19">
                  <c:v>86</c:v>
                </c:pt>
                <c:pt idx="20">
                  <c:v>90</c:v>
                </c:pt>
                <c:pt idx="21">
                  <c:v>94</c:v>
                </c:pt>
                <c:pt idx="22">
                  <c:v>97</c:v>
                </c:pt>
              </c:numCache>
            </c:numRef>
          </c:val>
        </c:ser>
        <c:dLbls/>
        <c:marker val="1"/>
        <c:axId val="345928832"/>
        <c:axId val="345930368"/>
      </c:lineChart>
      <c:dateAx>
        <c:axId val="3459079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910272"/>
        <c:crossesAt val="-50"/>
        <c:auto val="1"/>
        <c:lblOffset val="100"/>
        <c:baseTimeUnit val="days"/>
        <c:majorUnit val="3"/>
        <c:majorTimeUnit val="days"/>
      </c:dateAx>
      <c:valAx>
        <c:axId val="34591027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907968"/>
        <c:crosses val="autoZero"/>
        <c:crossBetween val="midCat"/>
        <c:majorUnit val="1.2"/>
        <c:minorUnit val="0.5"/>
      </c:valAx>
      <c:dateAx>
        <c:axId val="34592883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5930368"/>
        <c:crosses val="autoZero"/>
        <c:auto val="1"/>
        <c:lblOffset val="100"/>
        <c:baseTimeUnit val="days"/>
      </c:dateAx>
      <c:valAx>
        <c:axId val="34593036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92883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366138981055001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'zk80+235'!$U$4:$W$4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'zk80+235'!$S$6:$S$27</c:f>
              <c:numCache>
                <c:formatCode>m"月"d"日";@</c:formatCode>
                <c:ptCount val="22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0.20000000000130999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-0.19999999999953399</c:v>
                </c:pt>
                <c:pt idx="6">
                  <c:v>-0.70000000000014495</c:v>
                </c:pt>
                <c:pt idx="7">
                  <c:v>-0.89999999999967895</c:v>
                </c:pt>
                <c:pt idx="8">
                  <c:v>-1.50000000000006</c:v>
                </c:pt>
                <c:pt idx="9">
                  <c:v>-1.2999999999987499</c:v>
                </c:pt>
                <c:pt idx="10">
                  <c:v>-1.50000000000006</c:v>
                </c:pt>
                <c:pt idx="11">
                  <c:v>-1.8999999999991199</c:v>
                </c:pt>
                <c:pt idx="12">
                  <c:v>-1.8999999999991199</c:v>
                </c:pt>
                <c:pt idx="13">
                  <c:v>-2.0999999999986598</c:v>
                </c:pt>
                <c:pt idx="14">
                  <c:v>-2.1999999999984299</c:v>
                </c:pt>
                <c:pt idx="15">
                  <c:v>-2.49999999998884</c:v>
                </c:pt>
                <c:pt idx="16">
                  <c:v>-2.6999999999901498</c:v>
                </c:pt>
                <c:pt idx="17">
                  <c:v>-2.8999999999896899</c:v>
                </c:pt>
                <c:pt idx="18">
                  <c:v>-3.1999999999996498</c:v>
                </c:pt>
                <c:pt idx="19">
                  <c:v>-3.3999999999991801</c:v>
                </c:pt>
                <c:pt idx="20">
                  <c:v>-3.5999999999987198</c:v>
                </c:pt>
                <c:pt idx="21">
                  <c:v>-3.80000000000003</c:v>
                </c:pt>
                <c:pt idx="22">
                  <c:v>-0.60000000000037801</c:v>
                </c:pt>
              </c:numCache>
            </c:numRef>
          </c:val>
        </c:ser>
        <c:ser>
          <c:idx val="1"/>
          <c:order val="1"/>
          <c:tx>
            <c:strRef>
              <c:f>'zk80+235'!$Y$4:$AA$4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'zk80+235'!$S$6:$S$27</c:f>
              <c:numCache>
                <c:formatCode>m"月"d"日";@</c:formatCode>
                <c:ptCount val="22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'zk80+235'!$Z$6:$Z$33</c:f>
              <c:numCache>
                <c:formatCode>0.00_ </c:formatCode>
                <c:ptCount val="28"/>
                <c:pt idx="0">
                  <c:v>0</c:v>
                </c:pt>
                <c:pt idx="1">
                  <c:v>0.10000000000154299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-0.59999999999860198</c:v>
                </c:pt>
                <c:pt idx="5">
                  <c:v>-0.69999999999836904</c:v>
                </c:pt>
                <c:pt idx="6">
                  <c:v>-0.89999999999967895</c:v>
                </c:pt>
                <c:pt idx="7">
                  <c:v>-0.89999999999967895</c:v>
                </c:pt>
                <c:pt idx="8">
                  <c:v>-1.2999999999987499</c:v>
                </c:pt>
                <c:pt idx="9">
                  <c:v>-1.50000000000006</c:v>
                </c:pt>
                <c:pt idx="10">
                  <c:v>-1.1999999999989801</c:v>
                </c:pt>
                <c:pt idx="11">
                  <c:v>-1.8999999999991199</c:v>
                </c:pt>
                <c:pt idx="12">
                  <c:v>-2.0999999999986598</c:v>
                </c:pt>
                <c:pt idx="13">
                  <c:v>-2.0999999999986598</c:v>
                </c:pt>
                <c:pt idx="14">
                  <c:v>-2.4999999999995</c:v>
                </c:pt>
                <c:pt idx="15">
                  <c:v>-2.6999999999990401</c:v>
                </c:pt>
                <c:pt idx="16">
                  <c:v>-2.59999999999927</c:v>
                </c:pt>
                <c:pt idx="17">
                  <c:v>-3.0999999999998802</c:v>
                </c:pt>
                <c:pt idx="18">
                  <c:v>-3.2999999999994101</c:v>
                </c:pt>
                <c:pt idx="19">
                  <c:v>-3.5999999999987198</c:v>
                </c:pt>
                <c:pt idx="20">
                  <c:v>-3.8999999999997899</c:v>
                </c:pt>
                <c:pt idx="21">
                  <c:v>-4.1999999999990898</c:v>
                </c:pt>
                <c:pt idx="22">
                  <c:v>-3.6999999999594002</c:v>
                </c:pt>
              </c:numCache>
            </c:numRef>
          </c:val>
        </c:ser>
        <c:ser>
          <c:idx val="2"/>
          <c:order val="2"/>
          <c:tx>
            <c:strRef>
              <c:f>'zk80+235'!$AC$4:$AE$4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'zk80+235'!$S$6:$S$27</c:f>
              <c:numCache>
                <c:formatCode>m"月"d"日";@</c:formatCode>
                <c:ptCount val="22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'zk80+235'!$AD$6:$AD$37</c:f>
              <c:numCache>
                <c:formatCode>0.00_ </c:formatCode>
                <c:ptCount val="32"/>
                <c:pt idx="0">
                  <c:v>0</c:v>
                </c:pt>
                <c:pt idx="1">
                  <c:v>0.50000000000061096</c:v>
                </c:pt>
                <c:pt idx="2">
                  <c:v>-0.19999999999953399</c:v>
                </c:pt>
                <c:pt idx="3">
                  <c:v>-0.40000000000084401</c:v>
                </c:pt>
                <c:pt idx="4">
                  <c:v>-0.60000000000037801</c:v>
                </c:pt>
                <c:pt idx="5">
                  <c:v>-0.50000000000061096</c:v>
                </c:pt>
                <c:pt idx="6">
                  <c:v>-0.999999999999446</c:v>
                </c:pt>
                <c:pt idx="7">
                  <c:v>-1.20000000000964</c:v>
                </c:pt>
                <c:pt idx="8">
                  <c:v>-1.4000000000091699</c:v>
                </c:pt>
                <c:pt idx="9">
                  <c:v>-0.999999999999446</c:v>
                </c:pt>
                <c:pt idx="10">
                  <c:v>-1.80000000001002</c:v>
                </c:pt>
                <c:pt idx="11">
                  <c:v>-2.0000000000095501</c:v>
                </c:pt>
                <c:pt idx="12">
                  <c:v>-1.9000000000009001</c:v>
                </c:pt>
                <c:pt idx="13">
                  <c:v>-2.4000000000103898</c:v>
                </c:pt>
                <c:pt idx="14">
                  <c:v>-2.6000000000205898</c:v>
                </c:pt>
                <c:pt idx="15">
                  <c:v>-2.8000000000201202</c:v>
                </c:pt>
                <c:pt idx="16">
                  <c:v>-2.4999999999995</c:v>
                </c:pt>
                <c:pt idx="17">
                  <c:v>-3.2000000000191902</c:v>
                </c:pt>
                <c:pt idx="18">
                  <c:v>-3.4000000000205</c:v>
                </c:pt>
                <c:pt idx="19">
                  <c:v>-3.5000000000007199</c:v>
                </c:pt>
                <c:pt idx="20">
                  <c:v>-3.5999999999791799</c:v>
                </c:pt>
                <c:pt idx="21">
                  <c:v>-3.6999999999594002</c:v>
                </c:pt>
              </c:numCache>
            </c:numRef>
          </c:val>
        </c:ser>
        <c:dLbls/>
        <c:marker val="1"/>
        <c:axId val="346075904"/>
        <c:axId val="346078208"/>
      </c:lineChart>
      <c:lineChart>
        <c:grouping val="standard"/>
        <c:ser>
          <c:idx val="3"/>
          <c:order val="3"/>
          <c:tx>
            <c:strRef>
              <c:f>'zk80+235'!$AG$3:$AG$5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'zk80+235'!$S$6:$S$27</c:f>
              <c:numCache>
                <c:formatCode>m"月"d"日";@</c:formatCode>
                <c:ptCount val="22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'zk80+235'!$AG$6:$AG$31</c:f>
              <c:numCache>
                <c:formatCode>0.0_ </c:formatCode>
                <c:ptCount val="2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20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36</c:v>
                </c:pt>
                <c:pt idx="8">
                  <c:v>40</c:v>
                </c:pt>
                <c:pt idx="9">
                  <c:v>44</c:v>
                </c:pt>
                <c:pt idx="10">
                  <c:v>48</c:v>
                </c:pt>
                <c:pt idx="11">
                  <c:v>52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68</c:v>
                </c:pt>
                <c:pt idx="16">
                  <c:v>72</c:v>
                </c:pt>
                <c:pt idx="17">
                  <c:v>76</c:v>
                </c:pt>
                <c:pt idx="18">
                  <c:v>80</c:v>
                </c:pt>
                <c:pt idx="19">
                  <c:v>84</c:v>
                </c:pt>
                <c:pt idx="20">
                  <c:v>88</c:v>
                </c:pt>
                <c:pt idx="21">
                  <c:v>92</c:v>
                </c:pt>
              </c:numCache>
            </c:numRef>
          </c:val>
        </c:ser>
        <c:dLbls/>
        <c:marker val="1"/>
        <c:axId val="345842816"/>
        <c:axId val="345844352"/>
      </c:lineChart>
      <c:dateAx>
        <c:axId val="3460759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078208"/>
        <c:crossesAt val="-50"/>
        <c:auto val="1"/>
        <c:lblOffset val="100"/>
        <c:baseTimeUnit val="days"/>
        <c:majorUnit val="3"/>
        <c:majorTimeUnit val="days"/>
      </c:dateAx>
      <c:valAx>
        <c:axId val="34607820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075904"/>
        <c:crosses val="autoZero"/>
        <c:crossBetween val="midCat"/>
        <c:majorUnit val="1.4"/>
        <c:minorUnit val="0.1"/>
      </c:valAx>
      <c:dateAx>
        <c:axId val="3458428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5844352"/>
        <c:crosses val="autoZero"/>
        <c:auto val="1"/>
        <c:lblOffset val="100"/>
        <c:baseTimeUnit val="days"/>
      </c:dateAx>
      <c:valAx>
        <c:axId val="345844352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84281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'zk80+235'!$C$4:$G$4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'zk80+235'!$A$6:$A$38</c:f>
              <c:numCache>
                <c:formatCode>m"月"d"日";@</c:formatCode>
                <c:ptCount val="33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-0.20000000006348301</c:v>
                </c:pt>
                <c:pt idx="5">
                  <c:v>0.40000000001327901</c:v>
                </c:pt>
                <c:pt idx="6">
                  <c:v>-0.79999999991286996</c:v>
                </c:pt>
                <c:pt idx="7">
                  <c:v>-0.20000000006348301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0</c:v>
                </c:pt>
                <c:pt idx="15">
                  <c:v>-0.20000000000663901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-9.9999999974897905E-2</c:v>
                </c:pt>
                <c:pt idx="20">
                  <c:v>-0.100000000031741</c:v>
                </c:pt>
                <c:pt idx="21">
                  <c:v>-9.9999999974897905E-2</c:v>
                </c:pt>
                <c:pt idx="22">
                  <c:v>-0.40000000001327901</c:v>
                </c:pt>
              </c:numCache>
            </c:numRef>
          </c:val>
        </c:ser>
        <c:ser>
          <c:idx val="1"/>
          <c:order val="1"/>
          <c:tx>
            <c:strRef>
              <c:f>'zk80+235'!$H$4:$L$4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'zk80+235'!$A$6:$A$38</c:f>
              <c:numCache>
                <c:formatCode>m"月"d"日";@</c:formatCode>
                <c:ptCount val="33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0.10000000008858501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-0.20000000006348301</c:v>
                </c:pt>
                <c:pt idx="8">
                  <c:v>0.10000000008858501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0.49999999998817701</c:v>
                </c:pt>
                <c:pt idx="12">
                  <c:v>-0.90000000000145497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0.100000000031741</c:v>
                </c:pt>
                <c:pt idx="16">
                  <c:v>-0.30000000003838101</c:v>
                </c:pt>
                <c:pt idx="17">
                  <c:v>-9.9999999974897905E-2</c:v>
                </c:pt>
                <c:pt idx="18">
                  <c:v>4.9999999987449001E-2</c:v>
                </c:pt>
                <c:pt idx="19">
                  <c:v>-9.9999999974897905E-2</c:v>
                </c:pt>
                <c:pt idx="20">
                  <c:v>-0.100000000031741</c:v>
                </c:pt>
                <c:pt idx="21">
                  <c:v>-9.9999999974897905E-2</c:v>
                </c:pt>
              </c:numCache>
            </c:numRef>
          </c:val>
        </c:ser>
        <c:ser>
          <c:idx val="2"/>
          <c:order val="2"/>
          <c:tx>
            <c:strRef>
              <c:f>'zk80+235'!$M$4:$Q$4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'zk80+235'!$A$6:$A$38</c:f>
              <c:numCache>
                <c:formatCode>m"月"d"日";@</c:formatCode>
                <c:ptCount val="33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'zk80+235'!$Q$6:$Q$31</c:f>
              <c:numCache>
                <c:formatCode>0.00_ </c:formatCode>
                <c:ptCount val="26"/>
                <c:pt idx="0">
                  <c:v>0</c:v>
                </c:pt>
                <c:pt idx="1">
                  <c:v>-9.9999999974897905E-2</c:v>
                </c:pt>
                <c:pt idx="2">
                  <c:v>-0.50000000010186296</c:v>
                </c:pt>
                <c:pt idx="3">
                  <c:v>-0.29999999992469401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0.10000000008858501</c:v>
                </c:pt>
                <c:pt idx="8">
                  <c:v>-0.49999999998817701</c:v>
                </c:pt>
                <c:pt idx="9">
                  <c:v>-0.20000000006348301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0.149999999962347</c:v>
                </c:pt>
                <c:pt idx="17">
                  <c:v>-0.34999999996898601</c:v>
                </c:pt>
                <c:pt idx="18">
                  <c:v>-0.100000000031741</c:v>
                </c:pt>
                <c:pt idx="19">
                  <c:v>-9.9999999974897905E-2</c:v>
                </c:pt>
                <c:pt idx="20">
                  <c:v>-0.100000000031741</c:v>
                </c:pt>
                <c:pt idx="21">
                  <c:v>-9.9999999974897905E-2</c:v>
                </c:pt>
              </c:numCache>
            </c:numRef>
          </c:val>
        </c:ser>
        <c:dLbls/>
        <c:marker val="1"/>
        <c:axId val="345852928"/>
        <c:axId val="345884160"/>
      </c:lineChart>
      <c:dateAx>
        <c:axId val="3458529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884160"/>
        <c:crossesAt val="-50"/>
        <c:auto val="1"/>
        <c:lblOffset val="100"/>
        <c:baseTimeUnit val="days"/>
        <c:majorUnit val="3"/>
        <c:majorTimeUnit val="days"/>
      </c:dateAx>
      <c:valAx>
        <c:axId val="34588416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58529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'zk80+235'!$U$4:$W$4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'zk80+235'!$S$6:$S$41</c:f>
              <c:numCache>
                <c:formatCode>m"月"d"日";@</c:formatCode>
                <c:ptCount val="36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-0.40000000000084401</c:v>
                </c:pt>
                <c:pt idx="3">
                  <c:v>0.30000000000107702</c:v>
                </c:pt>
                <c:pt idx="4">
                  <c:v>0.19999999999953399</c:v>
                </c:pt>
                <c:pt idx="5">
                  <c:v>-9.99999999997669E-2</c:v>
                </c:pt>
                <c:pt idx="6">
                  <c:v>0.50000000000061096</c:v>
                </c:pt>
                <c:pt idx="7">
                  <c:v>0.19999999999953399</c:v>
                </c:pt>
                <c:pt idx="8">
                  <c:v>0.60000000000037801</c:v>
                </c:pt>
                <c:pt idx="9">
                  <c:v>-0.20000000000130999</c:v>
                </c:pt>
                <c:pt idx="10">
                  <c:v>0.20000000000130999</c:v>
                </c:pt>
                <c:pt idx="11">
                  <c:v>0.39999999999906799</c:v>
                </c:pt>
                <c:pt idx="12">
                  <c:v>0</c:v>
                </c:pt>
                <c:pt idx="13">
                  <c:v>0.19999999999953399</c:v>
                </c:pt>
                <c:pt idx="14">
                  <c:v>9.99999999997669E-2</c:v>
                </c:pt>
                <c:pt idx="15">
                  <c:v>0.14999999999520999</c:v>
                </c:pt>
                <c:pt idx="16">
                  <c:v>0.100000000000655</c:v>
                </c:pt>
                <c:pt idx="17">
                  <c:v>9.99999999997669E-2</c:v>
                </c:pt>
                <c:pt idx="18">
                  <c:v>0.15000000000497901</c:v>
                </c:pt>
                <c:pt idx="19">
                  <c:v>9.99999999997669E-2</c:v>
                </c:pt>
                <c:pt idx="20">
                  <c:v>9.99999999997669E-2</c:v>
                </c:pt>
                <c:pt idx="21">
                  <c:v>0.100000000000655</c:v>
                </c:pt>
                <c:pt idx="22">
                  <c:v>-0.19999999995867801</c:v>
                </c:pt>
              </c:numCache>
            </c:numRef>
          </c:val>
        </c:ser>
        <c:ser>
          <c:idx val="1"/>
          <c:order val="1"/>
          <c:tx>
            <c:strRef>
              <c:f>'zk80+235'!$Y$4:$AA$4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'zk80+235'!$S$6:$S$41</c:f>
              <c:numCache>
                <c:formatCode>m"月"d"日";@</c:formatCode>
                <c:ptCount val="36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'zk80+235'!$AA$6:$AA$31</c:f>
              <c:numCache>
                <c:formatCode>0.00_ </c:formatCode>
                <c:ptCount val="26"/>
                <c:pt idx="0">
                  <c:v>0</c:v>
                </c:pt>
                <c:pt idx="1">
                  <c:v>0.10000000000154299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-0.29999999999930099</c:v>
                </c:pt>
                <c:pt idx="5">
                  <c:v>-9.99999999997669E-2</c:v>
                </c:pt>
                <c:pt idx="6">
                  <c:v>-0.20000000000130999</c:v>
                </c:pt>
                <c:pt idx="7">
                  <c:v>0</c:v>
                </c:pt>
                <c:pt idx="8">
                  <c:v>-0.39999999999906799</c:v>
                </c:pt>
                <c:pt idx="9">
                  <c:v>-0.20000000000130999</c:v>
                </c:pt>
                <c:pt idx="10">
                  <c:v>0.30000000000107702</c:v>
                </c:pt>
                <c:pt idx="11">
                  <c:v>-0.70000000000014495</c:v>
                </c:pt>
                <c:pt idx="12">
                  <c:v>-0.19999999999953399</c:v>
                </c:pt>
                <c:pt idx="13">
                  <c:v>0</c:v>
                </c:pt>
                <c:pt idx="14">
                  <c:v>-0.40000000000084401</c:v>
                </c:pt>
                <c:pt idx="15">
                  <c:v>-9.99999999997669E-2</c:v>
                </c:pt>
                <c:pt idx="16">
                  <c:v>4.9999999999883499E-2</c:v>
                </c:pt>
                <c:pt idx="17">
                  <c:v>-0.25000000000030598</c:v>
                </c:pt>
                <c:pt idx="18">
                  <c:v>-9.99999999997669E-2</c:v>
                </c:pt>
                <c:pt idx="19">
                  <c:v>-0.14999999999965</c:v>
                </c:pt>
                <c:pt idx="20">
                  <c:v>-0.15000000000053901</c:v>
                </c:pt>
                <c:pt idx="21">
                  <c:v>-0.14999999999965</c:v>
                </c:pt>
                <c:pt idx="22">
                  <c:v>-0.120000000000076</c:v>
                </c:pt>
              </c:numCache>
            </c:numRef>
          </c:val>
        </c:ser>
        <c:ser>
          <c:idx val="2"/>
          <c:order val="2"/>
          <c:tx>
            <c:strRef>
              <c:f>'zk80+235'!$AC$4:$AE$4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'zk80+235'!$S$6:$S$41</c:f>
              <c:numCache>
                <c:formatCode>m"月"d"日";@</c:formatCode>
                <c:ptCount val="36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'zk80+235'!$AE$6:$AE$38</c:f>
              <c:numCache>
                <c:formatCode>0.00_ </c:formatCode>
                <c:ptCount val="33"/>
                <c:pt idx="0">
                  <c:v>0</c:v>
                </c:pt>
                <c:pt idx="1">
                  <c:v>0.50000000000061096</c:v>
                </c:pt>
                <c:pt idx="2">
                  <c:v>-0.70000000000014495</c:v>
                </c:pt>
                <c:pt idx="3">
                  <c:v>-0.20000000000130999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-0.200000000010192</c:v>
                </c:pt>
                <c:pt idx="8">
                  <c:v>-0.19999999999953399</c:v>
                </c:pt>
                <c:pt idx="9">
                  <c:v>0.40000000000972602</c:v>
                </c:pt>
                <c:pt idx="10">
                  <c:v>-0.80000000001057003</c:v>
                </c:pt>
                <c:pt idx="11">
                  <c:v>-0.19999999999953399</c:v>
                </c:pt>
                <c:pt idx="12">
                  <c:v>0.100000000008649</c:v>
                </c:pt>
                <c:pt idx="13">
                  <c:v>-0.50000000000949296</c:v>
                </c:pt>
                <c:pt idx="14">
                  <c:v>-0.200000000010192</c:v>
                </c:pt>
                <c:pt idx="15">
                  <c:v>-9.99999999997669E-2</c:v>
                </c:pt>
                <c:pt idx="16">
                  <c:v>0.150000000010309</c:v>
                </c:pt>
                <c:pt idx="17">
                  <c:v>-0.35000000000984199</c:v>
                </c:pt>
                <c:pt idx="18">
                  <c:v>-0.100000000000655</c:v>
                </c:pt>
                <c:pt idx="19">
                  <c:v>-4.9999999990113501E-2</c:v>
                </c:pt>
                <c:pt idx="20">
                  <c:v>-4.9999999989225302E-2</c:v>
                </c:pt>
                <c:pt idx="21">
                  <c:v>-4.9999999990113501E-2</c:v>
                </c:pt>
              </c:numCache>
            </c:numRef>
          </c:val>
        </c:ser>
        <c:dLbls/>
        <c:marker val="1"/>
        <c:axId val="346144768"/>
        <c:axId val="346147072"/>
      </c:lineChart>
      <c:dateAx>
        <c:axId val="3461447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147072"/>
        <c:crossesAt val="-50"/>
        <c:auto val="1"/>
        <c:lblOffset val="100"/>
        <c:baseTimeUnit val="days"/>
        <c:majorUnit val="3"/>
        <c:majorTimeUnit val="days"/>
      </c:dateAx>
      <c:valAx>
        <c:axId val="34614707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14476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k80+235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'zk80+235'!$C$4:$G$4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'zk80+235'!$A$6:$A$34</c:f>
              <c:numCache>
                <c:formatCode>m"月"d"日";@</c:formatCode>
                <c:ptCount val="29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'zk80+235'!$F$6:$F$27</c:f>
              <c:numCache>
                <c:formatCode>0.00_ </c:formatCode>
                <c:ptCount val="22"/>
                <c:pt idx="0">
                  <c:v>0</c:v>
                </c:pt>
                <c:pt idx="1">
                  <c:v>-0.199999999949796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-0.40000000001327901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-1.30000000001473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-2.6000000000294698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-3.2999999999674401</c:v>
                </c:pt>
                <c:pt idx="18">
                  <c:v>-3.6000000000058199</c:v>
                </c:pt>
                <c:pt idx="19">
                  <c:v>-3.7999999999556202</c:v>
                </c:pt>
                <c:pt idx="20">
                  <c:v>-4.0000000000191003</c:v>
                </c:pt>
                <c:pt idx="21">
                  <c:v>-4.1999999999688997</c:v>
                </c:pt>
              </c:numCache>
            </c:numRef>
          </c:val>
        </c:ser>
        <c:ser>
          <c:idx val="1"/>
          <c:order val="1"/>
          <c:tx>
            <c:strRef>
              <c:f>'zk80+235'!$H$4:$L$4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'zk80+235'!$A$6:$A$34</c:f>
              <c:numCache>
                <c:formatCode>m"月"d"日";@</c:formatCode>
                <c:ptCount val="29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-0.59999999996307496</c:v>
                </c:pt>
                <c:pt idx="6">
                  <c:v>-0.90000000000145497</c:v>
                </c:pt>
                <c:pt idx="7">
                  <c:v>-1.1000000000649399</c:v>
                </c:pt>
                <c:pt idx="8">
                  <c:v>-0.99999999997635303</c:v>
                </c:pt>
                <c:pt idx="9">
                  <c:v>-1.4999999999645299</c:v>
                </c:pt>
                <c:pt idx="10">
                  <c:v>-1.70000000002801</c:v>
                </c:pt>
                <c:pt idx="11">
                  <c:v>-1.2000000000398401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-2.5000000000545701</c:v>
                </c:pt>
                <c:pt idx="15">
                  <c:v>-2.2999999999910901</c:v>
                </c:pt>
                <c:pt idx="16">
                  <c:v>-2.9000000000678501</c:v>
                </c:pt>
                <c:pt idx="17">
                  <c:v>-3.1000000000176402</c:v>
                </c:pt>
                <c:pt idx="18">
                  <c:v>-3.0000000000427498</c:v>
                </c:pt>
                <c:pt idx="19">
                  <c:v>-3.1999999999925399</c:v>
                </c:pt>
                <c:pt idx="20">
                  <c:v>-3.40000000005602</c:v>
                </c:pt>
                <c:pt idx="21">
                  <c:v>-3.6000000000058199</c:v>
                </c:pt>
                <c:pt idx="22">
                  <c:v>-8.0000000002655697E-2</c:v>
                </c:pt>
              </c:numCache>
            </c:numRef>
          </c:val>
        </c:ser>
        <c:ser>
          <c:idx val="2"/>
          <c:order val="2"/>
          <c:tx>
            <c:strRef>
              <c:f>'zk80+235'!$M$4:$Q$4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'zk80+235'!$A$6:$A$34</c:f>
              <c:numCache>
                <c:formatCode>m"月"d"日";@</c:formatCode>
                <c:ptCount val="29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  <c:pt idx="19">
                  <c:v>44824</c:v>
                </c:pt>
                <c:pt idx="20">
                  <c:v>44826</c:v>
                </c:pt>
                <c:pt idx="21">
                  <c:v>44828</c:v>
                </c:pt>
              </c:numCache>
            </c:numRef>
          </c:cat>
          <c:val>
            <c:numRef>
              <c:f>'zk80+235'!$P$6:$P$28</c:f>
              <c:numCache>
                <c:formatCode>0.00_ </c:formatCode>
                <c:ptCount val="23"/>
                <c:pt idx="0">
                  <c:v>0</c:v>
                </c:pt>
                <c:pt idx="1">
                  <c:v>-9.9999999974897905E-2</c:v>
                </c:pt>
                <c:pt idx="2">
                  <c:v>-0.60000000007676102</c:v>
                </c:pt>
                <c:pt idx="3">
                  <c:v>-0.90000000000145497</c:v>
                </c:pt>
                <c:pt idx="4">
                  <c:v>-1.1000000000649399</c:v>
                </c:pt>
                <c:pt idx="5">
                  <c:v>-1.30000000001473</c:v>
                </c:pt>
                <c:pt idx="6">
                  <c:v>-1.5000000000782201</c:v>
                </c:pt>
                <c:pt idx="7">
                  <c:v>-1.39999999998963</c:v>
                </c:pt>
                <c:pt idx="8">
                  <c:v>-1.8999999999778101</c:v>
                </c:pt>
                <c:pt idx="9">
                  <c:v>-2.1000000000412902</c:v>
                </c:pt>
                <c:pt idx="10">
                  <c:v>-2.00000000006639</c:v>
                </c:pt>
                <c:pt idx="11">
                  <c:v>-2.5000000000545701</c:v>
                </c:pt>
                <c:pt idx="12">
                  <c:v>-2.70000000000437</c:v>
                </c:pt>
                <c:pt idx="13">
                  <c:v>-2.6000000000294698</c:v>
                </c:pt>
                <c:pt idx="14">
                  <c:v>-3.1000000000176402</c:v>
                </c:pt>
                <c:pt idx="15">
                  <c:v>-3.2999999999674401</c:v>
                </c:pt>
                <c:pt idx="16">
                  <c:v>-3.0000000000427498</c:v>
                </c:pt>
                <c:pt idx="17">
                  <c:v>-3.69999999998072</c:v>
                </c:pt>
                <c:pt idx="18">
                  <c:v>-3.9000000000442001</c:v>
                </c:pt>
                <c:pt idx="19">
                  <c:v>-4.099999999994</c:v>
                </c:pt>
                <c:pt idx="20">
                  <c:v>-4.3000000000574801</c:v>
                </c:pt>
                <c:pt idx="21">
                  <c:v>-4.5000000000072804</c:v>
                </c:pt>
              </c:numCache>
            </c:numRef>
          </c:val>
        </c:ser>
        <c:dLbls/>
        <c:marker val="1"/>
        <c:axId val="346210688"/>
        <c:axId val="346212992"/>
      </c:lineChart>
      <c:lineChart>
        <c:grouping val="standard"/>
        <c:ser>
          <c:idx val="3"/>
          <c:order val="3"/>
          <c:tx>
            <c:strRef>
              <c:f>'zk80+235'!$AG$3:$AG$5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'zk80+235'!$A$6:$A$24</c:f>
              <c:numCache>
                <c:formatCode>m"月"d"日";@</c:formatCode>
                <c:ptCount val="19"/>
                <c:pt idx="0">
                  <c:v>44800</c:v>
                </c:pt>
                <c:pt idx="1">
                  <c:v>44801</c:v>
                </c:pt>
                <c:pt idx="2">
                  <c:v>44802</c:v>
                </c:pt>
                <c:pt idx="3">
                  <c:v>44803</c:v>
                </c:pt>
                <c:pt idx="4">
                  <c:v>44804</c:v>
                </c:pt>
                <c:pt idx="5">
                  <c:v>44805</c:v>
                </c:pt>
                <c:pt idx="6">
                  <c:v>44806</c:v>
                </c:pt>
                <c:pt idx="7">
                  <c:v>44807</c:v>
                </c:pt>
                <c:pt idx="8">
                  <c:v>44808</c:v>
                </c:pt>
                <c:pt idx="9">
                  <c:v>44809</c:v>
                </c:pt>
                <c:pt idx="10">
                  <c:v>44810</c:v>
                </c:pt>
                <c:pt idx="11">
                  <c:v>44811</c:v>
                </c:pt>
                <c:pt idx="12">
                  <c:v>44812</c:v>
                </c:pt>
                <c:pt idx="13">
                  <c:v>44813</c:v>
                </c:pt>
                <c:pt idx="14">
                  <c:v>44814</c:v>
                </c:pt>
                <c:pt idx="15">
                  <c:v>44816</c:v>
                </c:pt>
                <c:pt idx="16">
                  <c:v>44818</c:v>
                </c:pt>
                <c:pt idx="17">
                  <c:v>44820</c:v>
                </c:pt>
                <c:pt idx="18">
                  <c:v>44822</c:v>
                </c:pt>
              </c:numCache>
            </c:numRef>
          </c:cat>
          <c:val>
            <c:numRef>
              <c:f>'zk80+235'!$AG$6:$AG$31</c:f>
              <c:numCache>
                <c:formatCode>0.0_ </c:formatCode>
                <c:ptCount val="2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20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36</c:v>
                </c:pt>
                <c:pt idx="8">
                  <c:v>40</c:v>
                </c:pt>
                <c:pt idx="9">
                  <c:v>44</c:v>
                </c:pt>
                <c:pt idx="10">
                  <c:v>48</c:v>
                </c:pt>
                <c:pt idx="11">
                  <c:v>52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68</c:v>
                </c:pt>
                <c:pt idx="16">
                  <c:v>72</c:v>
                </c:pt>
                <c:pt idx="17">
                  <c:v>76</c:v>
                </c:pt>
                <c:pt idx="18">
                  <c:v>80</c:v>
                </c:pt>
                <c:pt idx="19">
                  <c:v>84</c:v>
                </c:pt>
                <c:pt idx="20">
                  <c:v>88</c:v>
                </c:pt>
                <c:pt idx="21">
                  <c:v>92</c:v>
                </c:pt>
              </c:numCache>
            </c:numRef>
          </c:val>
        </c:ser>
        <c:dLbls/>
        <c:marker val="1"/>
        <c:axId val="346235648"/>
        <c:axId val="346237184"/>
      </c:lineChart>
      <c:dateAx>
        <c:axId val="3462106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212992"/>
        <c:crossesAt val="-50"/>
        <c:auto val="1"/>
        <c:lblOffset val="100"/>
        <c:baseTimeUnit val="days"/>
        <c:majorUnit val="3"/>
        <c:majorTimeUnit val="days"/>
      </c:dateAx>
      <c:valAx>
        <c:axId val="34621299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210688"/>
        <c:crosses val="autoZero"/>
        <c:crossBetween val="midCat"/>
        <c:majorUnit val="1.2"/>
        <c:minorUnit val="0.5"/>
      </c:valAx>
      <c:dateAx>
        <c:axId val="3462356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6237184"/>
        <c:crosses val="autoZero"/>
        <c:auto val="1"/>
        <c:lblOffset val="100"/>
        <c:baseTimeUnit val="days"/>
      </c:dateAx>
      <c:valAx>
        <c:axId val="34623718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23564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80+275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366138981055001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'zk80+275'!$U$4:$W$4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'zk80+275'!$S$6:$S$30</c:f>
              <c:numCache>
                <c:formatCode>m"月"d"日";@</c:formatCode>
                <c:ptCount val="25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'zk80+275'!$V$6:$V$35</c:f>
              <c:numCache>
                <c:formatCode>0.00_ </c:formatCode>
                <c:ptCount val="30"/>
                <c:pt idx="0">
                  <c:v>0</c:v>
                </c:pt>
                <c:pt idx="1">
                  <c:v>0.39999999999906799</c:v>
                </c:pt>
                <c:pt idx="2">
                  <c:v>9.99999999997669E-2</c:v>
                </c:pt>
                <c:pt idx="3">
                  <c:v>-0.10000000000154299</c:v>
                </c:pt>
                <c:pt idx="4">
                  <c:v>-0.60000000000037801</c:v>
                </c:pt>
                <c:pt idx="5">
                  <c:v>-0.50000000000061096</c:v>
                </c:pt>
                <c:pt idx="6">
                  <c:v>-0.60000000000037801</c:v>
                </c:pt>
                <c:pt idx="7">
                  <c:v>-0.90000000001033698</c:v>
                </c:pt>
                <c:pt idx="8">
                  <c:v>-1.1000000000116501</c:v>
                </c:pt>
                <c:pt idx="9">
                  <c:v>-1.0000000000012199</c:v>
                </c:pt>
                <c:pt idx="10">
                  <c:v>-1.5000000000107101</c:v>
                </c:pt>
                <c:pt idx="11">
                  <c:v>-1.70000000001025</c:v>
                </c:pt>
                <c:pt idx="12">
                  <c:v>-1.90000000001156</c:v>
                </c:pt>
                <c:pt idx="13">
                  <c:v>-2.0000000000006701</c:v>
                </c:pt>
                <c:pt idx="14">
                  <c:v>-2.30000000001063</c:v>
                </c:pt>
                <c:pt idx="15">
                  <c:v>-2.6000000000010499</c:v>
                </c:pt>
                <c:pt idx="16">
                  <c:v>-2.7000000000203501</c:v>
                </c:pt>
                <c:pt idx="17">
                  <c:v>-2.9000000000216599</c:v>
                </c:pt>
                <c:pt idx="18">
                  <c:v>-3.1000000000212</c:v>
                </c:pt>
                <c:pt idx="19">
                  <c:v>-2.8000000000005798</c:v>
                </c:pt>
                <c:pt idx="20">
                  <c:v>-3.0000000000001101</c:v>
                </c:pt>
                <c:pt idx="21">
                  <c:v>-3.2000000000014199</c:v>
                </c:pt>
                <c:pt idx="22">
                  <c:v>-3.30000000000119</c:v>
                </c:pt>
                <c:pt idx="23">
                  <c:v>-3.5000000000202598</c:v>
                </c:pt>
                <c:pt idx="24">
                  <c:v>-1.59999999999982</c:v>
                </c:pt>
              </c:numCache>
            </c:numRef>
          </c:val>
        </c:ser>
        <c:ser>
          <c:idx val="1"/>
          <c:order val="1"/>
          <c:tx>
            <c:strRef>
              <c:f>'zk80+275'!$Y$4:$AA$4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'zk80+275'!$S$6:$S$30</c:f>
              <c:numCache>
                <c:formatCode>m"月"d"日";@</c:formatCode>
                <c:ptCount val="25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'zk80+275'!$Z$6:$Z$36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-1.20000000000076</c:v>
                </c:pt>
                <c:pt idx="9">
                  <c:v>-1.80000000000113</c:v>
                </c:pt>
                <c:pt idx="10">
                  <c:v>-2.10000000000043</c:v>
                </c:pt>
                <c:pt idx="11">
                  <c:v>-2.2000000000002</c:v>
                </c:pt>
                <c:pt idx="12">
                  <c:v>-2.3999999999997401</c:v>
                </c:pt>
                <c:pt idx="13">
                  <c:v>-2.6000000000010499</c:v>
                </c:pt>
                <c:pt idx="14">
                  <c:v>-2.8000000000005798</c:v>
                </c:pt>
                <c:pt idx="15">
                  <c:v>-3.0999999999998802</c:v>
                </c:pt>
                <c:pt idx="16">
                  <c:v>-3.1999999999996498</c:v>
                </c:pt>
                <c:pt idx="17">
                  <c:v>-3.40000000000096</c:v>
                </c:pt>
                <c:pt idx="18">
                  <c:v>-3.5000000000007199</c:v>
                </c:pt>
                <c:pt idx="19">
                  <c:v>-3.70000000000026</c:v>
                </c:pt>
                <c:pt idx="20">
                  <c:v>-3.80000000000003</c:v>
                </c:pt>
                <c:pt idx="21">
                  <c:v>-3.8999999999997899</c:v>
                </c:pt>
                <c:pt idx="22">
                  <c:v>-4.1000000000011001</c:v>
                </c:pt>
                <c:pt idx="23">
                  <c:v>-3.9999999999995599</c:v>
                </c:pt>
                <c:pt idx="24">
                  <c:v>-3.1000000000087602</c:v>
                </c:pt>
              </c:numCache>
            </c:numRef>
          </c:val>
        </c:ser>
        <c:ser>
          <c:idx val="2"/>
          <c:order val="2"/>
          <c:tx>
            <c:strRef>
              <c:f>'zk80+275'!$AC$4:$AE$4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'zk80+275'!$S$6:$S$30</c:f>
              <c:numCache>
                <c:formatCode>m"月"d"日";@</c:formatCode>
                <c:ptCount val="25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'zk80+275'!$AD$6:$AD$40</c:f>
              <c:numCache>
                <c:formatCode>0.00_ </c:formatCode>
                <c:ptCount val="35"/>
                <c:pt idx="0">
                  <c:v>0</c:v>
                </c:pt>
                <c:pt idx="1">
                  <c:v>-0.29999999999930099</c:v>
                </c:pt>
                <c:pt idx="2">
                  <c:v>-0.39999999999906799</c:v>
                </c:pt>
                <c:pt idx="3">
                  <c:v>-0.49999999999883499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-0.799999999999912</c:v>
                </c:pt>
                <c:pt idx="7">
                  <c:v>-1.2999999999987499</c:v>
                </c:pt>
                <c:pt idx="8">
                  <c:v>-0.999999999999446</c:v>
                </c:pt>
                <c:pt idx="9">
                  <c:v>-1.0999999999992101</c:v>
                </c:pt>
                <c:pt idx="10">
                  <c:v>-1.6999999999995901</c:v>
                </c:pt>
                <c:pt idx="11">
                  <c:v>-1.2999999999987499</c:v>
                </c:pt>
                <c:pt idx="12">
                  <c:v>-1.50000000000006</c:v>
                </c:pt>
                <c:pt idx="13">
                  <c:v>-1.6999999999995901</c:v>
                </c:pt>
                <c:pt idx="14">
                  <c:v>-2.2999999999999701</c:v>
                </c:pt>
                <c:pt idx="15">
                  <c:v>-2.10000000000043</c:v>
                </c:pt>
                <c:pt idx="16">
                  <c:v>-2.3000000000088501</c:v>
                </c:pt>
                <c:pt idx="17">
                  <c:v>-2.5000000000101599</c:v>
                </c:pt>
                <c:pt idx="18">
                  <c:v>-2.59999999999927</c:v>
                </c:pt>
                <c:pt idx="19">
                  <c:v>-2.7999999999987999</c:v>
                </c:pt>
                <c:pt idx="20">
                  <c:v>-2.9000000000092299</c:v>
                </c:pt>
                <c:pt idx="21">
                  <c:v>-3.0999999999998802</c:v>
                </c:pt>
                <c:pt idx="22">
                  <c:v>-3.1999999999996498</c:v>
                </c:pt>
                <c:pt idx="23">
                  <c:v>-3.1000000000087602</c:v>
                </c:pt>
              </c:numCache>
            </c:numRef>
          </c:val>
        </c:ser>
        <c:dLbls/>
        <c:marker val="1"/>
        <c:axId val="346421888"/>
        <c:axId val="346317952"/>
      </c:lineChart>
      <c:lineChart>
        <c:grouping val="standard"/>
        <c:ser>
          <c:idx val="3"/>
          <c:order val="3"/>
          <c:tx>
            <c:strRef>
              <c:f>'zk80+275'!$AG$3:$AG$5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'zk80+275'!$S$6:$S$30</c:f>
              <c:numCache>
                <c:formatCode>m"月"d"日";@</c:formatCode>
                <c:ptCount val="25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'zk80+275'!$AG$6:$AG$34</c:f>
              <c:numCache>
                <c:formatCode>0.0_ </c:formatCode>
                <c:ptCount val="29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35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47</c:v>
                </c:pt>
                <c:pt idx="14">
                  <c:v>50</c:v>
                </c:pt>
                <c:pt idx="15">
                  <c:v>53</c:v>
                </c:pt>
                <c:pt idx="16">
                  <c:v>56</c:v>
                </c:pt>
                <c:pt idx="17">
                  <c:v>59</c:v>
                </c:pt>
                <c:pt idx="18">
                  <c:v>62</c:v>
                </c:pt>
                <c:pt idx="19">
                  <c:v>65</c:v>
                </c:pt>
                <c:pt idx="20">
                  <c:v>65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</c:numCache>
            </c:numRef>
          </c:val>
        </c:ser>
        <c:dLbls/>
        <c:marker val="1"/>
        <c:axId val="346319872"/>
        <c:axId val="346329856"/>
      </c:lineChart>
      <c:dateAx>
        <c:axId val="3464218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317952"/>
        <c:crossesAt val="-50"/>
        <c:auto val="1"/>
        <c:lblOffset val="100"/>
        <c:baseTimeUnit val="days"/>
        <c:majorUnit val="4"/>
        <c:majorTimeUnit val="days"/>
      </c:dateAx>
      <c:valAx>
        <c:axId val="34631795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421888"/>
        <c:crosses val="autoZero"/>
        <c:crossBetween val="midCat"/>
        <c:majorUnit val="1.4"/>
        <c:minorUnit val="0.1"/>
      </c:valAx>
      <c:dateAx>
        <c:axId val="3463198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6329856"/>
        <c:crosses val="autoZero"/>
        <c:auto val="1"/>
        <c:lblOffset val="100"/>
        <c:baseTimeUnit val="days"/>
      </c:dateAx>
      <c:valAx>
        <c:axId val="34632985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31987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80+275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'zk80+275'!$C$4:$G$4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'zk80+275'!$A$6:$A$41</c:f>
              <c:numCache>
                <c:formatCode>m"月"d"日";@</c:formatCode>
                <c:ptCount val="36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'zk80+275'!$G$6:$G$37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-0.199999999949796</c:v>
                </c:pt>
                <c:pt idx="2">
                  <c:v>-0.10000000008858501</c:v>
                </c:pt>
                <c:pt idx="3">
                  <c:v>-0.199999999949796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-0.20000000006348301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-0.199999999949796</c:v>
                </c:pt>
                <c:pt idx="11">
                  <c:v>-9.9999999974897905E-2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-0.100000000031741</c:v>
                </c:pt>
                <c:pt idx="17">
                  <c:v>5.0000000044292399E-2</c:v>
                </c:pt>
                <c:pt idx="18">
                  <c:v>-0.24999999999408801</c:v>
                </c:pt>
                <c:pt idx="19">
                  <c:v>-0.15000000001919001</c:v>
                </c:pt>
                <c:pt idx="20">
                  <c:v>4.9999999987449001E-2</c:v>
                </c:pt>
                <c:pt idx="21">
                  <c:v>-9.9999999974897905E-2</c:v>
                </c:pt>
                <c:pt idx="22">
                  <c:v>9.9999999974897905E-2</c:v>
                </c:pt>
                <c:pt idx="23">
                  <c:v>-9.9999999974897905E-2</c:v>
                </c:pt>
                <c:pt idx="24">
                  <c:v>-1.30000000001473</c:v>
                </c:pt>
              </c:numCache>
            </c:numRef>
          </c:val>
        </c:ser>
        <c:ser>
          <c:idx val="1"/>
          <c:order val="1"/>
          <c:tx>
            <c:strRef>
              <c:f>'zk80+275'!$H$4:$L$4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'zk80+275'!$A$6:$A$41</c:f>
              <c:numCache>
                <c:formatCode>m"月"d"日";@</c:formatCode>
                <c:ptCount val="36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'zk80+275'!$L$6:$L$38</c:f>
              <c:numCache>
                <c:formatCode>0.00_ </c:formatCode>
                <c:ptCount val="33"/>
                <c:pt idx="0">
                  <c:v>0</c:v>
                </c:pt>
                <c:pt idx="1">
                  <c:v>-0.40000000001327901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0.20000000006348301</c:v>
                </c:pt>
                <c:pt idx="5">
                  <c:v>-0.60000000007676102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-0.10000000008858501</c:v>
                </c:pt>
                <c:pt idx="11">
                  <c:v>-0.29999999992469401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0</c:v>
                </c:pt>
                <c:pt idx="16">
                  <c:v>-0.20000000000663901</c:v>
                </c:pt>
                <c:pt idx="17">
                  <c:v>-9.9999999974897905E-2</c:v>
                </c:pt>
                <c:pt idx="18">
                  <c:v>4.9999999987449001E-2</c:v>
                </c:pt>
                <c:pt idx="19">
                  <c:v>-9.9999999974897905E-2</c:v>
                </c:pt>
                <c:pt idx="20">
                  <c:v>-0.15000000001919001</c:v>
                </c:pt>
                <c:pt idx="21">
                  <c:v>0.100000000031741</c:v>
                </c:pt>
                <c:pt idx="22">
                  <c:v>-0.15000000001919001</c:v>
                </c:pt>
                <c:pt idx="23">
                  <c:v>-4.9999999987449001E-2</c:v>
                </c:pt>
              </c:numCache>
            </c:numRef>
          </c:val>
        </c:ser>
        <c:ser>
          <c:idx val="2"/>
          <c:order val="2"/>
          <c:tx>
            <c:strRef>
              <c:f>'zk80+275'!$M$4:$Q$4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'zk80+275'!$A$6:$A$41</c:f>
              <c:numCache>
                <c:formatCode>m"月"d"日";@</c:formatCode>
                <c:ptCount val="36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'zk80+275'!$Q$6:$Q$34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-0.49999999998817701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0.30000000003838101</c:v>
                </c:pt>
                <c:pt idx="10">
                  <c:v>-0.69999999993797202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-0.40000000001327901</c:v>
                </c:pt>
                <c:pt idx="14">
                  <c:v>0</c:v>
                </c:pt>
                <c:pt idx="15">
                  <c:v>-0.100000000031741</c:v>
                </c:pt>
                <c:pt idx="16">
                  <c:v>5.0000000044292399E-2</c:v>
                </c:pt>
                <c:pt idx="17">
                  <c:v>-0.25000000005093198</c:v>
                </c:pt>
                <c:pt idx="18">
                  <c:v>-9.9999999974897905E-2</c:v>
                </c:pt>
                <c:pt idx="19">
                  <c:v>-4.9999999987449001E-2</c:v>
                </c:pt>
                <c:pt idx="20">
                  <c:v>-4.9999999987449001E-2</c:v>
                </c:pt>
                <c:pt idx="21">
                  <c:v>-0.100000000031741</c:v>
                </c:pt>
                <c:pt idx="22">
                  <c:v>4.9999999987449001E-2</c:v>
                </c:pt>
                <c:pt idx="23">
                  <c:v>0.100000000031741</c:v>
                </c:pt>
              </c:numCache>
            </c:numRef>
          </c:val>
        </c:ser>
        <c:dLbls/>
        <c:marker val="1"/>
        <c:axId val="346352256"/>
        <c:axId val="346506368"/>
      </c:lineChart>
      <c:dateAx>
        <c:axId val="3463522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506368"/>
        <c:crossesAt val="-50"/>
        <c:auto val="1"/>
        <c:lblOffset val="100"/>
        <c:baseTimeUnit val="days"/>
        <c:majorUnit val="4"/>
        <c:majorTimeUnit val="days"/>
      </c:dateAx>
      <c:valAx>
        <c:axId val="34650636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35225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80+275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'zk80+275'!$U$4:$W$4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'zk80+275'!$S$6:$S$44</c:f>
              <c:numCache>
                <c:formatCode>m"月"d"日";@</c:formatCode>
                <c:ptCount val="39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'zk80+275'!$W$6:$W$35</c:f>
              <c:numCache>
                <c:formatCode>0.00_ </c:formatCode>
                <c:ptCount val="30"/>
                <c:pt idx="0">
                  <c:v>0</c:v>
                </c:pt>
                <c:pt idx="1">
                  <c:v>-0.39999999999906799</c:v>
                </c:pt>
                <c:pt idx="2">
                  <c:v>0.29999999999930099</c:v>
                </c:pt>
                <c:pt idx="3">
                  <c:v>0.20000000000130999</c:v>
                </c:pt>
                <c:pt idx="4">
                  <c:v>0.49999999999883499</c:v>
                </c:pt>
                <c:pt idx="5">
                  <c:v>-9.99999999997669E-2</c:v>
                </c:pt>
                <c:pt idx="6">
                  <c:v>9.99999999997669E-2</c:v>
                </c:pt>
                <c:pt idx="7">
                  <c:v>0.30000000000995902</c:v>
                </c:pt>
                <c:pt idx="8">
                  <c:v>0.20000000000130999</c:v>
                </c:pt>
                <c:pt idx="9">
                  <c:v>-0.100000000010425</c:v>
                </c:pt>
                <c:pt idx="10">
                  <c:v>0.50000000000949296</c:v>
                </c:pt>
                <c:pt idx="11">
                  <c:v>0.19999999999953399</c:v>
                </c:pt>
                <c:pt idx="12">
                  <c:v>0.20000000000130999</c:v>
                </c:pt>
                <c:pt idx="13">
                  <c:v>9.9999999989108801E-2</c:v>
                </c:pt>
                <c:pt idx="14">
                  <c:v>0.30000000000995902</c:v>
                </c:pt>
                <c:pt idx="15">
                  <c:v>0.14999999999520999</c:v>
                </c:pt>
                <c:pt idx="16">
                  <c:v>5.0000000009653399E-2</c:v>
                </c:pt>
                <c:pt idx="17">
                  <c:v>0.100000000000655</c:v>
                </c:pt>
                <c:pt idx="18">
                  <c:v>9.99999999997669E-2</c:v>
                </c:pt>
                <c:pt idx="19">
                  <c:v>-0.150000000010309</c:v>
                </c:pt>
                <c:pt idx="20">
                  <c:v>9.99999999997669E-2</c:v>
                </c:pt>
                <c:pt idx="21">
                  <c:v>0.100000000000655</c:v>
                </c:pt>
                <c:pt idx="22">
                  <c:v>4.9999999999883499E-2</c:v>
                </c:pt>
                <c:pt idx="23">
                  <c:v>0.100000000009537</c:v>
                </c:pt>
                <c:pt idx="24">
                  <c:v>-1.60000000000871</c:v>
                </c:pt>
              </c:numCache>
            </c:numRef>
          </c:val>
        </c:ser>
        <c:ser>
          <c:idx val="1"/>
          <c:order val="1"/>
          <c:tx>
            <c:strRef>
              <c:f>'zk80+275'!$Y$4:$AA$4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'zk80+275'!$S$6:$S$44</c:f>
              <c:numCache>
                <c:formatCode>m"月"d"日";@</c:formatCode>
                <c:ptCount val="39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'zk80+275'!$AA$6:$AA$34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-0.50000000000061096</c:v>
                </c:pt>
                <c:pt idx="4">
                  <c:v>-0.19999999999953399</c:v>
                </c:pt>
                <c:pt idx="5">
                  <c:v>-9.99999999997669E-2</c:v>
                </c:pt>
                <c:pt idx="6">
                  <c:v>-0.30000000000107702</c:v>
                </c:pt>
                <c:pt idx="7">
                  <c:v>-0.19999999999953399</c:v>
                </c:pt>
                <c:pt idx="8">
                  <c:v>0.19999999999953399</c:v>
                </c:pt>
                <c:pt idx="9">
                  <c:v>-0.60000000000037801</c:v>
                </c:pt>
                <c:pt idx="10">
                  <c:v>-0.29999999999930099</c:v>
                </c:pt>
                <c:pt idx="11">
                  <c:v>-9.99999999997669E-2</c:v>
                </c:pt>
                <c:pt idx="12">
                  <c:v>-0.19999999999953399</c:v>
                </c:pt>
                <c:pt idx="13">
                  <c:v>-0.20000000000130999</c:v>
                </c:pt>
                <c:pt idx="14">
                  <c:v>-0.19999999999953399</c:v>
                </c:pt>
                <c:pt idx="15">
                  <c:v>-0.14999999999965</c:v>
                </c:pt>
                <c:pt idx="16">
                  <c:v>-4.9999999999883499E-2</c:v>
                </c:pt>
                <c:pt idx="17">
                  <c:v>-0.100000000000655</c:v>
                </c:pt>
                <c:pt idx="18">
                  <c:v>-4.9999999999883499E-2</c:v>
                </c:pt>
                <c:pt idx="19">
                  <c:v>-9.99999999997669E-2</c:v>
                </c:pt>
                <c:pt idx="20">
                  <c:v>-4.9999999999883499E-2</c:v>
                </c:pt>
                <c:pt idx="21">
                  <c:v>-4.9999999999883499E-2</c:v>
                </c:pt>
                <c:pt idx="22">
                  <c:v>-0.100000000000655</c:v>
                </c:pt>
                <c:pt idx="23">
                  <c:v>5.0000000000771601E-2</c:v>
                </c:pt>
                <c:pt idx="24">
                  <c:v>-7.9999999999991203E-2</c:v>
                </c:pt>
              </c:numCache>
            </c:numRef>
          </c:val>
        </c:ser>
        <c:ser>
          <c:idx val="2"/>
          <c:order val="2"/>
          <c:tx>
            <c:strRef>
              <c:f>'zk80+275'!$AC$4:$AE$4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'zk80+275'!$S$6:$S$44</c:f>
              <c:numCache>
                <c:formatCode>m"月"d"日";@</c:formatCode>
                <c:ptCount val="39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'zk80+275'!$AE$6:$AE$41</c:f>
              <c:numCache>
                <c:formatCode>0.00_ </c:formatCode>
                <c:ptCount val="36"/>
                <c:pt idx="0">
                  <c:v>0</c:v>
                </c:pt>
                <c:pt idx="1">
                  <c:v>-0.29999999999930099</c:v>
                </c:pt>
                <c:pt idx="2">
                  <c:v>-9.99999999997669E-2</c:v>
                </c:pt>
                <c:pt idx="3">
                  <c:v>-9.99999999997669E-2</c:v>
                </c:pt>
                <c:pt idx="4">
                  <c:v>-0.30000000000107702</c:v>
                </c:pt>
                <c:pt idx="5">
                  <c:v>9.99999999997669E-2</c:v>
                </c:pt>
                <c:pt idx="6">
                  <c:v>-9.99999999997669E-2</c:v>
                </c:pt>
                <c:pt idx="7">
                  <c:v>-0.49999999999883499</c:v>
                </c:pt>
                <c:pt idx="8">
                  <c:v>0.29999999999930099</c:v>
                </c:pt>
                <c:pt idx="9">
                  <c:v>-9.99999999997669E-2</c:v>
                </c:pt>
                <c:pt idx="10">
                  <c:v>-0.60000000000037801</c:v>
                </c:pt>
                <c:pt idx="11">
                  <c:v>0.40000000000084401</c:v>
                </c:pt>
                <c:pt idx="12">
                  <c:v>-0.20000000000130999</c:v>
                </c:pt>
                <c:pt idx="13">
                  <c:v>-0.19999999999953399</c:v>
                </c:pt>
                <c:pt idx="14">
                  <c:v>-0.60000000000037801</c:v>
                </c:pt>
                <c:pt idx="15">
                  <c:v>9.99999999997669E-2</c:v>
                </c:pt>
                <c:pt idx="16">
                  <c:v>-0.100000000004208</c:v>
                </c:pt>
                <c:pt idx="17">
                  <c:v>-0.100000000000655</c:v>
                </c:pt>
                <c:pt idx="18">
                  <c:v>-4.99999999945544E-2</c:v>
                </c:pt>
                <c:pt idx="19">
                  <c:v>-9.99999999997669E-2</c:v>
                </c:pt>
                <c:pt idx="20">
                  <c:v>-5.00000000052125E-2</c:v>
                </c:pt>
                <c:pt idx="21">
                  <c:v>-9.9999999995325994E-2</c:v>
                </c:pt>
                <c:pt idx="22">
                  <c:v>-4.9999999999883499E-2</c:v>
                </c:pt>
                <c:pt idx="23">
                  <c:v>4.99999999954426E-2</c:v>
                </c:pt>
              </c:numCache>
            </c:numRef>
          </c:val>
        </c:ser>
        <c:dLbls/>
        <c:marker val="1"/>
        <c:axId val="346537344"/>
        <c:axId val="346568576"/>
      </c:lineChart>
      <c:dateAx>
        <c:axId val="3465373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568576"/>
        <c:crossesAt val="-50"/>
        <c:auto val="1"/>
        <c:lblOffset val="100"/>
        <c:baseTimeUnit val="days"/>
        <c:majorUnit val="4"/>
        <c:majorTimeUnit val="days"/>
      </c:dateAx>
      <c:valAx>
        <c:axId val="34656857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53734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k80+275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'zk80+275'!$C$4:$G$4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'zk80+275'!$A$6:$A$37</c:f>
              <c:numCache>
                <c:formatCode>m"月"d"日";@</c:formatCode>
                <c:ptCount val="32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'zk80+275'!$F$6:$F$24</c:f>
              <c:numCache>
                <c:formatCode>0.00_ </c:formatCode>
                <c:ptCount val="19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-0.69999999993797202</c:v>
                </c:pt>
                <c:pt idx="5">
                  <c:v>-0.59999999996307496</c:v>
                </c:pt>
                <c:pt idx="6">
                  <c:v>-1.09999999995125</c:v>
                </c:pt>
                <c:pt idx="7">
                  <c:v>-1.30000000001473</c:v>
                </c:pt>
                <c:pt idx="8">
                  <c:v>-1.2000000000398401</c:v>
                </c:pt>
                <c:pt idx="9">
                  <c:v>-1.70000000002801</c:v>
                </c:pt>
                <c:pt idx="10">
                  <c:v>-1.8999999999778101</c:v>
                </c:pt>
                <c:pt idx="11">
                  <c:v>-1.9999999999527101</c:v>
                </c:pt>
                <c:pt idx="12">
                  <c:v>-2.2000000000161899</c:v>
                </c:pt>
                <c:pt idx="13">
                  <c:v>-2.39999999996598</c:v>
                </c:pt>
                <c:pt idx="14">
                  <c:v>-2.2999999999910901</c:v>
                </c:pt>
                <c:pt idx="15">
                  <c:v>-2.79999999997926</c:v>
                </c:pt>
                <c:pt idx="16">
                  <c:v>-3.0000000000427498</c:v>
                </c:pt>
                <c:pt idx="17">
                  <c:v>-2.8999999999541601</c:v>
                </c:pt>
                <c:pt idx="18">
                  <c:v>-3.3999999999423398</c:v>
                </c:pt>
              </c:numCache>
            </c:numRef>
          </c:val>
        </c:ser>
        <c:ser>
          <c:idx val="1"/>
          <c:order val="1"/>
          <c:tx>
            <c:strRef>
              <c:f>'zk80+275'!$H$4:$L$4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'zk80+275'!$A$6:$A$37</c:f>
              <c:numCache>
                <c:formatCode>m"月"d"日";@</c:formatCode>
                <c:ptCount val="32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'zk80+275'!$K$6:$K$33</c:f>
              <c:numCache>
                <c:formatCode>0.00_ </c:formatCode>
                <c:ptCount val="28"/>
                <c:pt idx="0">
                  <c:v>0</c:v>
                </c:pt>
                <c:pt idx="1">
                  <c:v>-0.40000000001327901</c:v>
                </c:pt>
                <c:pt idx="2">
                  <c:v>-0.59999999996307496</c:v>
                </c:pt>
                <c:pt idx="3">
                  <c:v>-0.80000000002655702</c:v>
                </c:pt>
                <c:pt idx="4">
                  <c:v>-0.59999999996307496</c:v>
                </c:pt>
                <c:pt idx="5">
                  <c:v>-1.2000000000398401</c:v>
                </c:pt>
                <c:pt idx="6">
                  <c:v>-1.39999999998963</c:v>
                </c:pt>
                <c:pt idx="7">
                  <c:v>-1.4999999999645299</c:v>
                </c:pt>
                <c:pt idx="8">
                  <c:v>-1.8000000000029099</c:v>
                </c:pt>
                <c:pt idx="9">
                  <c:v>-1.9999999999527101</c:v>
                </c:pt>
                <c:pt idx="10">
                  <c:v>-2.1000000000412902</c:v>
                </c:pt>
                <c:pt idx="11">
                  <c:v>-2.39999999996598</c:v>
                </c:pt>
                <c:pt idx="12">
                  <c:v>-2.6000000000294698</c:v>
                </c:pt>
                <c:pt idx="13">
                  <c:v>-2.79999999997926</c:v>
                </c:pt>
                <c:pt idx="14">
                  <c:v>-3.0000000000427498</c:v>
                </c:pt>
                <c:pt idx="15">
                  <c:v>-3.0000000000427498</c:v>
                </c:pt>
                <c:pt idx="16">
                  <c:v>-3.40000000005602</c:v>
                </c:pt>
                <c:pt idx="17">
                  <c:v>-3.6000000000058199</c:v>
                </c:pt>
                <c:pt idx="18">
                  <c:v>-3.5000000000309202</c:v>
                </c:pt>
                <c:pt idx="19">
                  <c:v>-3.69999999998072</c:v>
                </c:pt>
                <c:pt idx="20">
                  <c:v>-4.0000000000191003</c:v>
                </c:pt>
                <c:pt idx="21">
                  <c:v>-3.7999999999556202</c:v>
                </c:pt>
                <c:pt idx="22">
                  <c:v>-4.099999999994</c:v>
                </c:pt>
                <c:pt idx="23">
                  <c:v>-4.1999999999688997</c:v>
                </c:pt>
                <c:pt idx="24">
                  <c:v>-7.9999999996971397E-2</c:v>
                </c:pt>
              </c:numCache>
            </c:numRef>
          </c:val>
        </c:ser>
        <c:ser>
          <c:idx val="2"/>
          <c:order val="2"/>
          <c:tx>
            <c:strRef>
              <c:f>'zk80+275'!$M$4:$Q$4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'zk80+275'!$A$6:$A$37</c:f>
              <c:numCache>
                <c:formatCode>m"月"d"日";@</c:formatCode>
                <c:ptCount val="32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  <c:pt idx="19">
                  <c:v>44836</c:v>
                </c:pt>
                <c:pt idx="20">
                  <c:v>44838</c:v>
                </c:pt>
                <c:pt idx="21">
                  <c:v>44840</c:v>
                </c:pt>
                <c:pt idx="22">
                  <c:v>44842</c:v>
                </c:pt>
                <c:pt idx="23">
                  <c:v>44844</c:v>
                </c:pt>
              </c:numCache>
            </c:numRef>
          </c:cat>
          <c:val>
            <c:numRef>
              <c:f>'zk80+275'!$P$6:$P$31</c:f>
              <c:numCache>
                <c:formatCode>0.00_ </c:formatCode>
                <c:ptCount val="26"/>
                <c:pt idx="0">
                  <c:v>0</c:v>
                </c:pt>
                <c:pt idx="1">
                  <c:v>0.199999999949796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-0.70000000005165897</c:v>
                </c:pt>
                <c:pt idx="5">
                  <c:v>-0.80000000002655702</c:v>
                </c:pt>
                <c:pt idx="6">
                  <c:v>-1.1000000000649399</c:v>
                </c:pt>
                <c:pt idx="7">
                  <c:v>-1.30000000001473</c:v>
                </c:pt>
                <c:pt idx="8">
                  <c:v>-1.5000000000782201</c:v>
                </c:pt>
                <c:pt idx="9">
                  <c:v>-1.2000000000398401</c:v>
                </c:pt>
                <c:pt idx="10">
                  <c:v>-1.8999999999778101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-2.70000000000437</c:v>
                </c:pt>
                <c:pt idx="14">
                  <c:v>-2.70000000000437</c:v>
                </c:pt>
                <c:pt idx="15">
                  <c:v>-2.9000000000678501</c:v>
                </c:pt>
                <c:pt idx="16">
                  <c:v>-2.79999999997926</c:v>
                </c:pt>
                <c:pt idx="17">
                  <c:v>-3.30000000008113</c:v>
                </c:pt>
                <c:pt idx="18">
                  <c:v>-3.5000000000309202</c:v>
                </c:pt>
                <c:pt idx="19">
                  <c:v>-3.6000000000058199</c:v>
                </c:pt>
                <c:pt idx="20">
                  <c:v>-3.69999999998072</c:v>
                </c:pt>
                <c:pt idx="21">
                  <c:v>-3.9000000000442001</c:v>
                </c:pt>
                <c:pt idx="22">
                  <c:v>-3.8000000000692999</c:v>
                </c:pt>
                <c:pt idx="23">
                  <c:v>-3.6000000000058199</c:v>
                </c:pt>
              </c:numCache>
            </c:numRef>
          </c:val>
        </c:ser>
        <c:dLbls/>
        <c:marker val="1"/>
        <c:axId val="346655744"/>
        <c:axId val="346666496"/>
      </c:lineChart>
      <c:lineChart>
        <c:grouping val="standard"/>
        <c:ser>
          <c:idx val="3"/>
          <c:order val="3"/>
          <c:tx>
            <c:strRef>
              <c:f>'zk80+275'!$AG$3:$AG$5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'zk80+275'!$A$6:$A$24</c:f>
              <c:numCache>
                <c:formatCode>m"月"d"日";@</c:formatCode>
                <c:ptCount val="19"/>
                <c:pt idx="0">
                  <c:v>44812</c:v>
                </c:pt>
                <c:pt idx="1">
                  <c:v>44813</c:v>
                </c:pt>
                <c:pt idx="2">
                  <c:v>44814</c:v>
                </c:pt>
                <c:pt idx="3">
                  <c:v>44815</c:v>
                </c:pt>
                <c:pt idx="4">
                  <c:v>44816</c:v>
                </c:pt>
                <c:pt idx="5">
                  <c:v>44817</c:v>
                </c:pt>
                <c:pt idx="6">
                  <c:v>44818</c:v>
                </c:pt>
                <c:pt idx="7">
                  <c:v>44819</c:v>
                </c:pt>
                <c:pt idx="8">
                  <c:v>44820</c:v>
                </c:pt>
                <c:pt idx="9">
                  <c:v>44821</c:v>
                </c:pt>
                <c:pt idx="10">
                  <c:v>44822</c:v>
                </c:pt>
                <c:pt idx="11">
                  <c:v>44823</c:v>
                </c:pt>
                <c:pt idx="12">
                  <c:v>44824</c:v>
                </c:pt>
                <c:pt idx="13">
                  <c:v>44825</c:v>
                </c:pt>
                <c:pt idx="14">
                  <c:v>44826</c:v>
                </c:pt>
                <c:pt idx="15">
                  <c:v>44828</c:v>
                </c:pt>
                <c:pt idx="16">
                  <c:v>44830</c:v>
                </c:pt>
                <c:pt idx="17">
                  <c:v>44832</c:v>
                </c:pt>
                <c:pt idx="18">
                  <c:v>44834</c:v>
                </c:pt>
              </c:numCache>
            </c:numRef>
          </c:cat>
          <c:val>
            <c:numRef>
              <c:f>'zk80+275'!$AG$6:$AG$34</c:f>
              <c:numCache>
                <c:formatCode>0.0_ </c:formatCode>
                <c:ptCount val="29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35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47</c:v>
                </c:pt>
                <c:pt idx="14">
                  <c:v>50</c:v>
                </c:pt>
                <c:pt idx="15">
                  <c:v>53</c:v>
                </c:pt>
                <c:pt idx="16">
                  <c:v>56</c:v>
                </c:pt>
                <c:pt idx="17">
                  <c:v>59</c:v>
                </c:pt>
                <c:pt idx="18">
                  <c:v>62</c:v>
                </c:pt>
                <c:pt idx="19">
                  <c:v>65</c:v>
                </c:pt>
                <c:pt idx="20">
                  <c:v>65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</c:numCache>
            </c:numRef>
          </c:val>
        </c:ser>
        <c:dLbls/>
        <c:marker val="1"/>
        <c:axId val="346668416"/>
        <c:axId val="346436736"/>
      </c:lineChart>
      <c:dateAx>
        <c:axId val="3466557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666496"/>
        <c:crossesAt val="-50"/>
        <c:auto val="1"/>
        <c:lblOffset val="100"/>
        <c:baseTimeUnit val="days"/>
        <c:majorUnit val="4"/>
        <c:majorTimeUnit val="days"/>
      </c:dateAx>
      <c:valAx>
        <c:axId val="346666496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655744"/>
        <c:crosses val="autoZero"/>
        <c:crossBetween val="midCat"/>
        <c:majorUnit val="1.2"/>
        <c:minorUnit val="0.5"/>
      </c:valAx>
      <c:dateAx>
        <c:axId val="3466684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6436736"/>
        <c:crosses val="autoZero"/>
        <c:auto val="1"/>
        <c:lblOffset val="100"/>
        <c:baseTimeUnit val="days"/>
      </c:dateAx>
      <c:valAx>
        <c:axId val="34643673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66841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80+313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'zk80+313'!$U$4:$W$4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'zk80+313'!$S$6:$S$29</c:f>
              <c:numCache>
                <c:formatCode>m"月"d"日";@</c:formatCode>
                <c:ptCount val="24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'zk80+313'!$V$6:$V$34</c:f>
              <c:numCache>
                <c:formatCode>0.00_ </c:formatCode>
                <c:ptCount val="29"/>
                <c:pt idx="0">
                  <c:v>0</c:v>
                </c:pt>
                <c:pt idx="1">
                  <c:v>0.39999999999906799</c:v>
                </c:pt>
                <c:pt idx="2">
                  <c:v>9.99999999997669E-2</c:v>
                </c:pt>
                <c:pt idx="3">
                  <c:v>-9.99999999997669E-2</c:v>
                </c:pt>
                <c:pt idx="4">
                  <c:v>9.99999999997669E-2</c:v>
                </c:pt>
                <c:pt idx="5">
                  <c:v>-9.99999999997669E-2</c:v>
                </c:pt>
                <c:pt idx="6">
                  <c:v>-0.30000000000107702</c:v>
                </c:pt>
                <c:pt idx="7">
                  <c:v>-0.50000000000061096</c:v>
                </c:pt>
                <c:pt idx="8">
                  <c:v>-0.60000000000037801</c:v>
                </c:pt>
                <c:pt idx="9">
                  <c:v>-0.89999999999967895</c:v>
                </c:pt>
                <c:pt idx="10">
                  <c:v>-1.10000000000099</c:v>
                </c:pt>
                <c:pt idx="11">
                  <c:v>-1.3000000000005201</c:v>
                </c:pt>
                <c:pt idx="12">
                  <c:v>-1.3000000000005201</c:v>
                </c:pt>
                <c:pt idx="13">
                  <c:v>-1.6999999999995901</c:v>
                </c:pt>
                <c:pt idx="14">
                  <c:v>-1.9000000000009001</c:v>
                </c:pt>
                <c:pt idx="15">
                  <c:v>-1.9000000000009001</c:v>
                </c:pt>
                <c:pt idx="16">
                  <c:v>-2.2999999999999701</c:v>
                </c:pt>
                <c:pt idx="17">
                  <c:v>-2.10000000000043</c:v>
                </c:pt>
                <c:pt idx="18">
                  <c:v>-2.7000000000008102</c:v>
                </c:pt>
                <c:pt idx="19">
                  <c:v>-2.9000000000003499</c:v>
                </c:pt>
                <c:pt idx="20">
                  <c:v>-2.8000000000005798</c:v>
                </c:pt>
                <c:pt idx="21">
                  <c:v>-3.0000000000001101</c:v>
                </c:pt>
                <c:pt idx="22">
                  <c:v>-3.0999999999998802</c:v>
                </c:pt>
                <c:pt idx="23">
                  <c:v>-2.9000000000003499</c:v>
                </c:pt>
              </c:numCache>
            </c:numRef>
          </c:val>
        </c:ser>
        <c:ser>
          <c:idx val="1"/>
          <c:order val="1"/>
          <c:tx>
            <c:strRef>
              <c:f>'zk80+313'!$Y$4:$AA$4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'zk80+313'!$S$6:$S$29</c:f>
              <c:numCache>
                <c:formatCode>m"月"d"日";@</c:formatCode>
                <c:ptCount val="24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'zk80+313'!$Z$6:$Z$35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-1.0000000000012199</c:v>
                </c:pt>
                <c:pt idx="6">
                  <c:v>-1.10000000000099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-2.10000000000043</c:v>
                </c:pt>
                <c:pt idx="13">
                  <c:v>-2.6000000000010499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-3.0999999999998802</c:v>
                </c:pt>
                <c:pt idx="17">
                  <c:v>-3.40000000000096</c:v>
                </c:pt>
                <c:pt idx="18">
                  <c:v>-3.6000000000004899</c:v>
                </c:pt>
                <c:pt idx="19">
                  <c:v>-3.80000000000003</c:v>
                </c:pt>
                <c:pt idx="20">
                  <c:v>-3.8999999999997899</c:v>
                </c:pt>
                <c:pt idx="21">
                  <c:v>-4.1000000000011001</c:v>
                </c:pt>
                <c:pt idx="22">
                  <c:v>-3.70000000000026</c:v>
                </c:pt>
                <c:pt idx="23">
                  <c:v>-4.6999999999997</c:v>
                </c:pt>
              </c:numCache>
            </c:numRef>
          </c:val>
        </c:ser>
        <c:ser>
          <c:idx val="2"/>
          <c:order val="2"/>
          <c:tx>
            <c:strRef>
              <c:f>'zk80+313'!$AC$4:$AE$4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'zk80+313'!$S$6:$S$29</c:f>
              <c:numCache>
                <c:formatCode>m"月"d"日";@</c:formatCode>
                <c:ptCount val="24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-0.29999999999930099</c:v>
                </c:pt>
                <c:pt idx="2">
                  <c:v>-0.40000000000084401</c:v>
                </c:pt>
                <c:pt idx="3">
                  <c:v>-0.50000000000061096</c:v>
                </c:pt>
                <c:pt idx="4">
                  <c:v>-0.799999999999912</c:v>
                </c:pt>
                <c:pt idx="5">
                  <c:v>-1.0999999999992101</c:v>
                </c:pt>
                <c:pt idx="6">
                  <c:v>-1.3000000000005201</c:v>
                </c:pt>
                <c:pt idx="7">
                  <c:v>-1.6999999999995901</c:v>
                </c:pt>
                <c:pt idx="8">
                  <c:v>-2.0000000000006701</c:v>
                </c:pt>
                <c:pt idx="9">
                  <c:v>-2.2999999999999701</c:v>
                </c:pt>
                <c:pt idx="10">
                  <c:v>-2.2999999999999701</c:v>
                </c:pt>
                <c:pt idx="11">
                  <c:v>-2.8999999999896899</c:v>
                </c:pt>
                <c:pt idx="12">
                  <c:v>-3.1999999999907698</c:v>
                </c:pt>
                <c:pt idx="13">
                  <c:v>-3.4999999999900702</c:v>
                </c:pt>
                <c:pt idx="14">
                  <c:v>-3.3999999999991801</c:v>
                </c:pt>
                <c:pt idx="15">
                  <c:v>-4.09999999999933</c:v>
                </c:pt>
                <c:pt idx="16">
                  <c:v>-4.4000000000004</c:v>
                </c:pt>
                <c:pt idx="17">
                  <c:v>-4.6999999999997</c:v>
                </c:pt>
                <c:pt idx="18">
                  <c:v>-4.5999999999999401</c:v>
                </c:pt>
                <c:pt idx="19">
                  <c:v>-4.7999999999994696</c:v>
                </c:pt>
                <c:pt idx="20">
                  <c:v>-4.4000000000004</c:v>
                </c:pt>
                <c:pt idx="21">
                  <c:v>-4.5000000000001696</c:v>
                </c:pt>
                <c:pt idx="22">
                  <c:v>-4.6999999999997</c:v>
                </c:pt>
              </c:numCache>
            </c:numRef>
          </c:val>
        </c:ser>
        <c:dLbls/>
        <c:marker val="1"/>
        <c:axId val="346705920"/>
        <c:axId val="346708224"/>
      </c:lineChart>
      <c:lineChart>
        <c:grouping val="standard"/>
        <c:ser>
          <c:idx val="3"/>
          <c:order val="3"/>
          <c:tx>
            <c:strRef>
              <c:f>'zk80+313'!$AG$3:$AG$5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'zk80+313'!$S$6:$S$29</c:f>
              <c:numCache>
                <c:formatCode>m"月"d"日";@</c:formatCode>
                <c:ptCount val="24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'zk80+313'!$AG$6:$AG$33</c:f>
              <c:numCache>
                <c:formatCode>0.0_ </c:formatCode>
                <c:ptCount val="28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  <c:pt idx="12">
                  <c:v>43</c:v>
                </c:pt>
                <c:pt idx="13">
                  <c:v>46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61</c:v>
                </c:pt>
                <c:pt idx="19">
                  <c:v>64</c:v>
                </c:pt>
                <c:pt idx="20">
                  <c:v>67</c:v>
                </c:pt>
                <c:pt idx="21">
                  <c:v>67</c:v>
                </c:pt>
                <c:pt idx="22">
                  <c:v>67</c:v>
                </c:pt>
              </c:numCache>
            </c:numRef>
          </c:val>
        </c:ser>
        <c:dLbls/>
        <c:marker val="1"/>
        <c:axId val="346710400"/>
        <c:axId val="346711936"/>
      </c:lineChart>
      <c:dateAx>
        <c:axId val="3467059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708224"/>
        <c:crossesAt val="-50"/>
        <c:auto val="1"/>
        <c:lblOffset val="100"/>
        <c:baseTimeUnit val="days"/>
        <c:majorUnit val="3"/>
        <c:majorTimeUnit val="days"/>
      </c:dateAx>
      <c:valAx>
        <c:axId val="346708224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705920"/>
        <c:crosses val="autoZero"/>
        <c:crossBetween val="midCat"/>
        <c:majorUnit val="1.4"/>
        <c:minorUnit val="0.1"/>
      </c:valAx>
      <c:dateAx>
        <c:axId val="34671040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6711936"/>
        <c:crosses val="autoZero"/>
        <c:auto val="1"/>
        <c:lblOffset val="100"/>
        <c:baseTimeUnit val="days"/>
      </c:dateAx>
      <c:valAx>
        <c:axId val="34671193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71040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80+313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'zk80+313'!$C$4:$G$4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'zk80+313'!$A$6:$A$40</c:f>
              <c:numCache>
                <c:formatCode>m"月"d"日";@</c:formatCode>
                <c:ptCount val="35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'zk80+313'!$G$6:$G$36</c:f>
              <c:numCache>
                <c:formatCode>0.00_ </c:formatCode>
                <c:ptCount val="31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0.199999999949796</c:v>
                </c:pt>
                <c:pt idx="9">
                  <c:v>-0.59999999996307496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0.10000000008858501</c:v>
                </c:pt>
                <c:pt idx="14">
                  <c:v>-0.49999999998817701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-0.24999999999408801</c:v>
                </c:pt>
                <c:pt idx="19">
                  <c:v>-0.100000000031741</c:v>
                </c:pt>
                <c:pt idx="20">
                  <c:v>-9.9999999974897905E-2</c:v>
                </c:pt>
                <c:pt idx="21">
                  <c:v>4.9999999987449001E-2</c:v>
                </c:pt>
                <c:pt idx="22">
                  <c:v>0.100000000031741</c:v>
                </c:pt>
                <c:pt idx="23">
                  <c:v>-3.0000000000427498</c:v>
                </c:pt>
              </c:numCache>
            </c:numRef>
          </c:val>
        </c:ser>
        <c:ser>
          <c:idx val="1"/>
          <c:order val="1"/>
          <c:tx>
            <c:strRef>
              <c:f>'zk80+313'!$H$4:$L$4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'zk80+313'!$A$6:$A$40</c:f>
              <c:numCache>
                <c:formatCode>m"月"d"日";@</c:formatCode>
                <c:ptCount val="35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'zk80+313'!$L$6:$L$37</c:f>
              <c:numCache>
                <c:formatCode>0.00_ </c:formatCode>
                <c:ptCount val="32"/>
                <c:pt idx="0">
                  <c:v>0</c:v>
                </c:pt>
                <c:pt idx="1">
                  <c:v>9.9999999974897905E-2</c:v>
                </c:pt>
                <c:pt idx="2">
                  <c:v>-0.39999999989959201</c:v>
                </c:pt>
                <c:pt idx="3">
                  <c:v>-0.30000000003838101</c:v>
                </c:pt>
                <c:pt idx="4">
                  <c:v>-0.30000000003838101</c:v>
                </c:pt>
                <c:pt idx="5">
                  <c:v>9.9999999974897905E-2</c:v>
                </c:pt>
                <c:pt idx="6">
                  <c:v>-0.69999999993797202</c:v>
                </c:pt>
                <c:pt idx="7">
                  <c:v>-0.30000000003838101</c:v>
                </c:pt>
                <c:pt idx="8">
                  <c:v>-0.29999999992469401</c:v>
                </c:pt>
                <c:pt idx="9">
                  <c:v>0.199999999949796</c:v>
                </c:pt>
                <c:pt idx="10">
                  <c:v>-0.80000000002655702</c:v>
                </c:pt>
                <c:pt idx="11">
                  <c:v>-0.29999999992469401</c:v>
                </c:pt>
                <c:pt idx="12">
                  <c:v>0.199999999949796</c:v>
                </c:pt>
                <c:pt idx="13">
                  <c:v>-0.80000000002655702</c:v>
                </c:pt>
                <c:pt idx="14">
                  <c:v>-0.29999999992469401</c:v>
                </c:pt>
                <c:pt idx="15">
                  <c:v>-0.15000000001919001</c:v>
                </c:pt>
                <c:pt idx="16">
                  <c:v>4.9999999987449001E-2</c:v>
                </c:pt>
                <c:pt idx="17">
                  <c:v>-0.34999999996898601</c:v>
                </c:pt>
                <c:pt idx="18">
                  <c:v>-0.15000000001919001</c:v>
                </c:pt>
                <c:pt idx="19">
                  <c:v>-9.9999999974897905E-2</c:v>
                </c:pt>
                <c:pt idx="20">
                  <c:v>4.9999999987449001E-2</c:v>
                </c:pt>
                <c:pt idx="21">
                  <c:v>0.20000000000663901</c:v>
                </c:pt>
                <c:pt idx="22">
                  <c:v>-5.0000000044292399E-2</c:v>
                </c:pt>
              </c:numCache>
            </c:numRef>
          </c:val>
        </c:ser>
        <c:ser>
          <c:idx val="2"/>
          <c:order val="2"/>
          <c:tx>
            <c:strRef>
              <c:f>'zk80+313'!$M$4:$Q$4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'zk80+313'!$A$6:$A$40</c:f>
              <c:numCache>
                <c:formatCode>m"月"d"日";@</c:formatCode>
                <c:ptCount val="35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'zk80+313'!$Q$6:$Q$33</c:f>
              <c:numCache>
                <c:formatCode>0.00_ </c:formatCode>
                <c:ptCount val="28"/>
                <c:pt idx="0">
                  <c:v>0</c:v>
                </c:pt>
                <c:pt idx="1">
                  <c:v>-0.49999999998817701</c:v>
                </c:pt>
                <c:pt idx="2">
                  <c:v>-0.199999999949796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0</c:v>
                </c:pt>
                <c:pt idx="11">
                  <c:v>-0.40000000001327901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-0.30000000003838101</c:v>
                </c:pt>
                <c:pt idx="15">
                  <c:v>-4.9999999987449001E-2</c:v>
                </c:pt>
                <c:pt idx="16">
                  <c:v>-0.100000000031741</c:v>
                </c:pt>
                <c:pt idx="17">
                  <c:v>-9.9999999974897905E-2</c:v>
                </c:pt>
                <c:pt idx="18">
                  <c:v>-0.100000000031741</c:v>
                </c:pt>
                <c:pt idx="19">
                  <c:v>5.0000000044292399E-2</c:v>
                </c:pt>
                <c:pt idx="20">
                  <c:v>4.9999999987449001E-2</c:v>
                </c:pt>
                <c:pt idx="21">
                  <c:v>-0.15000000001919001</c:v>
                </c:pt>
                <c:pt idx="22">
                  <c:v>-4.9999999987449001E-2</c:v>
                </c:pt>
              </c:numCache>
            </c:numRef>
          </c:val>
        </c:ser>
        <c:dLbls/>
        <c:marker val="1"/>
        <c:axId val="346740992"/>
        <c:axId val="384922368"/>
      </c:lineChart>
      <c:dateAx>
        <c:axId val="3467409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84922368"/>
        <c:crossesAt val="-50"/>
        <c:auto val="1"/>
        <c:lblOffset val="100"/>
        <c:baseTimeUnit val="days"/>
        <c:majorUnit val="3"/>
        <c:majorTimeUnit val="days"/>
      </c:dateAx>
      <c:valAx>
        <c:axId val="38492236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74099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80+313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'zk80+313'!$U$4:$W$4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'zk80+313'!$S$6:$S$43</c:f>
              <c:numCache>
                <c:formatCode>m"月"d"日";@</c:formatCode>
                <c:ptCount val="38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'zk80+313'!$W$6:$W$34</c:f>
              <c:numCache>
                <c:formatCode>0.00_ </c:formatCode>
                <c:ptCount val="29"/>
                <c:pt idx="0">
                  <c:v>0</c:v>
                </c:pt>
                <c:pt idx="1">
                  <c:v>-0.39999999999906799</c:v>
                </c:pt>
                <c:pt idx="2">
                  <c:v>0.29999999999930099</c:v>
                </c:pt>
                <c:pt idx="3">
                  <c:v>0.19999999999953399</c:v>
                </c:pt>
                <c:pt idx="4">
                  <c:v>-0.19999999999953399</c:v>
                </c:pt>
                <c:pt idx="5">
                  <c:v>0.19999999999953399</c:v>
                </c:pt>
                <c:pt idx="6">
                  <c:v>0.20000000000130999</c:v>
                </c:pt>
                <c:pt idx="7">
                  <c:v>0.19999999999953399</c:v>
                </c:pt>
                <c:pt idx="8">
                  <c:v>9.99999999997669E-2</c:v>
                </c:pt>
                <c:pt idx="9">
                  <c:v>0.29999999999930099</c:v>
                </c:pt>
                <c:pt idx="10">
                  <c:v>0.20000000000130999</c:v>
                </c:pt>
                <c:pt idx="11">
                  <c:v>0.19999999999953399</c:v>
                </c:pt>
                <c:pt idx="12">
                  <c:v>0</c:v>
                </c:pt>
                <c:pt idx="13">
                  <c:v>0.39999999999906799</c:v>
                </c:pt>
                <c:pt idx="14">
                  <c:v>0.20000000000130999</c:v>
                </c:pt>
                <c:pt idx="15">
                  <c:v>0</c:v>
                </c:pt>
                <c:pt idx="16">
                  <c:v>0.19999999999953399</c:v>
                </c:pt>
                <c:pt idx="17">
                  <c:v>-9.99999999997669E-2</c:v>
                </c:pt>
                <c:pt idx="18">
                  <c:v>0.300000000000189</c:v>
                </c:pt>
                <c:pt idx="19">
                  <c:v>9.99999999997669E-2</c:v>
                </c:pt>
                <c:pt idx="20">
                  <c:v>-4.9999999999883499E-2</c:v>
                </c:pt>
                <c:pt idx="21">
                  <c:v>9.99999999997669E-2</c:v>
                </c:pt>
                <c:pt idx="22">
                  <c:v>4.9999999999883499E-2</c:v>
                </c:pt>
                <c:pt idx="23">
                  <c:v>-3.8999999999997899</c:v>
                </c:pt>
              </c:numCache>
            </c:numRef>
          </c:val>
        </c:ser>
        <c:ser>
          <c:idx val="1"/>
          <c:order val="1"/>
          <c:tx>
            <c:strRef>
              <c:f>'zk80+313'!$Y$4:$AA$4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'zk80+313'!$S$6:$S$43</c:f>
              <c:numCache>
                <c:formatCode>m"月"d"日";@</c:formatCode>
                <c:ptCount val="38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-0.50000000000061096</c:v>
                </c:pt>
                <c:pt idx="4">
                  <c:v>-0.19999999999953399</c:v>
                </c:pt>
                <c:pt idx="5">
                  <c:v>-0.20000000000130999</c:v>
                </c:pt>
                <c:pt idx="6">
                  <c:v>-9.99999999997669E-2</c:v>
                </c:pt>
                <c:pt idx="7">
                  <c:v>-0.29999999999930099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-0.70000000000014495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-0.50000000000061096</c:v>
                </c:pt>
                <c:pt idx="14">
                  <c:v>-0.19999999999953399</c:v>
                </c:pt>
                <c:pt idx="15">
                  <c:v>-9.99999999997669E-2</c:v>
                </c:pt>
                <c:pt idx="16">
                  <c:v>-4.9999999999883499E-2</c:v>
                </c:pt>
                <c:pt idx="17">
                  <c:v>-0.15000000000053901</c:v>
                </c:pt>
                <c:pt idx="18">
                  <c:v>-9.99999999997669E-2</c:v>
                </c:pt>
                <c:pt idx="19">
                  <c:v>-9.99999999997669E-2</c:v>
                </c:pt>
                <c:pt idx="20">
                  <c:v>-4.9999999999883499E-2</c:v>
                </c:pt>
                <c:pt idx="21">
                  <c:v>-0.100000000000655</c:v>
                </c:pt>
                <c:pt idx="22">
                  <c:v>0.20000000000042201</c:v>
                </c:pt>
                <c:pt idx="23">
                  <c:v>-0.11153846153847501</c:v>
                </c:pt>
              </c:numCache>
            </c:numRef>
          </c:val>
        </c:ser>
        <c:ser>
          <c:idx val="2"/>
          <c:order val="2"/>
          <c:tx>
            <c:strRef>
              <c:f>'zk80+313'!$AC$4:$AE$4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'zk80+313'!$S$6:$S$43</c:f>
              <c:numCache>
                <c:formatCode>m"月"d"日";@</c:formatCode>
                <c:ptCount val="38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-0.29999999999930099</c:v>
                </c:pt>
                <c:pt idx="2">
                  <c:v>-0.10000000000154299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-0.29999999999930099</c:v>
                </c:pt>
                <c:pt idx="6">
                  <c:v>-0.20000000000130999</c:v>
                </c:pt>
                <c:pt idx="7">
                  <c:v>-0.39999999999906799</c:v>
                </c:pt>
                <c:pt idx="8">
                  <c:v>-0.30000000000107702</c:v>
                </c:pt>
                <c:pt idx="9">
                  <c:v>-0.29999999999930099</c:v>
                </c:pt>
                <c:pt idx="10">
                  <c:v>0</c:v>
                </c:pt>
                <c:pt idx="11">
                  <c:v>-0.59999999998971998</c:v>
                </c:pt>
                <c:pt idx="12">
                  <c:v>-0.30000000000107702</c:v>
                </c:pt>
                <c:pt idx="13">
                  <c:v>-0.29999999999930099</c:v>
                </c:pt>
                <c:pt idx="14">
                  <c:v>9.9999999990885199E-2</c:v>
                </c:pt>
                <c:pt idx="15">
                  <c:v>-0.35000000000007198</c:v>
                </c:pt>
                <c:pt idx="16">
                  <c:v>-0.15000000000053901</c:v>
                </c:pt>
                <c:pt idx="17">
                  <c:v>-0.14999999999965</c:v>
                </c:pt>
                <c:pt idx="18">
                  <c:v>4.9999999999883499E-2</c:v>
                </c:pt>
                <c:pt idx="19">
                  <c:v>-9.99999999997669E-2</c:v>
                </c:pt>
                <c:pt idx="20">
                  <c:v>0.19999999999953399</c:v>
                </c:pt>
                <c:pt idx="21">
                  <c:v>-4.9999999999883499E-2</c:v>
                </c:pt>
                <c:pt idx="22">
                  <c:v>-9.99999999997669E-2</c:v>
                </c:pt>
              </c:numCache>
            </c:numRef>
          </c:val>
        </c:ser>
        <c:dLbls/>
        <c:marker val="1"/>
        <c:axId val="343486464"/>
        <c:axId val="343488000"/>
      </c:lineChart>
      <c:dateAx>
        <c:axId val="3434864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488000"/>
        <c:crossesAt val="-50"/>
        <c:auto val="1"/>
        <c:lblOffset val="100"/>
        <c:baseTimeUnit val="days"/>
        <c:majorUnit val="3"/>
        <c:majorTimeUnit val="days"/>
      </c:dateAx>
      <c:valAx>
        <c:axId val="34348800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48646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k80+313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'zk80+313'!$C$4:$G$4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'zk80+313'!$A$6:$A$36</c:f>
              <c:numCache>
                <c:formatCode>m"月"d"日";@</c:formatCode>
                <c:ptCount val="31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'zk80+313'!$F$6:$F$28</c:f>
              <c:numCache>
                <c:formatCode>0.00_ </c:formatCode>
                <c:ptCount val="23"/>
                <c:pt idx="0">
                  <c:v>0</c:v>
                </c:pt>
                <c:pt idx="1">
                  <c:v>-0.20000000006348301</c:v>
                </c:pt>
                <c:pt idx="2">
                  <c:v>-0.30000000003838101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-0.90000000000145497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-1.2000000000398401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-2.40000000007967</c:v>
                </c:pt>
                <c:pt idx="13">
                  <c:v>-2.2999999999910901</c:v>
                </c:pt>
                <c:pt idx="14">
                  <c:v>-2.79999999997926</c:v>
                </c:pt>
                <c:pt idx="15">
                  <c:v>-3.0000000000427498</c:v>
                </c:pt>
                <c:pt idx="16">
                  <c:v>-3.1999999999925399</c:v>
                </c:pt>
                <c:pt idx="17">
                  <c:v>-3.1000000000176402</c:v>
                </c:pt>
                <c:pt idx="18">
                  <c:v>-3.6000000000058199</c:v>
                </c:pt>
                <c:pt idx="19">
                  <c:v>-3.8000000000692999</c:v>
                </c:pt>
                <c:pt idx="20">
                  <c:v>-4.0000000000191003</c:v>
                </c:pt>
                <c:pt idx="21">
                  <c:v>-3.9000000000442001</c:v>
                </c:pt>
                <c:pt idx="22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'zk80+313'!$H$4:$L$4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'zk80+313'!$A$6:$A$36</c:f>
              <c:numCache>
                <c:formatCode>m"月"d"日";@</c:formatCode>
                <c:ptCount val="31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'zk80+313'!$K$6:$K$32</c:f>
              <c:numCache>
                <c:formatCode>0.00_ </c:formatCode>
                <c:ptCount val="27"/>
                <c:pt idx="0">
                  <c:v>0</c:v>
                </c:pt>
                <c:pt idx="1">
                  <c:v>9.9999999974897905E-2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-0.90000000000145497</c:v>
                </c:pt>
                <c:pt idx="5">
                  <c:v>-0.80000000002655702</c:v>
                </c:pt>
                <c:pt idx="6">
                  <c:v>-1.4999999999645299</c:v>
                </c:pt>
                <c:pt idx="7">
                  <c:v>-1.8000000000029099</c:v>
                </c:pt>
                <c:pt idx="8">
                  <c:v>-2.0999999999275998</c:v>
                </c:pt>
                <c:pt idx="9">
                  <c:v>-1.8999999999778101</c:v>
                </c:pt>
                <c:pt idx="10">
                  <c:v>-2.70000000000437</c:v>
                </c:pt>
                <c:pt idx="11">
                  <c:v>-2.9999999999290599</c:v>
                </c:pt>
                <c:pt idx="12">
                  <c:v>-2.79999999997926</c:v>
                </c:pt>
                <c:pt idx="13">
                  <c:v>-3.6000000000058199</c:v>
                </c:pt>
                <c:pt idx="14">
                  <c:v>-3.8999999999305102</c:v>
                </c:pt>
                <c:pt idx="15">
                  <c:v>-4.1999999999688997</c:v>
                </c:pt>
                <c:pt idx="16">
                  <c:v>-4.099999999994</c:v>
                </c:pt>
                <c:pt idx="17">
                  <c:v>-4.7999999999319698</c:v>
                </c:pt>
                <c:pt idx="18">
                  <c:v>-5.0999999999703496</c:v>
                </c:pt>
                <c:pt idx="19">
                  <c:v>-5.2999999999201499</c:v>
                </c:pt>
                <c:pt idx="20">
                  <c:v>-5.1999999999452502</c:v>
                </c:pt>
                <c:pt idx="21">
                  <c:v>-4.7999999999319698</c:v>
                </c:pt>
                <c:pt idx="22">
                  <c:v>-4.9000000000205501</c:v>
                </c:pt>
                <c:pt idx="23">
                  <c:v>-0.15384615384688799</c:v>
                </c:pt>
              </c:numCache>
            </c:numRef>
          </c:val>
        </c:ser>
        <c:ser>
          <c:idx val="2"/>
          <c:order val="2"/>
          <c:tx>
            <c:strRef>
              <c:f>'zk80+313'!$M$4:$Q$4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'zk80+313'!$A$6:$A$36</c:f>
              <c:numCache>
                <c:formatCode>m"月"d"日";@</c:formatCode>
                <c:ptCount val="31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  <c:pt idx="19">
                  <c:v>44844</c:v>
                </c:pt>
                <c:pt idx="20">
                  <c:v>44846</c:v>
                </c:pt>
                <c:pt idx="21">
                  <c:v>44848</c:v>
                </c:pt>
                <c:pt idx="22">
                  <c:v>44850</c:v>
                </c:pt>
              </c:numCache>
            </c:numRef>
          </c:cat>
          <c:val>
            <c:numRef>
              <c:f>'zk80+313'!$P$6:$P$30</c:f>
              <c:numCache>
                <c:formatCode>0.00_ </c:formatCode>
                <c:ptCount val="25"/>
                <c:pt idx="0">
                  <c:v>0</c:v>
                </c:pt>
                <c:pt idx="1">
                  <c:v>-0.49999999998817701</c:v>
                </c:pt>
                <c:pt idx="2">
                  <c:v>-0.69999999993797202</c:v>
                </c:pt>
                <c:pt idx="3">
                  <c:v>-0.99999999997635303</c:v>
                </c:pt>
                <c:pt idx="4">
                  <c:v>-1.1999999999261499</c:v>
                </c:pt>
                <c:pt idx="5">
                  <c:v>-1.39999999998963</c:v>
                </c:pt>
                <c:pt idx="6">
                  <c:v>-1.5999999999394301</c:v>
                </c:pt>
                <c:pt idx="7">
                  <c:v>-1.69999999991433</c:v>
                </c:pt>
                <c:pt idx="8">
                  <c:v>-1.9999999999527101</c:v>
                </c:pt>
                <c:pt idx="9">
                  <c:v>-2.1999999999024999</c:v>
                </c:pt>
                <c:pt idx="10">
                  <c:v>-2.1999999999024999</c:v>
                </c:pt>
                <c:pt idx="11">
                  <c:v>-2.5999999999157799</c:v>
                </c:pt>
                <c:pt idx="12">
                  <c:v>-2.79999999997926</c:v>
                </c:pt>
                <c:pt idx="13">
                  <c:v>-2.9999999999290599</c:v>
                </c:pt>
                <c:pt idx="14">
                  <c:v>-3.2999999999674401</c:v>
                </c:pt>
                <c:pt idx="15">
                  <c:v>-3.3999999999423398</c:v>
                </c:pt>
                <c:pt idx="16">
                  <c:v>-3.6000000000058199</c:v>
                </c:pt>
                <c:pt idx="17">
                  <c:v>-3.7999999999556202</c:v>
                </c:pt>
                <c:pt idx="18">
                  <c:v>-4.0000000000191003</c:v>
                </c:pt>
                <c:pt idx="19">
                  <c:v>-3.8999999999305102</c:v>
                </c:pt>
                <c:pt idx="20">
                  <c:v>-3.7999999999556202</c:v>
                </c:pt>
                <c:pt idx="21">
                  <c:v>-4.099999999994</c:v>
                </c:pt>
                <c:pt idx="22">
                  <c:v>-4.1999999999688997</c:v>
                </c:pt>
              </c:numCache>
            </c:numRef>
          </c:val>
        </c:ser>
        <c:dLbls/>
        <c:marker val="1"/>
        <c:axId val="347044864"/>
        <c:axId val="347055616"/>
      </c:lineChart>
      <c:lineChart>
        <c:grouping val="standard"/>
        <c:ser>
          <c:idx val="3"/>
          <c:order val="3"/>
          <c:tx>
            <c:strRef>
              <c:f>'zk80+313'!$AG$3:$AG$5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'zk80+313'!$A$6:$A$24</c:f>
              <c:numCache>
                <c:formatCode>m"月"d"日";@</c:formatCode>
                <c:ptCount val="19"/>
                <c:pt idx="0">
                  <c:v>44820</c:v>
                </c:pt>
                <c:pt idx="1">
                  <c:v>44821</c:v>
                </c:pt>
                <c:pt idx="2">
                  <c:v>44822</c:v>
                </c:pt>
                <c:pt idx="3">
                  <c:v>44823</c:v>
                </c:pt>
                <c:pt idx="4">
                  <c:v>44824</c:v>
                </c:pt>
                <c:pt idx="5">
                  <c:v>44825</c:v>
                </c:pt>
                <c:pt idx="6">
                  <c:v>44826</c:v>
                </c:pt>
                <c:pt idx="7">
                  <c:v>44827</c:v>
                </c:pt>
                <c:pt idx="8">
                  <c:v>44828</c:v>
                </c:pt>
                <c:pt idx="9">
                  <c:v>44829</c:v>
                </c:pt>
                <c:pt idx="10">
                  <c:v>44830</c:v>
                </c:pt>
                <c:pt idx="11">
                  <c:v>44831</c:v>
                </c:pt>
                <c:pt idx="12">
                  <c:v>44832</c:v>
                </c:pt>
                <c:pt idx="13">
                  <c:v>44833</c:v>
                </c:pt>
                <c:pt idx="14">
                  <c:v>44834</c:v>
                </c:pt>
                <c:pt idx="15">
                  <c:v>44836</c:v>
                </c:pt>
                <c:pt idx="16">
                  <c:v>44838</c:v>
                </c:pt>
                <c:pt idx="17">
                  <c:v>44840</c:v>
                </c:pt>
                <c:pt idx="18">
                  <c:v>44842</c:v>
                </c:pt>
              </c:numCache>
            </c:numRef>
          </c:cat>
          <c:val>
            <c:numRef>
              <c:f>'zk80+313'!$AG$6:$AG$33</c:f>
              <c:numCache>
                <c:formatCode>0.0_ </c:formatCode>
                <c:ptCount val="28"/>
                <c:pt idx="0">
                  <c:v>7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19</c:v>
                </c:pt>
                <c:pt idx="5">
                  <c:v>22</c:v>
                </c:pt>
                <c:pt idx="6">
                  <c:v>25</c:v>
                </c:pt>
                <c:pt idx="7">
                  <c:v>28</c:v>
                </c:pt>
                <c:pt idx="8">
                  <c:v>31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  <c:pt idx="12">
                  <c:v>43</c:v>
                </c:pt>
                <c:pt idx="13">
                  <c:v>46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61</c:v>
                </c:pt>
                <c:pt idx="19">
                  <c:v>64</c:v>
                </c:pt>
                <c:pt idx="20">
                  <c:v>67</c:v>
                </c:pt>
                <c:pt idx="21">
                  <c:v>67</c:v>
                </c:pt>
                <c:pt idx="22">
                  <c:v>67</c:v>
                </c:pt>
              </c:numCache>
            </c:numRef>
          </c:val>
        </c:ser>
        <c:dLbls/>
        <c:marker val="1"/>
        <c:axId val="347057536"/>
        <c:axId val="347071616"/>
      </c:lineChart>
      <c:dateAx>
        <c:axId val="3470448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055616"/>
        <c:crossesAt val="-50"/>
        <c:auto val="1"/>
        <c:lblOffset val="100"/>
        <c:baseTimeUnit val="days"/>
        <c:majorUnit val="3"/>
        <c:majorTimeUnit val="days"/>
      </c:dateAx>
      <c:valAx>
        <c:axId val="347055616"/>
        <c:scaling>
          <c:orientation val="minMax"/>
          <c:max val="1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044864"/>
        <c:crosses val="autoZero"/>
        <c:crossBetween val="midCat"/>
        <c:majorUnit val="1.4"/>
        <c:minorUnit val="0.5"/>
      </c:valAx>
      <c:dateAx>
        <c:axId val="3470575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7071616"/>
        <c:crosses val="autoZero"/>
        <c:auto val="1"/>
        <c:lblOffset val="100"/>
        <c:baseTimeUnit val="days"/>
      </c:dateAx>
      <c:valAx>
        <c:axId val="34707161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05753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80+347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'zk80+347'!$U$4:$W$4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'zk80+347'!$S$6:$S$27</c:f>
              <c:numCache>
                <c:formatCode>m"月"d"日";@</c:formatCode>
                <c:ptCount val="22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</c:numCache>
            </c:numRef>
          </c:cat>
          <c:val>
            <c:numRef>
              <c:f>'zk80+347'!$V$6:$V$32</c:f>
              <c:numCache>
                <c:formatCode>0.00_ </c:formatCode>
                <c:ptCount val="27"/>
                <c:pt idx="0">
                  <c:v>0</c:v>
                </c:pt>
                <c:pt idx="1">
                  <c:v>-0.29999999999930099</c:v>
                </c:pt>
                <c:pt idx="2">
                  <c:v>-0.49999999999883499</c:v>
                </c:pt>
                <c:pt idx="3">
                  <c:v>-0.59999999999860198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-0.799999999999912</c:v>
                </c:pt>
                <c:pt idx="7">
                  <c:v>-1.39999999999851</c:v>
                </c:pt>
                <c:pt idx="8">
                  <c:v>-1.60000000000871</c:v>
                </c:pt>
                <c:pt idx="9">
                  <c:v>-1.6999999999995901</c:v>
                </c:pt>
                <c:pt idx="10">
                  <c:v>-2.0000000000095501</c:v>
                </c:pt>
                <c:pt idx="11">
                  <c:v>-2.20000000000908</c:v>
                </c:pt>
                <c:pt idx="12">
                  <c:v>-2.4000000000086201</c:v>
                </c:pt>
                <c:pt idx="13">
                  <c:v>-2.59999999999927</c:v>
                </c:pt>
                <c:pt idx="14">
                  <c:v>-2.8000000000094598</c:v>
                </c:pt>
                <c:pt idx="15">
                  <c:v>-2.4999999999995</c:v>
                </c:pt>
                <c:pt idx="16">
                  <c:v>-3.2000000000191902</c:v>
                </c:pt>
                <c:pt idx="17">
                  <c:v>-3.40000000001872</c:v>
                </c:pt>
                <c:pt idx="18">
                  <c:v>-3.6000000000200298</c:v>
                </c:pt>
                <c:pt idx="19">
                  <c:v>-3.4999999999989502</c:v>
                </c:pt>
                <c:pt idx="20">
                  <c:v>-4.0000000000191003</c:v>
                </c:pt>
                <c:pt idx="21">
                  <c:v>-4.2000000000186297</c:v>
                </c:pt>
                <c:pt idx="22">
                  <c:v>-4.40000000001994</c:v>
                </c:pt>
                <c:pt idx="23">
                  <c:v>-4.6000000000194801</c:v>
                </c:pt>
                <c:pt idx="24">
                  <c:v>0.19999999999953399</c:v>
                </c:pt>
              </c:numCache>
            </c:numRef>
          </c:val>
        </c:ser>
        <c:ser>
          <c:idx val="1"/>
          <c:order val="1"/>
          <c:tx>
            <c:strRef>
              <c:f>'zk80+347'!$Y$4:$AA$4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'zk80+347'!$S$6:$S$27</c:f>
              <c:numCache>
                <c:formatCode>m"月"d"日";@</c:formatCode>
                <c:ptCount val="22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</c:numCache>
            </c:numRef>
          </c:cat>
          <c:val>
            <c:numRef>
              <c:f>'zk80+347'!$Z$6:$Z$33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-1.0000000000012199</c:v>
                </c:pt>
                <c:pt idx="6">
                  <c:v>-1.10000000000099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-2.10000000000043</c:v>
                </c:pt>
                <c:pt idx="13">
                  <c:v>-2.6000000000010499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-3.0999999999998802</c:v>
                </c:pt>
                <c:pt idx="17">
                  <c:v>-3.40000000000096</c:v>
                </c:pt>
                <c:pt idx="18">
                  <c:v>-3.6000000000004899</c:v>
                </c:pt>
                <c:pt idx="19">
                  <c:v>-3.80000000000003</c:v>
                </c:pt>
                <c:pt idx="20">
                  <c:v>-3.70000000000026</c:v>
                </c:pt>
                <c:pt idx="21">
                  <c:v>-3.6000000000004899</c:v>
                </c:pt>
                <c:pt idx="22">
                  <c:v>-3.5000000000007199</c:v>
                </c:pt>
                <c:pt idx="23">
                  <c:v>-3.40000000000096</c:v>
                </c:pt>
                <c:pt idx="24">
                  <c:v>-3.70000000000026</c:v>
                </c:pt>
              </c:numCache>
            </c:numRef>
          </c:val>
        </c:ser>
        <c:ser>
          <c:idx val="2"/>
          <c:order val="2"/>
          <c:tx>
            <c:strRef>
              <c:f>'zk80+347'!$AC$4:$AE$4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'zk80+347'!$S$6:$S$27</c:f>
              <c:numCache>
                <c:formatCode>m"月"d"日";@</c:formatCode>
                <c:ptCount val="22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</c:numCache>
            </c:numRef>
          </c:cat>
          <c:val>
            <c:numRef>
              <c:f>'zk80+347'!$AD$6:$AD$37</c:f>
              <c:numCache>
                <c:formatCode>0.00_ </c:formatCode>
                <c:ptCount val="32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-0.50000000000061096</c:v>
                </c:pt>
                <c:pt idx="5">
                  <c:v>-0.29999999999930099</c:v>
                </c:pt>
                <c:pt idx="6">
                  <c:v>-0.89999999999967895</c:v>
                </c:pt>
                <c:pt idx="7">
                  <c:v>-1.0999999999992101</c:v>
                </c:pt>
                <c:pt idx="8">
                  <c:v>-0.999999999999446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-1.9000000000009001</c:v>
                </c:pt>
                <c:pt idx="12">
                  <c:v>-2.0000000000006701</c:v>
                </c:pt>
                <c:pt idx="13">
                  <c:v>-2.2999999999893102</c:v>
                </c:pt>
                <c:pt idx="14">
                  <c:v>-2.4999999999906199</c:v>
                </c:pt>
                <c:pt idx="15">
                  <c:v>-2.6999999999901498</c:v>
                </c:pt>
                <c:pt idx="16">
                  <c:v>-2.59999999999927</c:v>
                </c:pt>
                <c:pt idx="17">
                  <c:v>-3.0999999999892198</c:v>
                </c:pt>
                <c:pt idx="18">
                  <c:v>-3.2999999999905301</c:v>
                </c:pt>
                <c:pt idx="19">
                  <c:v>-3.4999999999900702</c:v>
                </c:pt>
                <c:pt idx="20">
                  <c:v>-3.40000000000096</c:v>
                </c:pt>
                <c:pt idx="21">
                  <c:v>-3.5000000000007199</c:v>
                </c:pt>
                <c:pt idx="22">
                  <c:v>-3.6000000000004899</c:v>
                </c:pt>
                <c:pt idx="23">
                  <c:v>-3.70000000000026</c:v>
                </c:pt>
              </c:numCache>
            </c:numRef>
          </c:val>
        </c:ser>
        <c:dLbls/>
        <c:marker val="1"/>
        <c:axId val="347130880"/>
        <c:axId val="347145728"/>
      </c:lineChart>
      <c:lineChart>
        <c:grouping val="standard"/>
        <c:ser>
          <c:idx val="3"/>
          <c:order val="3"/>
          <c:tx>
            <c:strRef>
              <c:f>'zk80+347'!$AG$3:$AG$5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'zk80+347'!$S$6:$S$27</c:f>
              <c:numCache>
                <c:formatCode>m"月"d"日";@</c:formatCode>
                <c:ptCount val="22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</c:numCache>
            </c:numRef>
          </c:cat>
          <c:val>
            <c:numRef>
              <c:f>'zk80+347'!$AG$6:$AG$31</c:f>
              <c:numCache>
                <c:formatCode>0.0_ </c:formatCode>
                <c:ptCount val="26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35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47</c:v>
                </c:pt>
                <c:pt idx="14">
                  <c:v>50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</c:numCache>
            </c:numRef>
          </c:val>
        </c:ser>
        <c:dLbls/>
        <c:marker val="1"/>
        <c:axId val="347147648"/>
        <c:axId val="347149440"/>
      </c:lineChart>
      <c:dateAx>
        <c:axId val="3471308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145728"/>
        <c:crossesAt val="-50"/>
        <c:auto val="1"/>
        <c:lblOffset val="100"/>
        <c:baseTimeUnit val="days"/>
        <c:majorUnit val="4"/>
        <c:majorTimeUnit val="days"/>
      </c:dateAx>
      <c:valAx>
        <c:axId val="34714572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130880"/>
        <c:crosses val="autoZero"/>
        <c:crossBetween val="midCat"/>
        <c:majorUnit val="1.4"/>
        <c:minorUnit val="0.1"/>
      </c:valAx>
      <c:dateAx>
        <c:axId val="3471476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7149440"/>
        <c:crosses val="autoZero"/>
        <c:auto val="1"/>
        <c:lblOffset val="100"/>
        <c:baseTimeUnit val="days"/>
      </c:dateAx>
      <c:valAx>
        <c:axId val="34714944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14764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80+347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'zk80+347'!$C$4:$G$4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'zk80+347'!$A$6:$A$38</c:f>
              <c:numCache>
                <c:formatCode>m"月"d"日";@</c:formatCode>
                <c:ptCount val="33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0.20000000006348301</c:v>
                </c:pt>
                <c:pt idx="5">
                  <c:v>-0.60000000007676102</c:v>
                </c:pt>
                <c:pt idx="6">
                  <c:v>-0.199999999949796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-0.29999999992469401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5.0000000044292399E-2</c:v>
                </c:pt>
                <c:pt idx="16">
                  <c:v>-0.25000000005093198</c:v>
                </c:pt>
                <c:pt idx="17">
                  <c:v>-9.9999999974897905E-2</c:v>
                </c:pt>
                <c:pt idx="18">
                  <c:v>-0.100000000031741</c:v>
                </c:pt>
                <c:pt idx="19">
                  <c:v>-4.9999999987449001E-2</c:v>
                </c:pt>
                <c:pt idx="20">
                  <c:v>-0.149999999962347</c:v>
                </c:pt>
                <c:pt idx="21">
                  <c:v>4.9999999987449001E-2</c:v>
                </c:pt>
                <c:pt idx="22">
                  <c:v>4.9999999987449001E-2</c:v>
                </c:pt>
                <c:pt idx="23">
                  <c:v>4.9999999987449001E-2</c:v>
                </c:pt>
                <c:pt idx="24">
                  <c:v>0.199999999949796</c:v>
                </c:pt>
              </c:numCache>
            </c:numRef>
          </c:val>
        </c:ser>
        <c:ser>
          <c:idx val="1"/>
          <c:order val="1"/>
          <c:tx>
            <c:strRef>
              <c:f>'zk80+347'!$H$4:$L$4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'zk80+347'!$A$6:$A$38</c:f>
              <c:numCache>
                <c:formatCode>m"月"d"日";@</c:formatCode>
                <c:ptCount val="33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'zk80+347'!$L$6:$L$35</c:f>
              <c:numCache>
                <c:formatCode>0.00_ </c:formatCode>
                <c:ptCount val="30"/>
                <c:pt idx="0">
                  <c:v>0</c:v>
                </c:pt>
                <c:pt idx="1">
                  <c:v>-0.70000000005165897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-0.29999999992469401</c:v>
                </c:pt>
                <c:pt idx="5">
                  <c:v>-0.10000000008858501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0.20000000006348301</c:v>
                </c:pt>
                <c:pt idx="14">
                  <c:v>-0.60000000007676102</c:v>
                </c:pt>
                <c:pt idx="15">
                  <c:v>-9.9999999974897905E-2</c:v>
                </c:pt>
                <c:pt idx="16">
                  <c:v>0.15000000001919001</c:v>
                </c:pt>
                <c:pt idx="17">
                  <c:v>-0.35000000002582998</c:v>
                </c:pt>
                <c:pt idx="18">
                  <c:v>-9.9999999974897905E-2</c:v>
                </c:pt>
                <c:pt idx="19">
                  <c:v>-0.100000000031741</c:v>
                </c:pt>
                <c:pt idx="20">
                  <c:v>-9.9999999974897905E-2</c:v>
                </c:pt>
                <c:pt idx="21">
                  <c:v>9.9999999974897905E-2</c:v>
                </c:pt>
                <c:pt idx="22">
                  <c:v>0.100000000031741</c:v>
                </c:pt>
                <c:pt idx="23">
                  <c:v>9.9999999974897905E-2</c:v>
                </c:pt>
              </c:numCache>
            </c:numRef>
          </c:val>
        </c:ser>
        <c:ser>
          <c:idx val="2"/>
          <c:order val="2"/>
          <c:tx>
            <c:strRef>
              <c:f>'zk80+347'!$M$4:$Q$4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'zk80+347'!$A$6:$A$38</c:f>
              <c:numCache>
                <c:formatCode>m"月"d"日";@</c:formatCode>
                <c:ptCount val="33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-0.29999999992469401</c:v>
                </c:pt>
                <c:pt idx="3">
                  <c:v>0.199999999949796</c:v>
                </c:pt>
                <c:pt idx="4">
                  <c:v>-9.9999999974897905E-2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-0.10000000008858501</c:v>
                </c:pt>
                <c:pt idx="11">
                  <c:v>-0.29999999992469401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0.40000000001327901</c:v>
                </c:pt>
                <c:pt idx="15">
                  <c:v>-0.40000000001327901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0.100000000031741</c:v>
                </c:pt>
                <c:pt idx="19">
                  <c:v>-0.30000000003838101</c:v>
                </c:pt>
                <c:pt idx="20">
                  <c:v>-9.9999999974897905E-2</c:v>
                </c:pt>
                <c:pt idx="21">
                  <c:v>4.9999999987449001E-2</c:v>
                </c:pt>
                <c:pt idx="22">
                  <c:v>4.9999999987449001E-2</c:v>
                </c:pt>
                <c:pt idx="23">
                  <c:v>4.9999999987449001E-2</c:v>
                </c:pt>
              </c:numCache>
            </c:numRef>
          </c:val>
        </c:ser>
        <c:dLbls/>
        <c:marker val="1"/>
        <c:axId val="347174400"/>
        <c:axId val="347197440"/>
      </c:lineChart>
      <c:dateAx>
        <c:axId val="3471744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197440"/>
        <c:crossesAt val="-50"/>
        <c:auto val="1"/>
        <c:lblOffset val="100"/>
        <c:baseTimeUnit val="days"/>
        <c:majorUnit val="4"/>
        <c:majorTimeUnit val="days"/>
      </c:dateAx>
      <c:valAx>
        <c:axId val="34719744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17440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80+347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'zk80+347'!$U$4:$W$4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'zk80+347'!$S$6:$S$41</c:f>
              <c:numCache>
                <c:formatCode>m"月"d"日";@</c:formatCode>
                <c:ptCount val="36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'zk80+347'!$W$6:$W$32</c:f>
              <c:numCache>
                <c:formatCode>0.00_ </c:formatCode>
                <c:ptCount val="27"/>
                <c:pt idx="0">
                  <c:v>0</c:v>
                </c:pt>
                <c:pt idx="1">
                  <c:v>0.29999999999930099</c:v>
                </c:pt>
                <c:pt idx="2">
                  <c:v>0.19999999999953399</c:v>
                </c:pt>
                <c:pt idx="3">
                  <c:v>9.99999999997669E-2</c:v>
                </c:pt>
                <c:pt idx="4">
                  <c:v>0.20000000000130999</c:v>
                </c:pt>
                <c:pt idx="5">
                  <c:v>0.19999999999953399</c:v>
                </c:pt>
                <c:pt idx="6">
                  <c:v>-0.19999999999953399</c:v>
                </c:pt>
                <c:pt idx="7">
                  <c:v>0.59999999999860198</c:v>
                </c:pt>
                <c:pt idx="8">
                  <c:v>0.200000000010192</c:v>
                </c:pt>
                <c:pt idx="9">
                  <c:v>9.9999999990885199E-2</c:v>
                </c:pt>
                <c:pt idx="10">
                  <c:v>0.30000000000995902</c:v>
                </c:pt>
                <c:pt idx="11">
                  <c:v>0.19999999999953399</c:v>
                </c:pt>
                <c:pt idx="12">
                  <c:v>0.19999999999953399</c:v>
                </c:pt>
                <c:pt idx="13">
                  <c:v>0.19999999999065199</c:v>
                </c:pt>
                <c:pt idx="14">
                  <c:v>0.200000000010192</c:v>
                </c:pt>
                <c:pt idx="15">
                  <c:v>-0.15000000000497901</c:v>
                </c:pt>
                <c:pt idx="16">
                  <c:v>0.35000000000984199</c:v>
                </c:pt>
                <c:pt idx="17">
                  <c:v>9.99999999997669E-2</c:v>
                </c:pt>
                <c:pt idx="18">
                  <c:v>0.100000000000655</c:v>
                </c:pt>
                <c:pt idx="19">
                  <c:v>-5.0000000010541598E-2</c:v>
                </c:pt>
                <c:pt idx="20">
                  <c:v>0.250000000010075</c:v>
                </c:pt>
                <c:pt idx="21">
                  <c:v>9.99999999997669E-2</c:v>
                </c:pt>
                <c:pt idx="22">
                  <c:v>0.100000000000655</c:v>
                </c:pt>
                <c:pt idx="23">
                  <c:v>9.99999999997669E-2</c:v>
                </c:pt>
                <c:pt idx="24">
                  <c:v>-0.19999999999953399</c:v>
                </c:pt>
              </c:numCache>
            </c:numRef>
          </c:val>
        </c:ser>
        <c:ser>
          <c:idx val="1"/>
          <c:order val="1"/>
          <c:tx>
            <c:strRef>
              <c:f>'zk80+347'!$Y$4:$AA$4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'zk80+347'!$S$6:$S$41</c:f>
              <c:numCache>
                <c:formatCode>m"月"d"日";@</c:formatCode>
                <c:ptCount val="36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9.99999999997669E-2</c:v>
                </c:pt>
                <c:pt idx="3">
                  <c:v>-0.50000000000061096</c:v>
                </c:pt>
                <c:pt idx="4">
                  <c:v>-0.19999999999953399</c:v>
                </c:pt>
                <c:pt idx="5">
                  <c:v>-0.20000000000130999</c:v>
                </c:pt>
                <c:pt idx="6">
                  <c:v>-9.99999999997669E-2</c:v>
                </c:pt>
                <c:pt idx="7">
                  <c:v>-0.29999999999930099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-0.70000000000014495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-0.50000000000061096</c:v>
                </c:pt>
                <c:pt idx="14">
                  <c:v>-0.19999999999953399</c:v>
                </c:pt>
                <c:pt idx="15">
                  <c:v>-9.99999999997669E-2</c:v>
                </c:pt>
                <c:pt idx="16">
                  <c:v>-4.9999999999883499E-2</c:v>
                </c:pt>
                <c:pt idx="17">
                  <c:v>-0.15000000000053901</c:v>
                </c:pt>
                <c:pt idx="18">
                  <c:v>-9.99999999997669E-2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4.9999999999883499E-2</c:v>
                </c:pt>
                <c:pt idx="22">
                  <c:v>4.9999999999883499E-2</c:v>
                </c:pt>
                <c:pt idx="23">
                  <c:v>4.9999999999883499E-2</c:v>
                </c:pt>
                <c:pt idx="24">
                  <c:v>-0.100000000000211</c:v>
                </c:pt>
              </c:numCache>
            </c:numRef>
          </c:val>
        </c:ser>
        <c:ser>
          <c:idx val="2"/>
          <c:order val="2"/>
          <c:tx>
            <c:strRef>
              <c:f>'zk80+347'!$AC$4:$AE$4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'zk80+347'!$S$6:$S$41</c:f>
              <c:numCache>
                <c:formatCode>m"月"d"日";@</c:formatCode>
                <c:ptCount val="36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'zk80+347'!$AE$6:$AE$38</c:f>
              <c:numCache>
                <c:formatCode>0.00_ </c:formatCode>
                <c:ptCount val="33"/>
                <c:pt idx="0">
                  <c:v>0</c:v>
                </c:pt>
                <c:pt idx="1">
                  <c:v>0.19999999999953399</c:v>
                </c:pt>
                <c:pt idx="2">
                  <c:v>-0.29999999999930099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0.20000000000130999</c:v>
                </c:pt>
                <c:pt idx="6">
                  <c:v>-0.60000000000037801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-0.50000000000061096</c:v>
                </c:pt>
                <c:pt idx="10">
                  <c:v>-0.19999999999953399</c:v>
                </c:pt>
                <c:pt idx="11">
                  <c:v>-0.20000000000130999</c:v>
                </c:pt>
                <c:pt idx="12">
                  <c:v>-9.99999999997669E-2</c:v>
                </c:pt>
                <c:pt idx="13">
                  <c:v>-0.29999999998864302</c:v>
                </c:pt>
                <c:pt idx="14">
                  <c:v>-0.20000000000130999</c:v>
                </c:pt>
                <c:pt idx="15">
                  <c:v>-9.99999999997669E-2</c:v>
                </c:pt>
                <c:pt idx="16">
                  <c:v>4.99999999954426E-2</c:v>
                </c:pt>
                <c:pt idx="17">
                  <c:v>-0.24999999999497599</c:v>
                </c:pt>
                <c:pt idx="18">
                  <c:v>-0.100000000000655</c:v>
                </c:pt>
                <c:pt idx="19">
                  <c:v>-9.99999999997669E-2</c:v>
                </c:pt>
                <c:pt idx="20">
                  <c:v>4.99999999945544E-2</c:v>
                </c:pt>
                <c:pt idx="21">
                  <c:v>-4.9999999999883499E-2</c:v>
                </c:pt>
                <c:pt idx="22">
                  <c:v>-4.9999999999883499E-2</c:v>
                </c:pt>
                <c:pt idx="23">
                  <c:v>-4.9999999999883499E-2</c:v>
                </c:pt>
              </c:numCache>
            </c:numRef>
          </c:val>
        </c:ser>
        <c:dLbls/>
        <c:marker val="1"/>
        <c:axId val="347244800"/>
        <c:axId val="347263744"/>
      </c:lineChart>
      <c:dateAx>
        <c:axId val="3472448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263744"/>
        <c:crossesAt val="-50"/>
        <c:auto val="1"/>
        <c:lblOffset val="100"/>
        <c:baseTimeUnit val="days"/>
        <c:majorUnit val="4"/>
        <c:majorTimeUnit val="days"/>
      </c:dateAx>
      <c:valAx>
        <c:axId val="34726374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24480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k80+347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'zk80+347'!$C$4:$G$4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'zk80+347'!$A$6:$A$34</c:f>
              <c:numCache>
                <c:formatCode>m"月"d"日";@</c:formatCode>
                <c:ptCount val="29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'zk80+347'!$F$6:$F$29</c:f>
              <c:numCache>
                <c:formatCode>0.00_ </c:formatCode>
                <c:ptCount val="24"/>
                <c:pt idx="0">
                  <c:v>0</c:v>
                </c:pt>
                <c:pt idx="1">
                  <c:v>-0.199999999949796</c:v>
                </c:pt>
                <c:pt idx="2">
                  <c:v>-0.39999999989959201</c:v>
                </c:pt>
                <c:pt idx="3">
                  <c:v>-0.59999999996307496</c:v>
                </c:pt>
                <c:pt idx="4">
                  <c:v>-0.39999999989959201</c:v>
                </c:pt>
                <c:pt idx="5">
                  <c:v>-0.99999999997635303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-1.4999999999645299</c:v>
                </c:pt>
                <c:pt idx="9">
                  <c:v>-1.79999999988922</c:v>
                </c:pt>
                <c:pt idx="10">
                  <c:v>-1.9999999999527101</c:v>
                </c:pt>
                <c:pt idx="11">
                  <c:v>-1.69999999991433</c:v>
                </c:pt>
                <c:pt idx="12">
                  <c:v>-2.39999999996598</c:v>
                </c:pt>
                <c:pt idx="13">
                  <c:v>-2.5999999999157799</c:v>
                </c:pt>
                <c:pt idx="14">
                  <c:v>-2.79999999997926</c:v>
                </c:pt>
                <c:pt idx="15">
                  <c:v>-2.6999999998906801</c:v>
                </c:pt>
                <c:pt idx="16">
                  <c:v>-3.1999999999925399</c:v>
                </c:pt>
                <c:pt idx="17">
                  <c:v>-3.3999999999423398</c:v>
                </c:pt>
                <c:pt idx="18">
                  <c:v>-3.6000000000058199</c:v>
                </c:pt>
                <c:pt idx="19">
                  <c:v>-3.69999999998072</c:v>
                </c:pt>
                <c:pt idx="20">
                  <c:v>-3.9999999999054099</c:v>
                </c:pt>
                <c:pt idx="21">
                  <c:v>-3.8999999999305102</c:v>
                </c:pt>
                <c:pt idx="22">
                  <c:v>-3.7999999999556202</c:v>
                </c:pt>
                <c:pt idx="23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'zk80+347'!$H$4:$L$4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'zk80+347'!$A$6:$A$34</c:f>
              <c:numCache>
                <c:formatCode>m"月"d"日";@</c:formatCode>
                <c:ptCount val="29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'zk80+347'!$K$6:$K$30</c:f>
              <c:numCache>
                <c:formatCode>0.00_ </c:formatCode>
                <c:ptCount val="25"/>
                <c:pt idx="0">
                  <c:v>0</c:v>
                </c:pt>
                <c:pt idx="1">
                  <c:v>-0.70000000005165897</c:v>
                </c:pt>
                <c:pt idx="2">
                  <c:v>-0.90000000000145497</c:v>
                </c:pt>
                <c:pt idx="3">
                  <c:v>-1.1000000000649399</c:v>
                </c:pt>
                <c:pt idx="4">
                  <c:v>-1.39999999998963</c:v>
                </c:pt>
                <c:pt idx="5">
                  <c:v>-1.5000000000782201</c:v>
                </c:pt>
                <c:pt idx="6">
                  <c:v>-1.70000000002801</c:v>
                </c:pt>
                <c:pt idx="7">
                  <c:v>-1.8000000000029099</c:v>
                </c:pt>
                <c:pt idx="8">
                  <c:v>-2.1000000000412902</c:v>
                </c:pt>
                <c:pt idx="9">
                  <c:v>-2.2999999999910901</c:v>
                </c:pt>
                <c:pt idx="10">
                  <c:v>-2.2000000000161899</c:v>
                </c:pt>
                <c:pt idx="11">
                  <c:v>-2.70000000000437</c:v>
                </c:pt>
                <c:pt idx="12">
                  <c:v>-2.9000000000678501</c:v>
                </c:pt>
                <c:pt idx="13">
                  <c:v>-2.70000000000437</c:v>
                </c:pt>
                <c:pt idx="14">
                  <c:v>-3.30000000008113</c:v>
                </c:pt>
                <c:pt idx="15">
                  <c:v>-3.5000000000309202</c:v>
                </c:pt>
                <c:pt idx="16">
                  <c:v>-3.1999999999925399</c:v>
                </c:pt>
                <c:pt idx="17">
                  <c:v>-3.9000000000442001</c:v>
                </c:pt>
                <c:pt idx="18">
                  <c:v>-4.099999999994</c:v>
                </c:pt>
                <c:pt idx="19">
                  <c:v>-4.3000000000574801</c:v>
                </c:pt>
                <c:pt idx="20">
                  <c:v>-4.5000000000072804</c:v>
                </c:pt>
                <c:pt idx="21">
                  <c:v>-4.3000000000574801</c:v>
                </c:pt>
                <c:pt idx="22">
                  <c:v>-4.099999999994</c:v>
                </c:pt>
                <c:pt idx="23">
                  <c:v>-3.9000000000442001</c:v>
                </c:pt>
                <c:pt idx="24">
                  <c:v>0.10000000000332</c:v>
                </c:pt>
              </c:numCache>
            </c:numRef>
          </c:val>
        </c:ser>
        <c:ser>
          <c:idx val="2"/>
          <c:order val="2"/>
          <c:tx>
            <c:strRef>
              <c:f>'zk80+347'!$M$4:$Q$4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'zk80+347'!$A$6:$A$34</c:f>
              <c:numCache>
                <c:formatCode>m"月"d"日";@</c:formatCode>
                <c:ptCount val="29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  <c:pt idx="19">
                  <c:v>44850</c:v>
                </c:pt>
                <c:pt idx="20">
                  <c:v>44852</c:v>
                </c:pt>
                <c:pt idx="21">
                  <c:v>44854</c:v>
                </c:pt>
                <c:pt idx="22">
                  <c:v>44856</c:v>
                </c:pt>
                <c:pt idx="23">
                  <c:v>44858</c:v>
                </c:pt>
              </c:numCache>
            </c:numRef>
          </c:cat>
          <c:val>
            <c:numRef>
              <c:f>'zk80+347'!$P$6:$P$29</c:f>
              <c:numCache>
                <c:formatCode>0.00_ </c:formatCode>
                <c:ptCount val="24"/>
                <c:pt idx="0">
                  <c:v>0</c:v>
                </c:pt>
                <c:pt idx="1">
                  <c:v>-0.20000000006348301</c:v>
                </c:pt>
                <c:pt idx="2">
                  <c:v>-0.49999999998817701</c:v>
                </c:pt>
                <c:pt idx="3">
                  <c:v>-0.30000000003838101</c:v>
                </c:pt>
                <c:pt idx="4">
                  <c:v>-0.40000000001327901</c:v>
                </c:pt>
                <c:pt idx="5">
                  <c:v>-0.60000000007676102</c:v>
                </c:pt>
                <c:pt idx="6">
                  <c:v>-0.80000000002655702</c:v>
                </c:pt>
                <c:pt idx="7">
                  <c:v>-0.70000000005165897</c:v>
                </c:pt>
                <c:pt idx="8">
                  <c:v>-1.2000000000398401</c:v>
                </c:pt>
                <c:pt idx="9">
                  <c:v>-1.39999999998963</c:v>
                </c:pt>
                <c:pt idx="10">
                  <c:v>-1.5000000000782201</c:v>
                </c:pt>
                <c:pt idx="11">
                  <c:v>-1.8000000000029099</c:v>
                </c:pt>
                <c:pt idx="12">
                  <c:v>-2.00000000006639</c:v>
                </c:pt>
                <c:pt idx="13">
                  <c:v>-2.2000000000161899</c:v>
                </c:pt>
                <c:pt idx="14">
                  <c:v>-1.8000000000029099</c:v>
                </c:pt>
                <c:pt idx="15">
                  <c:v>-2.6000000000294698</c:v>
                </c:pt>
                <c:pt idx="16">
                  <c:v>-2.79999999997926</c:v>
                </c:pt>
                <c:pt idx="17">
                  <c:v>-3.0000000000427498</c:v>
                </c:pt>
                <c:pt idx="18">
                  <c:v>-2.79999999997926</c:v>
                </c:pt>
                <c:pt idx="19">
                  <c:v>-3.40000000005602</c:v>
                </c:pt>
                <c:pt idx="20">
                  <c:v>-3.6000000000058199</c:v>
                </c:pt>
                <c:pt idx="21">
                  <c:v>-3.5000000000309202</c:v>
                </c:pt>
                <c:pt idx="22">
                  <c:v>-3.40000000005602</c:v>
                </c:pt>
                <c:pt idx="23">
                  <c:v>-3.30000000008113</c:v>
                </c:pt>
              </c:numCache>
            </c:numRef>
          </c:val>
        </c:ser>
        <c:dLbls/>
        <c:marker val="1"/>
        <c:axId val="347417216"/>
        <c:axId val="347423872"/>
      </c:lineChart>
      <c:lineChart>
        <c:grouping val="standard"/>
        <c:ser>
          <c:idx val="3"/>
          <c:order val="3"/>
          <c:tx>
            <c:strRef>
              <c:f>'zk80+347'!$AG$3:$AG$5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'zk80+347'!$A$6:$A$24</c:f>
              <c:numCache>
                <c:formatCode>m"月"d"日";@</c:formatCode>
                <c:ptCount val="19"/>
                <c:pt idx="0">
                  <c:v>44826</c:v>
                </c:pt>
                <c:pt idx="1">
                  <c:v>44827</c:v>
                </c:pt>
                <c:pt idx="2">
                  <c:v>44828</c:v>
                </c:pt>
                <c:pt idx="3">
                  <c:v>44829</c:v>
                </c:pt>
                <c:pt idx="4">
                  <c:v>44830</c:v>
                </c:pt>
                <c:pt idx="5">
                  <c:v>44831</c:v>
                </c:pt>
                <c:pt idx="6">
                  <c:v>44832</c:v>
                </c:pt>
                <c:pt idx="7">
                  <c:v>44833</c:v>
                </c:pt>
                <c:pt idx="8">
                  <c:v>44834</c:v>
                </c:pt>
                <c:pt idx="9">
                  <c:v>44835</c:v>
                </c:pt>
                <c:pt idx="10">
                  <c:v>44836</c:v>
                </c:pt>
                <c:pt idx="11">
                  <c:v>44837</c:v>
                </c:pt>
                <c:pt idx="12">
                  <c:v>44838</c:v>
                </c:pt>
                <c:pt idx="13">
                  <c:v>44839</c:v>
                </c:pt>
                <c:pt idx="14">
                  <c:v>44840</c:v>
                </c:pt>
                <c:pt idx="15">
                  <c:v>44842</c:v>
                </c:pt>
                <c:pt idx="16">
                  <c:v>44844</c:v>
                </c:pt>
                <c:pt idx="17">
                  <c:v>44846</c:v>
                </c:pt>
                <c:pt idx="18">
                  <c:v>44848</c:v>
                </c:pt>
              </c:numCache>
            </c:numRef>
          </c:cat>
          <c:val>
            <c:numRef>
              <c:f>'zk80+347'!$AG$6:$AG$31</c:f>
              <c:numCache>
                <c:formatCode>0.0_ </c:formatCode>
                <c:ptCount val="26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35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47</c:v>
                </c:pt>
                <c:pt idx="14">
                  <c:v>50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</c:numCache>
            </c:numRef>
          </c:val>
        </c:ser>
        <c:dLbls/>
        <c:marker val="1"/>
        <c:axId val="347425792"/>
        <c:axId val="347443968"/>
      </c:lineChart>
      <c:dateAx>
        <c:axId val="3474172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423872"/>
        <c:crossesAt val="-50"/>
        <c:auto val="1"/>
        <c:lblOffset val="100"/>
        <c:baseTimeUnit val="days"/>
        <c:majorUnit val="4"/>
        <c:majorTimeUnit val="days"/>
      </c:dateAx>
      <c:valAx>
        <c:axId val="34742387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417216"/>
        <c:crosses val="autoZero"/>
        <c:crossBetween val="midCat"/>
        <c:majorUnit val="1.2"/>
        <c:minorUnit val="0.5"/>
      </c:valAx>
      <c:dateAx>
        <c:axId val="3474257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7443968"/>
        <c:crosses val="autoZero"/>
        <c:auto val="1"/>
        <c:lblOffset val="100"/>
        <c:baseTimeUnit val="days"/>
      </c:dateAx>
      <c:valAx>
        <c:axId val="34744396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42579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80+371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'zk80+371'!$U$4:$W$4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'zk80+371'!$S$6:$S$27</c:f>
              <c:numCache>
                <c:formatCode>m"月"d"日";@</c:formatCode>
                <c:ptCount val="22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-0.59999999999860198</c:v>
                </c:pt>
                <c:pt idx="4">
                  <c:v>-0.70000000000014495</c:v>
                </c:pt>
                <c:pt idx="5">
                  <c:v>-0.999999999999446</c:v>
                </c:pt>
                <c:pt idx="6">
                  <c:v>-1.1999999999989801</c:v>
                </c:pt>
                <c:pt idx="7">
                  <c:v>-1.39999999999851</c:v>
                </c:pt>
                <c:pt idx="8">
                  <c:v>-1.2999999999987499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-2.1999999999984299</c:v>
                </c:pt>
                <c:pt idx="12">
                  <c:v>-2.2999999999999701</c:v>
                </c:pt>
                <c:pt idx="13">
                  <c:v>-2.3999999999997401</c:v>
                </c:pt>
                <c:pt idx="14">
                  <c:v>-2.2999999999999701</c:v>
                </c:pt>
                <c:pt idx="15">
                  <c:v>-2.6000000000099299</c:v>
                </c:pt>
                <c:pt idx="16">
                  <c:v>-2.7000000000096902</c:v>
                </c:pt>
                <c:pt idx="17">
                  <c:v>-2.8000000000094598</c:v>
                </c:pt>
                <c:pt idx="18">
                  <c:v>-2.6999999999990401</c:v>
                </c:pt>
                <c:pt idx="19">
                  <c:v>-3.0000000000089999</c:v>
                </c:pt>
                <c:pt idx="20">
                  <c:v>-3.1000000000087602</c:v>
                </c:pt>
                <c:pt idx="21">
                  <c:v>-2.8999999999985699</c:v>
                </c:pt>
                <c:pt idx="22">
                  <c:v>-0.999999999999446</c:v>
                </c:pt>
              </c:numCache>
            </c:numRef>
          </c:val>
        </c:ser>
        <c:ser>
          <c:idx val="1"/>
          <c:order val="1"/>
          <c:tx>
            <c:strRef>
              <c:f>'zk80+371'!$Y$4:$AA$4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'zk80+371'!$S$6:$S$27</c:f>
              <c:numCache>
                <c:formatCode>m"月"d"日";@</c:formatCode>
                <c:ptCount val="22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'zk80+371'!$Z$6:$Z$33</c:f>
              <c:numCache>
                <c:formatCode>0.00_ </c:formatCode>
                <c:ptCount val="28"/>
                <c:pt idx="0">
                  <c:v>0</c:v>
                </c:pt>
                <c:pt idx="1">
                  <c:v>-0.30000000000107702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-0.90000000000145497</c:v>
                </c:pt>
                <c:pt idx="5">
                  <c:v>-1.10000000000099</c:v>
                </c:pt>
                <c:pt idx="6">
                  <c:v>-1.3000000000005201</c:v>
                </c:pt>
                <c:pt idx="7">
                  <c:v>-1.20000000000076</c:v>
                </c:pt>
                <c:pt idx="8">
                  <c:v>-1.70000000000137</c:v>
                </c:pt>
                <c:pt idx="9">
                  <c:v>-1.9000000000009001</c:v>
                </c:pt>
                <c:pt idx="10">
                  <c:v>-2.10000000000043</c:v>
                </c:pt>
                <c:pt idx="11">
                  <c:v>-2.2000000000002</c:v>
                </c:pt>
                <c:pt idx="12">
                  <c:v>-2.10000000000043</c:v>
                </c:pt>
                <c:pt idx="13">
                  <c:v>-2.5000000000012799</c:v>
                </c:pt>
                <c:pt idx="14">
                  <c:v>-1.9000000000009001</c:v>
                </c:pt>
                <c:pt idx="15">
                  <c:v>-1.80000000000113</c:v>
                </c:pt>
                <c:pt idx="16">
                  <c:v>-2.7000000000008102</c:v>
                </c:pt>
                <c:pt idx="17">
                  <c:v>-2.8000000000005798</c:v>
                </c:pt>
                <c:pt idx="18">
                  <c:v>-2.9000000000003499</c:v>
                </c:pt>
                <c:pt idx="19">
                  <c:v>-3.40000000000096</c:v>
                </c:pt>
                <c:pt idx="20">
                  <c:v>-3.2000000000014199</c:v>
                </c:pt>
                <c:pt idx="21">
                  <c:v>-3.0999999999998802</c:v>
                </c:pt>
                <c:pt idx="22">
                  <c:v>-3.2999999999994101</c:v>
                </c:pt>
              </c:numCache>
            </c:numRef>
          </c:val>
        </c:ser>
        <c:ser>
          <c:idx val="2"/>
          <c:order val="2"/>
          <c:tx>
            <c:strRef>
              <c:f>'zk80+371'!$AC$4:$AE$4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'zk80+371'!$S$6:$S$27</c:f>
              <c:numCache>
                <c:formatCode>m"月"d"日";@</c:formatCode>
                <c:ptCount val="22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-0.49999999999883499</c:v>
                </c:pt>
                <c:pt idx="2">
                  <c:v>-0.70000000000014495</c:v>
                </c:pt>
                <c:pt idx="3">
                  <c:v>-0.799999999999912</c:v>
                </c:pt>
                <c:pt idx="4">
                  <c:v>-1.0999999999992101</c:v>
                </c:pt>
                <c:pt idx="5">
                  <c:v>-1.2999999999987499</c:v>
                </c:pt>
                <c:pt idx="6">
                  <c:v>-1.50000000000894</c:v>
                </c:pt>
                <c:pt idx="7">
                  <c:v>-1.59999999999982</c:v>
                </c:pt>
                <c:pt idx="8">
                  <c:v>-1.9000000000097801</c:v>
                </c:pt>
                <c:pt idx="9">
                  <c:v>-2.1000000000093202</c:v>
                </c:pt>
                <c:pt idx="10">
                  <c:v>-2.3000000000088501</c:v>
                </c:pt>
                <c:pt idx="11">
                  <c:v>-2.4999999999995</c:v>
                </c:pt>
                <c:pt idx="12">
                  <c:v>-2.59999999999927</c:v>
                </c:pt>
                <c:pt idx="13">
                  <c:v>-2.6999999999990401</c:v>
                </c:pt>
                <c:pt idx="14">
                  <c:v>-2.7999999999987999</c:v>
                </c:pt>
                <c:pt idx="15">
                  <c:v>-3.0000000000001101</c:v>
                </c:pt>
                <c:pt idx="16">
                  <c:v>-3.0000000000001101</c:v>
                </c:pt>
                <c:pt idx="17">
                  <c:v>-3.0999999999998802</c:v>
                </c:pt>
                <c:pt idx="18">
                  <c:v>-3.0999999999998802</c:v>
                </c:pt>
                <c:pt idx="19">
                  <c:v>-3.2999999999994101</c:v>
                </c:pt>
                <c:pt idx="20">
                  <c:v>-3.4999999999989502</c:v>
                </c:pt>
                <c:pt idx="21">
                  <c:v>-3.2999999999994101</c:v>
                </c:pt>
              </c:numCache>
            </c:numRef>
          </c:val>
        </c:ser>
        <c:dLbls/>
        <c:marker val="1"/>
        <c:axId val="347519616"/>
        <c:axId val="347530368"/>
      </c:lineChart>
      <c:lineChart>
        <c:grouping val="standard"/>
        <c:ser>
          <c:idx val="3"/>
          <c:order val="3"/>
          <c:tx>
            <c:strRef>
              <c:f>'zk80+371'!$AG$3:$AG$5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'zk80+371'!$S$6:$S$27</c:f>
              <c:numCache>
                <c:formatCode>m"月"d"日";@</c:formatCode>
                <c:ptCount val="22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'zk80+371'!$AG$6:$AG$31</c:f>
              <c:numCache>
                <c:formatCode>0.0_ </c:formatCode>
                <c:ptCount val="26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12</c:v>
                </c:pt>
                <c:pt idx="5">
                  <c:v>14</c:v>
                </c:pt>
                <c:pt idx="6">
                  <c:v>16</c:v>
                </c:pt>
                <c:pt idx="7">
                  <c:v>18</c:v>
                </c:pt>
                <c:pt idx="8">
                  <c:v>20</c:v>
                </c:pt>
                <c:pt idx="9">
                  <c:v>22</c:v>
                </c:pt>
                <c:pt idx="10">
                  <c:v>24</c:v>
                </c:pt>
                <c:pt idx="11">
                  <c:v>26</c:v>
                </c:pt>
                <c:pt idx="12">
                  <c:v>28</c:v>
                </c:pt>
                <c:pt idx="13">
                  <c:v>30</c:v>
                </c:pt>
                <c:pt idx="14">
                  <c:v>32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40</c:v>
                </c:pt>
                <c:pt idx="19">
                  <c:v>42</c:v>
                </c:pt>
                <c:pt idx="20">
                  <c:v>44</c:v>
                </c:pt>
                <c:pt idx="21">
                  <c:v>46</c:v>
                </c:pt>
              </c:numCache>
            </c:numRef>
          </c:val>
        </c:ser>
        <c:dLbls/>
        <c:marker val="1"/>
        <c:axId val="347532288"/>
        <c:axId val="347345664"/>
      </c:lineChart>
      <c:dateAx>
        <c:axId val="3475196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530368"/>
        <c:crossesAt val="-50"/>
        <c:auto val="1"/>
        <c:lblOffset val="100"/>
        <c:baseTimeUnit val="days"/>
        <c:majorUnit val="3"/>
        <c:majorTimeUnit val="days"/>
      </c:dateAx>
      <c:valAx>
        <c:axId val="34753036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519616"/>
        <c:crosses val="autoZero"/>
        <c:crossBetween val="midCat"/>
        <c:majorUnit val="1.4"/>
        <c:minorUnit val="0.1"/>
      </c:valAx>
      <c:dateAx>
        <c:axId val="34753228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7345664"/>
        <c:crosses val="autoZero"/>
        <c:auto val="1"/>
        <c:lblOffset val="100"/>
        <c:baseTimeUnit val="days"/>
      </c:dateAx>
      <c:valAx>
        <c:axId val="347345664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53228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80+371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'zk80+371'!$C$4:$G$4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'zk80+371'!$A$6:$A$38</c:f>
              <c:numCache>
                <c:formatCode>m"月"d"日";@</c:formatCode>
                <c:ptCount val="33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-0.199999999949796</c:v>
                </c:pt>
                <c:pt idx="13">
                  <c:v>-0.20000000006348301</c:v>
                </c:pt>
                <c:pt idx="14">
                  <c:v>-0.29999999992469401</c:v>
                </c:pt>
                <c:pt idx="15">
                  <c:v>-5.0000000044292399E-2</c:v>
                </c:pt>
                <c:pt idx="16">
                  <c:v>-9.9999999974897905E-2</c:v>
                </c:pt>
                <c:pt idx="17">
                  <c:v>9.9999999974897905E-2</c:v>
                </c:pt>
                <c:pt idx="18">
                  <c:v>-0.29999999998153698</c:v>
                </c:pt>
                <c:pt idx="19">
                  <c:v>-9.9999999974897905E-2</c:v>
                </c:pt>
                <c:pt idx="20">
                  <c:v>-5.0000000044292399E-2</c:v>
                </c:pt>
                <c:pt idx="21">
                  <c:v>5.0000000044292399E-2</c:v>
                </c:pt>
                <c:pt idx="22">
                  <c:v>-1.8000000000029099</c:v>
                </c:pt>
              </c:numCache>
            </c:numRef>
          </c:val>
        </c:ser>
        <c:ser>
          <c:idx val="1"/>
          <c:order val="1"/>
          <c:tx>
            <c:strRef>
              <c:f>'zk80+371'!$H$4:$L$4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'zk80+371'!$A$6:$A$38</c:f>
              <c:numCache>
                <c:formatCode>m"月"d"日";@</c:formatCode>
                <c:ptCount val="33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'zk80+371'!$L$6:$L$35</c:f>
              <c:numCache>
                <c:formatCode>0.00_ </c:formatCode>
                <c:ptCount val="30"/>
                <c:pt idx="0">
                  <c:v>0</c:v>
                </c:pt>
                <c:pt idx="1">
                  <c:v>-0.30000000003838101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-0.20000000006348301</c:v>
                </c:pt>
                <c:pt idx="8">
                  <c:v>0.10000000008858501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-0.10000000008858501</c:v>
                </c:pt>
                <c:pt idx="13">
                  <c:v>-9.9999999974897905E-2</c:v>
                </c:pt>
                <c:pt idx="14">
                  <c:v>0.20000000006348301</c:v>
                </c:pt>
                <c:pt idx="15">
                  <c:v>-0.20000000000663901</c:v>
                </c:pt>
                <c:pt idx="16">
                  <c:v>-4.9999999987449001E-2</c:v>
                </c:pt>
                <c:pt idx="17">
                  <c:v>-0.100000000031741</c:v>
                </c:pt>
                <c:pt idx="18">
                  <c:v>0</c:v>
                </c:pt>
                <c:pt idx="19">
                  <c:v>-4.9999999987449001E-2</c:v>
                </c:pt>
                <c:pt idx="20">
                  <c:v>-0.100000000031741</c:v>
                </c:pt>
                <c:pt idx="21">
                  <c:v>0.15000000001919001</c:v>
                </c:pt>
              </c:numCache>
            </c:numRef>
          </c:val>
        </c:ser>
        <c:ser>
          <c:idx val="2"/>
          <c:order val="2"/>
          <c:tx>
            <c:strRef>
              <c:f>'zk80+371'!$M$4:$Q$4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'zk80+371'!$A$6:$A$38</c:f>
              <c:numCache>
                <c:formatCode>m"月"d"日";@</c:formatCode>
                <c:ptCount val="33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-0.199999999949796</c:v>
                </c:pt>
                <c:pt idx="10">
                  <c:v>0.30000000003838101</c:v>
                </c:pt>
                <c:pt idx="11">
                  <c:v>-0.70000000005165897</c:v>
                </c:pt>
                <c:pt idx="12">
                  <c:v>-0.30000000003838101</c:v>
                </c:pt>
                <c:pt idx="13">
                  <c:v>-0.29999999992469401</c:v>
                </c:pt>
                <c:pt idx="14">
                  <c:v>9.9999999974897905E-2</c:v>
                </c:pt>
                <c:pt idx="15">
                  <c:v>-0.35000000002582998</c:v>
                </c:pt>
                <c:pt idx="16">
                  <c:v>-0.149999999962347</c:v>
                </c:pt>
                <c:pt idx="17">
                  <c:v>0.20000000000663901</c:v>
                </c:pt>
                <c:pt idx="18">
                  <c:v>-0.50000000004501999</c:v>
                </c:pt>
                <c:pt idx="19">
                  <c:v>-0.149999999962347</c:v>
                </c:pt>
                <c:pt idx="20">
                  <c:v>0</c:v>
                </c:pt>
                <c:pt idx="21">
                  <c:v>0.149999999962347</c:v>
                </c:pt>
              </c:numCache>
            </c:numRef>
          </c:val>
        </c:ser>
        <c:dLbls/>
        <c:marker val="1"/>
        <c:axId val="347378816"/>
        <c:axId val="347381120"/>
      </c:lineChart>
      <c:dateAx>
        <c:axId val="3473788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381120"/>
        <c:crossesAt val="-50"/>
        <c:auto val="1"/>
        <c:lblOffset val="100"/>
        <c:baseTimeUnit val="days"/>
        <c:majorUnit val="3"/>
        <c:majorTimeUnit val="days"/>
      </c:dateAx>
      <c:valAx>
        <c:axId val="34738112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37881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80+371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'zk80+371'!$U$4:$W$4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'zk80+371'!$S$6:$S$41</c:f>
              <c:numCache>
                <c:formatCode>m"月"d"日";@</c:formatCode>
                <c:ptCount val="36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0.49999999999883499</c:v>
                </c:pt>
                <c:pt idx="4">
                  <c:v>0.10000000000154299</c:v>
                </c:pt>
                <c:pt idx="5">
                  <c:v>0.29999999999930099</c:v>
                </c:pt>
                <c:pt idx="6">
                  <c:v>0.19999999999953399</c:v>
                </c:pt>
                <c:pt idx="7">
                  <c:v>0.19999999999953399</c:v>
                </c:pt>
                <c:pt idx="8">
                  <c:v>-9.99999999997669E-2</c:v>
                </c:pt>
                <c:pt idx="9">
                  <c:v>0.50000000000061096</c:v>
                </c:pt>
                <c:pt idx="10">
                  <c:v>0.19999999999953399</c:v>
                </c:pt>
                <c:pt idx="11">
                  <c:v>0.19999999999953399</c:v>
                </c:pt>
                <c:pt idx="12">
                  <c:v>0.10000000000154299</c:v>
                </c:pt>
                <c:pt idx="13">
                  <c:v>9.99999999997669E-2</c:v>
                </c:pt>
                <c:pt idx="14">
                  <c:v>-9.99999999997669E-2</c:v>
                </c:pt>
                <c:pt idx="15">
                  <c:v>0.15000000000497901</c:v>
                </c:pt>
                <c:pt idx="16">
                  <c:v>4.9999999999883499E-2</c:v>
                </c:pt>
                <c:pt idx="17">
                  <c:v>4.9999999999883499E-2</c:v>
                </c:pt>
                <c:pt idx="18">
                  <c:v>-5.00000000052125E-2</c:v>
                </c:pt>
                <c:pt idx="19">
                  <c:v>0.15000000000497901</c:v>
                </c:pt>
                <c:pt idx="20">
                  <c:v>4.9999999999883499E-2</c:v>
                </c:pt>
                <c:pt idx="21">
                  <c:v>-0.100000000005096</c:v>
                </c:pt>
                <c:pt idx="22">
                  <c:v>-0.70000000000014495</c:v>
                </c:pt>
              </c:numCache>
            </c:numRef>
          </c:val>
        </c:ser>
        <c:ser>
          <c:idx val="1"/>
          <c:order val="1"/>
          <c:tx>
            <c:strRef>
              <c:f>'zk80+371'!$Y$4:$AA$4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'zk80+371'!$S$6:$S$41</c:f>
              <c:numCache>
                <c:formatCode>m"月"d"日";@</c:formatCode>
                <c:ptCount val="36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-0.30000000000107702</c:v>
                </c:pt>
                <c:pt idx="2">
                  <c:v>-0.19999999999953399</c:v>
                </c:pt>
                <c:pt idx="3">
                  <c:v>-9.99999999997669E-2</c:v>
                </c:pt>
                <c:pt idx="4">
                  <c:v>-0.30000000000107702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-9.99999999997669E-2</c:v>
                </c:pt>
                <c:pt idx="12">
                  <c:v>9.99999999997669E-2</c:v>
                </c:pt>
                <c:pt idx="13">
                  <c:v>-0.40000000000084401</c:v>
                </c:pt>
                <c:pt idx="14">
                  <c:v>0.60000000000037801</c:v>
                </c:pt>
                <c:pt idx="15">
                  <c:v>4.9999999999883499E-2</c:v>
                </c:pt>
                <c:pt idx="16">
                  <c:v>-0.44999999999983897</c:v>
                </c:pt>
                <c:pt idx="17">
                  <c:v>-4.9999999999883499E-2</c:v>
                </c:pt>
                <c:pt idx="18">
                  <c:v>-4.9999999999883499E-2</c:v>
                </c:pt>
                <c:pt idx="19">
                  <c:v>-0.25000000000030598</c:v>
                </c:pt>
                <c:pt idx="20">
                  <c:v>9.99999999997669E-2</c:v>
                </c:pt>
                <c:pt idx="21">
                  <c:v>5.0000000000771601E-2</c:v>
                </c:pt>
                <c:pt idx="22">
                  <c:v>-4.66666666666763E-2</c:v>
                </c:pt>
              </c:numCache>
            </c:numRef>
          </c:val>
        </c:ser>
        <c:ser>
          <c:idx val="2"/>
          <c:order val="2"/>
          <c:tx>
            <c:strRef>
              <c:f>'zk80+371'!$AC$4:$AE$4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'zk80+371'!$S$6:$S$41</c:f>
              <c:numCache>
                <c:formatCode>m"月"d"日";@</c:formatCode>
                <c:ptCount val="36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-0.49999999999883499</c:v>
                </c:pt>
                <c:pt idx="2">
                  <c:v>-0.20000000000130999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-0.19999999999953399</c:v>
                </c:pt>
                <c:pt idx="6">
                  <c:v>-0.200000000010192</c:v>
                </c:pt>
                <c:pt idx="7">
                  <c:v>-9.9999999990885199E-2</c:v>
                </c:pt>
                <c:pt idx="8">
                  <c:v>-0.30000000000995902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-0.19999999999065199</c:v>
                </c:pt>
                <c:pt idx="12">
                  <c:v>-9.99999999997669E-2</c:v>
                </c:pt>
                <c:pt idx="13">
                  <c:v>-9.99999999997669E-2</c:v>
                </c:pt>
                <c:pt idx="14">
                  <c:v>-9.99999999997669E-2</c:v>
                </c:pt>
                <c:pt idx="15">
                  <c:v>-0.100000000000655</c:v>
                </c:pt>
                <c:pt idx="16">
                  <c:v>0</c:v>
                </c:pt>
                <c:pt idx="17">
                  <c:v>-4.9999999999883499E-2</c:v>
                </c:pt>
                <c:pt idx="18">
                  <c:v>0</c:v>
                </c:pt>
                <c:pt idx="19">
                  <c:v>-9.99999999997669E-2</c:v>
                </c:pt>
                <c:pt idx="20">
                  <c:v>-9.99999999997669E-2</c:v>
                </c:pt>
                <c:pt idx="21">
                  <c:v>9.99999999997669E-2</c:v>
                </c:pt>
              </c:numCache>
            </c:numRef>
          </c:val>
        </c:ser>
        <c:dLbls/>
        <c:marker val="1"/>
        <c:axId val="347641728"/>
        <c:axId val="347664768"/>
      </c:lineChart>
      <c:dateAx>
        <c:axId val="3476417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664768"/>
        <c:crossesAt val="-50"/>
        <c:auto val="1"/>
        <c:lblOffset val="100"/>
        <c:baseTimeUnit val="days"/>
        <c:majorUnit val="3"/>
        <c:majorTimeUnit val="days"/>
      </c:dateAx>
      <c:valAx>
        <c:axId val="34766476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764172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k80+371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'zk80+371'!$C$4:$G$4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'zk80+371'!$A$6:$A$34</c:f>
              <c:numCache>
                <c:formatCode>m"月"d"日";@</c:formatCode>
                <c:ptCount val="29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'zk80+371'!$F$6:$F$27</c:f>
              <c:numCache>
                <c:formatCode>0.00_ </c:formatCode>
                <c:ptCount val="22"/>
                <c:pt idx="0">
                  <c:v>0</c:v>
                </c:pt>
                <c:pt idx="1">
                  <c:v>-0.199999999949796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-0.90000000000145497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-2.0999999999275998</c:v>
                </c:pt>
                <c:pt idx="13">
                  <c:v>-2.2999999999910901</c:v>
                </c:pt>
                <c:pt idx="14">
                  <c:v>-2.5999999999157799</c:v>
                </c:pt>
                <c:pt idx="15">
                  <c:v>-2.70000000000437</c:v>
                </c:pt>
                <c:pt idx="16">
                  <c:v>-2.8999999999541601</c:v>
                </c:pt>
                <c:pt idx="17">
                  <c:v>-2.70000000000437</c:v>
                </c:pt>
                <c:pt idx="18">
                  <c:v>-3.2999999999674401</c:v>
                </c:pt>
                <c:pt idx="19">
                  <c:v>-3.49999999991724</c:v>
                </c:pt>
                <c:pt idx="20">
                  <c:v>-3.6000000000058199</c:v>
                </c:pt>
                <c:pt idx="21">
                  <c:v>-3.49999999991724</c:v>
                </c:pt>
              </c:numCache>
            </c:numRef>
          </c:val>
        </c:ser>
        <c:ser>
          <c:idx val="1"/>
          <c:order val="1"/>
          <c:tx>
            <c:strRef>
              <c:f>'zk80+371'!$H$4:$L$4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'zk80+371'!$A$6:$A$34</c:f>
              <c:numCache>
                <c:formatCode>m"月"d"日";@</c:formatCode>
                <c:ptCount val="29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'zk80+371'!$K$6:$K$30</c:f>
              <c:numCache>
                <c:formatCode>0.00_ </c:formatCode>
                <c:ptCount val="25"/>
                <c:pt idx="0">
                  <c:v>0</c:v>
                </c:pt>
                <c:pt idx="1">
                  <c:v>-0.30000000003838101</c:v>
                </c:pt>
                <c:pt idx="2">
                  <c:v>-0.49999999998817701</c:v>
                </c:pt>
                <c:pt idx="3">
                  <c:v>-0.70000000005165897</c:v>
                </c:pt>
                <c:pt idx="4">
                  <c:v>-0.60000000007676102</c:v>
                </c:pt>
                <c:pt idx="5">
                  <c:v>-1.1000000000649399</c:v>
                </c:pt>
                <c:pt idx="6">
                  <c:v>-1.30000000001473</c:v>
                </c:pt>
                <c:pt idx="7">
                  <c:v>-1.5000000000782201</c:v>
                </c:pt>
                <c:pt idx="8">
                  <c:v>-1.39999999998963</c:v>
                </c:pt>
                <c:pt idx="9">
                  <c:v>-1.8999999999778101</c:v>
                </c:pt>
                <c:pt idx="10">
                  <c:v>-2.1000000000412902</c:v>
                </c:pt>
                <c:pt idx="11">
                  <c:v>-2.2999999999910901</c:v>
                </c:pt>
                <c:pt idx="12">
                  <c:v>-2.40000000007967</c:v>
                </c:pt>
                <c:pt idx="13">
                  <c:v>-2.5000000000545701</c:v>
                </c:pt>
                <c:pt idx="14">
                  <c:v>-2.2999999999910901</c:v>
                </c:pt>
                <c:pt idx="15">
                  <c:v>-2.70000000000437</c:v>
                </c:pt>
                <c:pt idx="16">
                  <c:v>-2.79999999997926</c:v>
                </c:pt>
                <c:pt idx="17">
                  <c:v>-3.0000000000427498</c:v>
                </c:pt>
                <c:pt idx="18">
                  <c:v>-3.0000000000427498</c:v>
                </c:pt>
                <c:pt idx="19">
                  <c:v>-3.1000000000176402</c:v>
                </c:pt>
                <c:pt idx="20">
                  <c:v>-3.30000000008113</c:v>
                </c:pt>
                <c:pt idx="21">
                  <c:v>-3.0000000000427498</c:v>
                </c:pt>
                <c:pt idx="22">
                  <c:v>-0.12000000000019399</c:v>
                </c:pt>
              </c:numCache>
            </c:numRef>
          </c:val>
        </c:ser>
        <c:ser>
          <c:idx val="2"/>
          <c:order val="2"/>
          <c:tx>
            <c:strRef>
              <c:f>'zk80+371'!$M$4:$Q$4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'zk80+371'!$A$6:$A$34</c:f>
              <c:numCache>
                <c:formatCode>m"月"d"日";@</c:formatCode>
                <c:ptCount val="29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  <c:pt idx="19">
                  <c:v>44866</c:v>
                </c:pt>
                <c:pt idx="20">
                  <c:v>44868</c:v>
                </c:pt>
                <c:pt idx="21">
                  <c:v>44870</c:v>
                </c:pt>
              </c:numCache>
            </c:numRef>
          </c:cat>
          <c:val>
            <c:numRef>
              <c:f>'zk80+371'!$P$6:$P$28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-0.69999999993797202</c:v>
                </c:pt>
                <c:pt idx="6">
                  <c:v>-0.99999999997635303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-1.1999999999261499</c:v>
                </c:pt>
                <c:pt idx="11">
                  <c:v>-1.8999999999778101</c:v>
                </c:pt>
                <c:pt idx="12">
                  <c:v>-2.2000000000161899</c:v>
                </c:pt>
                <c:pt idx="13">
                  <c:v>-2.4999999999408802</c:v>
                </c:pt>
                <c:pt idx="14">
                  <c:v>-2.39999999996598</c:v>
                </c:pt>
                <c:pt idx="15">
                  <c:v>-3.1000000000176402</c:v>
                </c:pt>
                <c:pt idx="16">
                  <c:v>-3.3999999999423398</c:v>
                </c:pt>
                <c:pt idx="17">
                  <c:v>-2.9999999999290599</c:v>
                </c:pt>
                <c:pt idx="18">
                  <c:v>-4.0000000000191003</c:v>
                </c:pt>
                <c:pt idx="19">
                  <c:v>-4.2999999999437897</c:v>
                </c:pt>
                <c:pt idx="20">
                  <c:v>-4.2999999999437897</c:v>
                </c:pt>
                <c:pt idx="21">
                  <c:v>-4.0000000000191003</c:v>
                </c:pt>
              </c:numCache>
            </c:numRef>
          </c:val>
        </c:ser>
        <c:dLbls/>
        <c:marker val="1"/>
        <c:axId val="363604224"/>
        <c:axId val="363610880"/>
      </c:lineChart>
      <c:lineChart>
        <c:grouping val="standard"/>
        <c:ser>
          <c:idx val="3"/>
          <c:order val="3"/>
          <c:tx>
            <c:strRef>
              <c:f>'zk80+371'!$AG$3:$AG$5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'zk80+371'!$A$6:$A$24</c:f>
              <c:numCache>
                <c:formatCode>m"月"d"日";@</c:formatCode>
                <c:ptCount val="19"/>
                <c:pt idx="0">
                  <c:v>44842</c:v>
                </c:pt>
                <c:pt idx="1">
                  <c:v>44843</c:v>
                </c:pt>
                <c:pt idx="2">
                  <c:v>44844</c:v>
                </c:pt>
                <c:pt idx="3">
                  <c:v>44845</c:v>
                </c:pt>
                <c:pt idx="4">
                  <c:v>44846</c:v>
                </c:pt>
                <c:pt idx="5">
                  <c:v>44847</c:v>
                </c:pt>
                <c:pt idx="6">
                  <c:v>44848</c:v>
                </c:pt>
                <c:pt idx="7">
                  <c:v>44849</c:v>
                </c:pt>
                <c:pt idx="8">
                  <c:v>44850</c:v>
                </c:pt>
                <c:pt idx="9">
                  <c:v>44851</c:v>
                </c:pt>
                <c:pt idx="10">
                  <c:v>44852</c:v>
                </c:pt>
                <c:pt idx="11">
                  <c:v>44853</c:v>
                </c:pt>
                <c:pt idx="12">
                  <c:v>44854</c:v>
                </c:pt>
                <c:pt idx="13">
                  <c:v>44855</c:v>
                </c:pt>
                <c:pt idx="14">
                  <c:v>44856</c:v>
                </c:pt>
                <c:pt idx="15">
                  <c:v>44858</c:v>
                </c:pt>
                <c:pt idx="16">
                  <c:v>44860</c:v>
                </c:pt>
                <c:pt idx="17">
                  <c:v>44862</c:v>
                </c:pt>
                <c:pt idx="18">
                  <c:v>44864</c:v>
                </c:pt>
              </c:numCache>
            </c:numRef>
          </c:cat>
          <c:val>
            <c:numRef>
              <c:f>'zk80+371'!$AG$6:$AG$31</c:f>
              <c:numCache>
                <c:formatCode>0.0_ </c:formatCode>
                <c:ptCount val="26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12</c:v>
                </c:pt>
                <c:pt idx="5">
                  <c:v>14</c:v>
                </c:pt>
                <c:pt idx="6">
                  <c:v>16</c:v>
                </c:pt>
                <c:pt idx="7">
                  <c:v>18</c:v>
                </c:pt>
                <c:pt idx="8">
                  <c:v>20</c:v>
                </c:pt>
                <c:pt idx="9">
                  <c:v>22</c:v>
                </c:pt>
                <c:pt idx="10">
                  <c:v>24</c:v>
                </c:pt>
                <c:pt idx="11">
                  <c:v>26</c:v>
                </c:pt>
                <c:pt idx="12">
                  <c:v>28</c:v>
                </c:pt>
                <c:pt idx="13">
                  <c:v>30</c:v>
                </c:pt>
                <c:pt idx="14">
                  <c:v>32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40</c:v>
                </c:pt>
                <c:pt idx="19">
                  <c:v>42</c:v>
                </c:pt>
                <c:pt idx="20">
                  <c:v>44</c:v>
                </c:pt>
                <c:pt idx="21">
                  <c:v>46</c:v>
                </c:pt>
              </c:numCache>
            </c:numRef>
          </c:val>
        </c:ser>
        <c:dLbls/>
        <c:marker val="1"/>
        <c:axId val="363612800"/>
        <c:axId val="363626880"/>
      </c:lineChart>
      <c:dateAx>
        <c:axId val="3636042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610880"/>
        <c:crossesAt val="-50"/>
        <c:auto val="1"/>
        <c:lblOffset val="100"/>
        <c:baseTimeUnit val="days"/>
        <c:majorUnit val="3"/>
        <c:majorTimeUnit val="days"/>
      </c:dateAx>
      <c:valAx>
        <c:axId val="363610880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604224"/>
        <c:crosses val="autoZero"/>
        <c:crossBetween val="midCat"/>
        <c:majorUnit val="1.2"/>
        <c:minorUnit val="0.5"/>
      </c:valAx>
      <c:dateAx>
        <c:axId val="36361280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63626880"/>
        <c:crosses val="autoZero"/>
        <c:auto val="1"/>
        <c:lblOffset val="100"/>
        <c:baseTimeUnit val="days"/>
      </c:dateAx>
      <c:valAx>
        <c:axId val="36362688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61280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'zk80+406'!$U$4:$W$4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'zk80+406'!$S$6:$S$27</c:f>
              <c:numCache>
                <c:formatCode>m"月"d"日";@</c:formatCode>
                <c:ptCount val="22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-0.59999999999860198</c:v>
                </c:pt>
                <c:pt idx="4">
                  <c:v>-0.70000000000014495</c:v>
                </c:pt>
                <c:pt idx="5">
                  <c:v>-0.999999999999446</c:v>
                </c:pt>
                <c:pt idx="6">
                  <c:v>-1.1999999999989801</c:v>
                </c:pt>
                <c:pt idx="7">
                  <c:v>-1.39999999999851</c:v>
                </c:pt>
                <c:pt idx="8">
                  <c:v>-1.2999999999987499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-2.1999999999984299</c:v>
                </c:pt>
                <c:pt idx="12">
                  <c:v>-2.2999999999999701</c:v>
                </c:pt>
                <c:pt idx="13">
                  <c:v>-2.3999999999997401</c:v>
                </c:pt>
                <c:pt idx="14">
                  <c:v>-2.2999999999999701</c:v>
                </c:pt>
                <c:pt idx="15">
                  <c:v>-2.6000000000099299</c:v>
                </c:pt>
                <c:pt idx="16">
                  <c:v>-2.7000000000096902</c:v>
                </c:pt>
                <c:pt idx="17">
                  <c:v>-2.8000000000094598</c:v>
                </c:pt>
                <c:pt idx="18">
                  <c:v>-2.6999999999990401</c:v>
                </c:pt>
                <c:pt idx="19">
                  <c:v>-3.0000000000089999</c:v>
                </c:pt>
                <c:pt idx="20">
                  <c:v>-3.1000000000087602</c:v>
                </c:pt>
                <c:pt idx="21">
                  <c:v>-3.6000000000004899</c:v>
                </c:pt>
              </c:numCache>
            </c:numRef>
          </c:val>
        </c:ser>
        <c:ser>
          <c:idx val="1"/>
          <c:order val="1"/>
          <c:tx>
            <c:strRef>
              <c:f>'zk80+406'!$Y$4:$AA$4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'zk80+406'!$S$6:$S$27</c:f>
              <c:numCache>
                <c:formatCode>m"月"d"日";@</c:formatCode>
                <c:ptCount val="22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-0.799999999999912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-1.6999999999995901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-2.2999999999999701</c:v>
                </c:pt>
                <c:pt idx="13">
                  <c:v>-2.59999999999927</c:v>
                </c:pt>
                <c:pt idx="14">
                  <c:v>-2.59999999999927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-2.8000000000005798</c:v>
                </c:pt>
                <c:pt idx="18">
                  <c:v>-3.6000000000004899</c:v>
                </c:pt>
                <c:pt idx="19">
                  <c:v>-3.80000000000003</c:v>
                </c:pt>
                <c:pt idx="20">
                  <c:v>-3.6000000000004899</c:v>
                </c:pt>
                <c:pt idx="21">
                  <c:v>-3.4999999999989502</c:v>
                </c:pt>
              </c:numCache>
            </c:numRef>
          </c:val>
        </c:ser>
        <c:ser>
          <c:idx val="2"/>
          <c:order val="2"/>
          <c:tx>
            <c:strRef>
              <c:f>'zk80+406'!$AC$4:$AE$4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'zk80+406'!$S$6:$S$27</c:f>
              <c:numCache>
                <c:formatCode>m"月"d"日";@</c:formatCode>
                <c:ptCount val="22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-0.49999999999883499</c:v>
                </c:pt>
                <c:pt idx="2">
                  <c:v>-0.70000000000014495</c:v>
                </c:pt>
                <c:pt idx="3">
                  <c:v>-0.799999999999912</c:v>
                </c:pt>
                <c:pt idx="4">
                  <c:v>-1.0999999999992101</c:v>
                </c:pt>
                <c:pt idx="5">
                  <c:v>-1.2999999999987499</c:v>
                </c:pt>
                <c:pt idx="6">
                  <c:v>-1.50000000000894</c:v>
                </c:pt>
                <c:pt idx="7">
                  <c:v>-1.59999999999982</c:v>
                </c:pt>
                <c:pt idx="8">
                  <c:v>-1.9000000000097801</c:v>
                </c:pt>
                <c:pt idx="9">
                  <c:v>-2.1000000000093202</c:v>
                </c:pt>
                <c:pt idx="10">
                  <c:v>-2.3000000000088501</c:v>
                </c:pt>
                <c:pt idx="11">
                  <c:v>-2.4999999999995</c:v>
                </c:pt>
                <c:pt idx="12">
                  <c:v>-2.59999999999927</c:v>
                </c:pt>
                <c:pt idx="13">
                  <c:v>-2.6999999999990401</c:v>
                </c:pt>
                <c:pt idx="14">
                  <c:v>-2.7999999999987999</c:v>
                </c:pt>
                <c:pt idx="15">
                  <c:v>-3.0000000000001101</c:v>
                </c:pt>
                <c:pt idx="16">
                  <c:v>-3.0000000000001101</c:v>
                </c:pt>
                <c:pt idx="17">
                  <c:v>-3.0999999999998802</c:v>
                </c:pt>
                <c:pt idx="18">
                  <c:v>-3.0999999999998802</c:v>
                </c:pt>
                <c:pt idx="19">
                  <c:v>-3.2999999999994101</c:v>
                </c:pt>
                <c:pt idx="20">
                  <c:v>-3.4999999999989502</c:v>
                </c:pt>
              </c:numCache>
            </c:numRef>
          </c:val>
        </c:ser>
        <c:dLbls/>
        <c:marker val="1"/>
        <c:axId val="363530496"/>
        <c:axId val="363545344"/>
      </c:lineChart>
      <c:lineChart>
        <c:grouping val="standard"/>
        <c:ser>
          <c:idx val="3"/>
          <c:order val="3"/>
          <c:tx>
            <c:strRef>
              <c:f>'zk80+406'!$AG$3:$AG$5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'zk80+406'!$S$6:$S$27</c:f>
              <c:numCache>
                <c:formatCode>m"月"d"日";@</c:formatCode>
                <c:ptCount val="22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66</c:v>
                </c:pt>
                <c:pt idx="18">
                  <c:v>77</c:v>
                </c:pt>
                <c:pt idx="19">
                  <c:v>90</c:v>
                </c:pt>
                <c:pt idx="20">
                  <c:v>90</c:v>
                </c:pt>
              </c:numCache>
            </c:numRef>
          </c:val>
        </c:ser>
        <c:dLbls/>
        <c:marker val="1"/>
        <c:axId val="363547264"/>
        <c:axId val="363557248"/>
      </c:lineChart>
      <c:dateAx>
        <c:axId val="3635304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545344"/>
        <c:crossesAt val="-50"/>
        <c:auto val="1"/>
        <c:lblOffset val="100"/>
        <c:baseTimeUnit val="days"/>
        <c:majorUnit val="3"/>
        <c:majorTimeUnit val="days"/>
      </c:dateAx>
      <c:valAx>
        <c:axId val="363545344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530496"/>
        <c:crosses val="autoZero"/>
        <c:crossBetween val="midCat"/>
        <c:majorUnit val="1.4"/>
        <c:minorUnit val="0.1"/>
      </c:valAx>
      <c:dateAx>
        <c:axId val="3635472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63557248"/>
        <c:crosses val="autoZero"/>
        <c:auto val="1"/>
        <c:lblOffset val="100"/>
        <c:baseTimeUnit val="days"/>
      </c:dateAx>
      <c:valAx>
        <c:axId val="36355724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6354726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'zk80+406'!$C$4:$G$4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'zk80+406'!$A$6:$A$38</c:f>
              <c:numCache>
                <c:formatCode>m"月"d"日";@</c:formatCode>
                <c:ptCount val="33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0.30000000003838101</c:v>
                </c:pt>
                <c:pt idx="7">
                  <c:v>-0.70000000005165897</c:v>
                </c:pt>
                <c:pt idx="8">
                  <c:v>-0.199999999949796</c:v>
                </c:pt>
                <c:pt idx="9">
                  <c:v>0.69999999993797202</c:v>
                </c:pt>
                <c:pt idx="10">
                  <c:v>-1.09999999995125</c:v>
                </c:pt>
                <c:pt idx="11">
                  <c:v>-0.20000000006348301</c:v>
                </c:pt>
                <c:pt idx="12">
                  <c:v>0.70000000005165897</c:v>
                </c:pt>
                <c:pt idx="13">
                  <c:v>-1.1000000000649399</c:v>
                </c:pt>
                <c:pt idx="14">
                  <c:v>-0.199999999949796</c:v>
                </c:pt>
                <c:pt idx="15">
                  <c:v>0.29999999998153698</c:v>
                </c:pt>
                <c:pt idx="16">
                  <c:v>-0.49999999998817701</c:v>
                </c:pt>
                <c:pt idx="17">
                  <c:v>-9.9999999974897905E-2</c:v>
                </c:pt>
                <c:pt idx="18">
                  <c:v>0.149999999962347</c:v>
                </c:pt>
                <c:pt idx="19">
                  <c:v>-0.34999999996898601</c:v>
                </c:pt>
                <c:pt idx="20">
                  <c:v>4.9999999987449001E-2</c:v>
                </c:pt>
                <c:pt idx="21">
                  <c:v>-2.70000000000437</c:v>
                </c:pt>
              </c:numCache>
            </c:numRef>
          </c:val>
        </c:ser>
        <c:ser>
          <c:idx val="1"/>
          <c:order val="1"/>
          <c:tx>
            <c:strRef>
              <c:f>'zk80+406'!$H$4:$L$4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'zk80+406'!$A$6:$A$38</c:f>
              <c:numCache>
                <c:formatCode>m"月"d"日";@</c:formatCode>
                <c:ptCount val="33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'zk80+406'!$L$6:$L$35</c:f>
              <c:numCache>
                <c:formatCode>0.00_ </c:formatCode>
                <c:ptCount val="30"/>
                <c:pt idx="0">
                  <c:v>0</c:v>
                </c:pt>
                <c:pt idx="1">
                  <c:v>0.30000000003838101</c:v>
                </c:pt>
                <c:pt idx="2">
                  <c:v>-0.59999999996307496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0.29999999992469401</c:v>
                </c:pt>
                <c:pt idx="6">
                  <c:v>-0.69999999993797202</c:v>
                </c:pt>
                <c:pt idx="7">
                  <c:v>-0.20000000006348301</c:v>
                </c:pt>
                <c:pt idx="8">
                  <c:v>0.30000000003838101</c:v>
                </c:pt>
                <c:pt idx="9">
                  <c:v>-0.69999999993797202</c:v>
                </c:pt>
                <c:pt idx="10">
                  <c:v>-0.20000000006348301</c:v>
                </c:pt>
                <c:pt idx="11">
                  <c:v>0.40000000001327901</c:v>
                </c:pt>
                <c:pt idx="12">
                  <c:v>-0.80000000002655702</c:v>
                </c:pt>
                <c:pt idx="13">
                  <c:v>-0.199999999949796</c:v>
                </c:pt>
                <c:pt idx="14">
                  <c:v>0.49999999998817701</c:v>
                </c:pt>
                <c:pt idx="15">
                  <c:v>-0.45000000000072798</c:v>
                </c:pt>
                <c:pt idx="16">
                  <c:v>0.34999999996898601</c:v>
                </c:pt>
                <c:pt idx="17">
                  <c:v>-0.54999999997562599</c:v>
                </c:pt>
                <c:pt idx="18">
                  <c:v>-9.9999999974897905E-2</c:v>
                </c:pt>
                <c:pt idx="19">
                  <c:v>-0.25000000005093198</c:v>
                </c:pt>
                <c:pt idx="20">
                  <c:v>0.100000000031741</c:v>
                </c:pt>
              </c:numCache>
            </c:numRef>
          </c:val>
        </c:ser>
        <c:ser>
          <c:idx val="2"/>
          <c:order val="2"/>
          <c:tx>
            <c:strRef>
              <c:f>'zk80+406'!$M$4:$Q$4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'zk80+406'!$A$6:$A$38</c:f>
              <c:numCache>
                <c:formatCode>m"月"d"日";@</c:formatCode>
                <c:ptCount val="33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'zk80+406'!$Q$6:$Q$31</c:f>
              <c:numCache>
                <c:formatCode>0.00_ </c:formatCode>
                <c:ptCount val="26"/>
                <c:pt idx="0">
                  <c:v>0</c:v>
                </c:pt>
                <c:pt idx="1">
                  <c:v>0.199999999949796</c:v>
                </c:pt>
                <c:pt idx="2">
                  <c:v>0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0.20000000006348301</c:v>
                </c:pt>
                <c:pt idx="8">
                  <c:v>-0.60000000007676102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0.199999999949796</c:v>
                </c:pt>
                <c:pt idx="14">
                  <c:v>-0.59999999996307496</c:v>
                </c:pt>
                <c:pt idx="15">
                  <c:v>-0.100000000031741</c:v>
                </c:pt>
                <c:pt idx="16">
                  <c:v>0.15000000001919001</c:v>
                </c:pt>
                <c:pt idx="17">
                  <c:v>-0.34999999996898601</c:v>
                </c:pt>
                <c:pt idx="18">
                  <c:v>-0.100000000031741</c:v>
                </c:pt>
                <c:pt idx="19">
                  <c:v>9.9999999974897905E-2</c:v>
                </c:pt>
                <c:pt idx="20">
                  <c:v>5.0000000044292399E-2</c:v>
                </c:pt>
              </c:numCache>
            </c:numRef>
          </c:val>
        </c:ser>
        <c:dLbls/>
        <c:marker val="1"/>
        <c:axId val="396964608"/>
        <c:axId val="396966912"/>
      </c:lineChart>
      <c:dateAx>
        <c:axId val="3969646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966912"/>
        <c:crossesAt val="-50"/>
        <c:auto val="1"/>
        <c:lblOffset val="100"/>
        <c:baseTimeUnit val="days"/>
        <c:majorUnit val="3"/>
        <c:majorTimeUnit val="days"/>
      </c:dateAx>
      <c:valAx>
        <c:axId val="39696691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96460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'zk80+406'!$U$4:$W$4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'zk80+406'!$S$6:$S$41</c:f>
              <c:numCache>
                <c:formatCode>m"月"d"日";@</c:formatCode>
                <c:ptCount val="36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-9.99999999997669E-2</c:v>
                </c:pt>
                <c:pt idx="3">
                  <c:v>0.49999999999883499</c:v>
                </c:pt>
                <c:pt idx="4">
                  <c:v>0.10000000000154299</c:v>
                </c:pt>
                <c:pt idx="5">
                  <c:v>0.29999999999930099</c:v>
                </c:pt>
                <c:pt idx="6">
                  <c:v>0.19999999999953399</c:v>
                </c:pt>
                <c:pt idx="7">
                  <c:v>0.19999999999953399</c:v>
                </c:pt>
                <c:pt idx="8">
                  <c:v>-9.99999999997669E-2</c:v>
                </c:pt>
                <c:pt idx="9">
                  <c:v>0.50000000000061096</c:v>
                </c:pt>
                <c:pt idx="10">
                  <c:v>0.19999999999953399</c:v>
                </c:pt>
                <c:pt idx="11">
                  <c:v>0.19999999999953399</c:v>
                </c:pt>
                <c:pt idx="12">
                  <c:v>0.10000000000154299</c:v>
                </c:pt>
                <c:pt idx="13">
                  <c:v>9.99999999997669E-2</c:v>
                </c:pt>
                <c:pt idx="14">
                  <c:v>-9.99999999997669E-2</c:v>
                </c:pt>
                <c:pt idx="15">
                  <c:v>0.15000000000497901</c:v>
                </c:pt>
                <c:pt idx="16">
                  <c:v>4.9999999999883499E-2</c:v>
                </c:pt>
                <c:pt idx="17">
                  <c:v>4.9999999999883499E-2</c:v>
                </c:pt>
                <c:pt idx="18">
                  <c:v>-5.00000000052125E-2</c:v>
                </c:pt>
                <c:pt idx="19">
                  <c:v>0.15000000000497901</c:v>
                </c:pt>
                <c:pt idx="20">
                  <c:v>4.9999999999883499E-2</c:v>
                </c:pt>
                <c:pt idx="21">
                  <c:v>-3.4999999999989502</c:v>
                </c:pt>
              </c:numCache>
            </c:numRef>
          </c:val>
        </c:ser>
        <c:ser>
          <c:idx val="1"/>
          <c:order val="1"/>
          <c:tx>
            <c:strRef>
              <c:f>'zk80+406'!$Y$4:$AA$4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'zk80+406'!$S$6:$S$41</c:f>
              <c:numCache>
                <c:formatCode>m"月"d"日";@</c:formatCode>
                <c:ptCount val="36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-0.20000000000130999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0.19999999999953399</c:v>
                </c:pt>
                <c:pt idx="7">
                  <c:v>-0.60000000000037801</c:v>
                </c:pt>
                <c:pt idx="8">
                  <c:v>-0.19999999999953399</c:v>
                </c:pt>
                <c:pt idx="9">
                  <c:v>-9.99999999997669E-2</c:v>
                </c:pt>
                <c:pt idx="10">
                  <c:v>-0.30000000000107702</c:v>
                </c:pt>
                <c:pt idx="11">
                  <c:v>-0.19999999999953399</c:v>
                </c:pt>
                <c:pt idx="12">
                  <c:v>-9.99999999997669E-2</c:v>
                </c:pt>
                <c:pt idx="13">
                  <c:v>-0.29999999999930099</c:v>
                </c:pt>
                <c:pt idx="14">
                  <c:v>0</c:v>
                </c:pt>
                <c:pt idx="15">
                  <c:v>-0.20000000000042201</c:v>
                </c:pt>
                <c:pt idx="16">
                  <c:v>-9.99999999997669E-2</c:v>
                </c:pt>
                <c:pt idx="17">
                  <c:v>0.19999999999953399</c:v>
                </c:pt>
                <c:pt idx="18">
                  <c:v>-0.399999999999956</c:v>
                </c:pt>
                <c:pt idx="19">
                  <c:v>-9.99999999997669E-2</c:v>
                </c:pt>
                <c:pt idx="20">
                  <c:v>9.99999999997669E-2</c:v>
                </c:pt>
                <c:pt idx="21">
                  <c:v>-0.13333333333335201</c:v>
                </c:pt>
              </c:numCache>
            </c:numRef>
          </c:val>
        </c:ser>
        <c:ser>
          <c:idx val="2"/>
          <c:order val="2"/>
          <c:tx>
            <c:strRef>
              <c:f>'zk80+406'!$AC$4:$AE$4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'zk80+406'!$S$6:$S$41</c:f>
              <c:numCache>
                <c:formatCode>m"月"d"日";@</c:formatCode>
                <c:ptCount val="36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-0.49999999999883499</c:v>
                </c:pt>
                <c:pt idx="2">
                  <c:v>-0.20000000000130999</c:v>
                </c:pt>
                <c:pt idx="3">
                  <c:v>-9.99999999997669E-2</c:v>
                </c:pt>
                <c:pt idx="4">
                  <c:v>-0.29999999999930099</c:v>
                </c:pt>
                <c:pt idx="5">
                  <c:v>-0.19999999999953399</c:v>
                </c:pt>
                <c:pt idx="6">
                  <c:v>-0.200000000010192</c:v>
                </c:pt>
                <c:pt idx="7">
                  <c:v>-9.9999999990885199E-2</c:v>
                </c:pt>
                <c:pt idx="8">
                  <c:v>-0.30000000000995902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-0.19999999999065199</c:v>
                </c:pt>
                <c:pt idx="12">
                  <c:v>-9.99999999997669E-2</c:v>
                </c:pt>
                <c:pt idx="13">
                  <c:v>-9.99999999997669E-2</c:v>
                </c:pt>
                <c:pt idx="14">
                  <c:v>-9.99999999997669E-2</c:v>
                </c:pt>
                <c:pt idx="15">
                  <c:v>-0.100000000000655</c:v>
                </c:pt>
                <c:pt idx="16">
                  <c:v>0</c:v>
                </c:pt>
                <c:pt idx="17">
                  <c:v>-4.9999999999883499E-2</c:v>
                </c:pt>
                <c:pt idx="18">
                  <c:v>0</c:v>
                </c:pt>
                <c:pt idx="19">
                  <c:v>-9.99999999997669E-2</c:v>
                </c:pt>
                <c:pt idx="20">
                  <c:v>-9.99999999997669E-2</c:v>
                </c:pt>
              </c:numCache>
            </c:numRef>
          </c:val>
        </c:ser>
        <c:dLbls/>
        <c:marker val="1"/>
        <c:axId val="397108736"/>
        <c:axId val="397111296"/>
      </c:lineChart>
      <c:dateAx>
        <c:axId val="39710873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111296"/>
        <c:crossesAt val="-50"/>
        <c:auto val="1"/>
        <c:lblOffset val="100"/>
        <c:baseTimeUnit val="days"/>
        <c:majorUnit val="3"/>
        <c:majorTimeUnit val="days"/>
      </c:dateAx>
      <c:valAx>
        <c:axId val="39711129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10873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k80+406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'zk80+406'!$C$4:$G$4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'zk80+406'!$A$6:$A$34</c:f>
              <c:numCache>
                <c:formatCode>m"月"d"日";@</c:formatCode>
                <c:ptCount val="29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'zk80+406'!$F$6:$F$26</c:f>
              <c:numCache>
                <c:formatCode>0.00_ </c:formatCode>
                <c:ptCount val="21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-0.59999999996307496</c:v>
                </c:pt>
                <c:pt idx="4">
                  <c:v>-0.49999999998817701</c:v>
                </c:pt>
                <c:pt idx="5">
                  <c:v>-0.99999999997635303</c:v>
                </c:pt>
                <c:pt idx="6">
                  <c:v>-0.69999999993797202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-0.90000000000145497</c:v>
                </c:pt>
                <c:pt idx="10">
                  <c:v>-1.9999999999527101</c:v>
                </c:pt>
                <c:pt idx="11">
                  <c:v>-2.2000000000161899</c:v>
                </c:pt>
                <c:pt idx="12">
                  <c:v>-1.4999999999645299</c:v>
                </c:pt>
                <c:pt idx="13">
                  <c:v>-2.6000000000294698</c:v>
                </c:pt>
                <c:pt idx="14">
                  <c:v>-2.79999999997926</c:v>
                </c:pt>
                <c:pt idx="15">
                  <c:v>-2.2000000000161899</c:v>
                </c:pt>
                <c:pt idx="16">
                  <c:v>-3.1999999999925399</c:v>
                </c:pt>
                <c:pt idx="17">
                  <c:v>-3.3999999999423398</c:v>
                </c:pt>
                <c:pt idx="18">
                  <c:v>-3.1000000000176402</c:v>
                </c:pt>
                <c:pt idx="19">
                  <c:v>-3.7999999999556202</c:v>
                </c:pt>
                <c:pt idx="20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'zk80+406'!$H$4:$L$4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'zk80+406'!$A$6:$A$34</c:f>
              <c:numCache>
                <c:formatCode>m"月"d"日";@</c:formatCode>
                <c:ptCount val="29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'zk80+406'!$K$6:$K$30</c:f>
              <c:numCache>
                <c:formatCode>0.00_ </c:formatCode>
                <c:ptCount val="25"/>
                <c:pt idx="0">
                  <c:v>0</c:v>
                </c:pt>
                <c:pt idx="1">
                  <c:v>0.30000000003838101</c:v>
                </c:pt>
                <c:pt idx="2">
                  <c:v>-0.29999999992469401</c:v>
                </c:pt>
                <c:pt idx="3">
                  <c:v>-0.49999999998817701</c:v>
                </c:pt>
                <c:pt idx="4">
                  <c:v>-0.69999999993797202</c:v>
                </c:pt>
                <c:pt idx="5">
                  <c:v>-0.40000000001327901</c:v>
                </c:pt>
                <c:pt idx="6">
                  <c:v>-1.09999999995125</c:v>
                </c:pt>
                <c:pt idx="7">
                  <c:v>-1.30000000001473</c:v>
                </c:pt>
                <c:pt idx="8">
                  <c:v>-0.99999999997635303</c:v>
                </c:pt>
                <c:pt idx="9">
                  <c:v>-1.69999999991433</c:v>
                </c:pt>
                <c:pt idx="10">
                  <c:v>-1.8999999999778101</c:v>
                </c:pt>
                <c:pt idx="11">
                  <c:v>-1.4999999999645299</c:v>
                </c:pt>
                <c:pt idx="12">
                  <c:v>-2.2999999999910901</c:v>
                </c:pt>
                <c:pt idx="13">
                  <c:v>-2.4999999999408802</c:v>
                </c:pt>
                <c:pt idx="14">
                  <c:v>-1.9999999999527101</c:v>
                </c:pt>
                <c:pt idx="15">
                  <c:v>-2.8999999999541601</c:v>
                </c:pt>
                <c:pt idx="16">
                  <c:v>-2.2000000000161899</c:v>
                </c:pt>
                <c:pt idx="17">
                  <c:v>-3.2999999999674401</c:v>
                </c:pt>
                <c:pt idx="18">
                  <c:v>-3.49999999991724</c:v>
                </c:pt>
                <c:pt idx="19">
                  <c:v>-4.0000000000191003</c:v>
                </c:pt>
                <c:pt idx="20">
                  <c:v>-3.7999999999556202</c:v>
                </c:pt>
                <c:pt idx="21">
                  <c:v>-0.100000000000162</c:v>
                </c:pt>
              </c:numCache>
            </c:numRef>
          </c:val>
        </c:ser>
        <c:ser>
          <c:idx val="2"/>
          <c:order val="2"/>
          <c:tx>
            <c:strRef>
              <c:f>'zk80+406'!$M$4:$Q$4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'zk80+406'!$A$6:$A$34</c:f>
              <c:numCache>
                <c:formatCode>m"月"d"日";@</c:formatCode>
                <c:ptCount val="29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  <c:pt idx="19">
                  <c:v>44883</c:v>
                </c:pt>
                <c:pt idx="20">
                  <c:v>44885</c:v>
                </c:pt>
              </c:numCache>
            </c:numRef>
          </c:cat>
          <c:val>
            <c:numRef>
              <c:f>'zk80+406'!$P$6:$P$28</c:f>
              <c:numCache>
                <c:formatCode>0.00_ </c:formatCode>
                <c:ptCount val="23"/>
                <c:pt idx="0">
                  <c:v>0</c:v>
                </c:pt>
                <c:pt idx="1">
                  <c:v>0.199999999949796</c:v>
                </c:pt>
                <c:pt idx="2">
                  <c:v>0.199999999949796</c:v>
                </c:pt>
                <c:pt idx="3">
                  <c:v>0</c:v>
                </c:pt>
                <c:pt idx="4">
                  <c:v>-0.20000000006348301</c:v>
                </c:pt>
                <c:pt idx="5">
                  <c:v>-0.10000000008858501</c:v>
                </c:pt>
                <c:pt idx="6">
                  <c:v>-0.60000000007676102</c:v>
                </c:pt>
                <c:pt idx="7">
                  <c:v>-0.40000000001327901</c:v>
                </c:pt>
                <c:pt idx="8">
                  <c:v>-1.00000000009004</c:v>
                </c:pt>
                <c:pt idx="9">
                  <c:v>-1.2000000000398401</c:v>
                </c:pt>
                <c:pt idx="10">
                  <c:v>-1.1000000000649399</c:v>
                </c:pt>
                <c:pt idx="11">
                  <c:v>-1.60000000005311</c:v>
                </c:pt>
                <c:pt idx="12">
                  <c:v>-1.8000000000029099</c:v>
                </c:pt>
                <c:pt idx="13">
                  <c:v>-1.60000000005311</c:v>
                </c:pt>
                <c:pt idx="14">
                  <c:v>-2.2000000000161899</c:v>
                </c:pt>
                <c:pt idx="15">
                  <c:v>-2.40000000007967</c:v>
                </c:pt>
                <c:pt idx="16">
                  <c:v>-2.1000000000412902</c:v>
                </c:pt>
                <c:pt idx="17">
                  <c:v>-2.79999999997926</c:v>
                </c:pt>
                <c:pt idx="18">
                  <c:v>-3.0000000000427498</c:v>
                </c:pt>
                <c:pt idx="19">
                  <c:v>-2.8000000000929499</c:v>
                </c:pt>
                <c:pt idx="20">
                  <c:v>-2.70000000000437</c:v>
                </c:pt>
              </c:numCache>
            </c:numRef>
          </c:val>
        </c:ser>
        <c:dLbls/>
        <c:marker val="1"/>
        <c:axId val="397182848"/>
        <c:axId val="397189504"/>
      </c:lineChart>
      <c:lineChart>
        <c:grouping val="standard"/>
        <c:ser>
          <c:idx val="3"/>
          <c:order val="3"/>
          <c:tx>
            <c:strRef>
              <c:f>'zk80+406'!$AG$3:$AG$5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'zk80+406'!$A$6:$A$24</c:f>
              <c:numCache>
                <c:formatCode>m"月"d"日";@</c:formatCode>
                <c:ptCount val="19"/>
                <c:pt idx="0">
                  <c:v>44859</c:v>
                </c:pt>
                <c:pt idx="1">
                  <c:v>44860</c:v>
                </c:pt>
                <c:pt idx="2">
                  <c:v>44861</c:v>
                </c:pt>
                <c:pt idx="3">
                  <c:v>44862</c:v>
                </c:pt>
                <c:pt idx="4">
                  <c:v>44863</c:v>
                </c:pt>
                <c:pt idx="5">
                  <c:v>44864</c:v>
                </c:pt>
                <c:pt idx="6">
                  <c:v>44865</c:v>
                </c:pt>
                <c:pt idx="7">
                  <c:v>44866</c:v>
                </c:pt>
                <c:pt idx="8">
                  <c:v>44867</c:v>
                </c:pt>
                <c:pt idx="9">
                  <c:v>44868</c:v>
                </c:pt>
                <c:pt idx="10">
                  <c:v>44869</c:v>
                </c:pt>
                <c:pt idx="11">
                  <c:v>44870</c:v>
                </c:pt>
                <c:pt idx="12">
                  <c:v>44871</c:v>
                </c:pt>
                <c:pt idx="13">
                  <c:v>44872</c:v>
                </c:pt>
                <c:pt idx="14">
                  <c:v>44873</c:v>
                </c:pt>
                <c:pt idx="15">
                  <c:v>44875</c:v>
                </c:pt>
                <c:pt idx="16">
                  <c:v>44877</c:v>
                </c:pt>
                <c:pt idx="17">
                  <c:v>44879</c:v>
                </c:pt>
                <c:pt idx="18">
                  <c:v>44881</c:v>
                </c:pt>
              </c:numCache>
            </c:numRef>
          </c:cat>
          <c:val>
            <c:numRef>
              <c:f>'zk80+406'!$AG$6:$AG$31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66</c:v>
                </c:pt>
                <c:pt idx="18">
                  <c:v>77</c:v>
                </c:pt>
                <c:pt idx="19">
                  <c:v>90</c:v>
                </c:pt>
                <c:pt idx="20">
                  <c:v>90</c:v>
                </c:pt>
              </c:numCache>
            </c:numRef>
          </c:val>
        </c:ser>
        <c:dLbls/>
        <c:marker val="1"/>
        <c:axId val="397191424"/>
        <c:axId val="397205504"/>
      </c:lineChart>
      <c:dateAx>
        <c:axId val="3971828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189504"/>
        <c:crossesAt val="-50"/>
        <c:auto val="1"/>
        <c:lblOffset val="100"/>
        <c:baseTimeUnit val="days"/>
        <c:majorUnit val="3"/>
        <c:majorTimeUnit val="days"/>
      </c:dateAx>
      <c:valAx>
        <c:axId val="397189504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182848"/>
        <c:crosses val="autoZero"/>
        <c:crossBetween val="midCat"/>
        <c:majorUnit val="1"/>
        <c:minorUnit val="0.5"/>
      </c:valAx>
      <c:dateAx>
        <c:axId val="39719142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7205504"/>
        <c:crosses val="autoZero"/>
        <c:auto val="1"/>
        <c:lblOffset val="100"/>
        <c:baseTimeUnit val="days"/>
      </c:dateAx>
      <c:valAx>
        <c:axId val="39720550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19142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80+422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'zk80+422'!$U$4:$W$4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'zk80+422'!$S$6:$S$27</c:f>
              <c:numCache>
                <c:formatCode>m"月"d"日";@</c:formatCode>
                <c:ptCount val="22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-0.799999999999912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-0.89999999999967895</c:v>
                </c:pt>
                <c:pt idx="7">
                  <c:v>-1.39999999999851</c:v>
                </c:pt>
                <c:pt idx="8">
                  <c:v>-1.59999999999982</c:v>
                </c:pt>
                <c:pt idx="9">
                  <c:v>-1.6999999999995901</c:v>
                </c:pt>
                <c:pt idx="10">
                  <c:v>-1.99999999999889</c:v>
                </c:pt>
                <c:pt idx="11">
                  <c:v>-2.2000000000002</c:v>
                </c:pt>
                <c:pt idx="12">
                  <c:v>-2.0999999999986598</c:v>
                </c:pt>
                <c:pt idx="13">
                  <c:v>-2.5999999999886101</c:v>
                </c:pt>
                <c:pt idx="14">
                  <c:v>-2.6999999999990401</c:v>
                </c:pt>
                <c:pt idx="15">
                  <c:v>-2.99999999998946</c:v>
                </c:pt>
                <c:pt idx="16">
                  <c:v>-3.1999999999889899</c:v>
                </c:pt>
                <c:pt idx="17">
                  <c:v>-3.3999999999885202</c:v>
                </c:pt>
                <c:pt idx="18">
                  <c:v>-3.59999999998983</c:v>
                </c:pt>
                <c:pt idx="19">
                  <c:v>-3.7999999999893701</c:v>
                </c:pt>
              </c:numCache>
            </c:numRef>
          </c:val>
        </c:ser>
        <c:ser>
          <c:idx val="1"/>
          <c:order val="1"/>
          <c:tx>
            <c:strRef>
              <c:f>'zk80+422'!$Y$4:$AA$4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'zk80+422'!$S$6:$S$27</c:f>
              <c:numCache>
                <c:formatCode>m"月"d"日";@</c:formatCode>
                <c:ptCount val="22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-0.799999999999912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-1.6999999999995901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-2.2999999999999701</c:v>
                </c:pt>
                <c:pt idx="13">
                  <c:v>-2.59999999999927</c:v>
                </c:pt>
                <c:pt idx="14">
                  <c:v>-2.59999999999927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-3.3999999999991801</c:v>
                </c:pt>
                <c:pt idx="18">
                  <c:v>-3.6000000000004899</c:v>
                </c:pt>
                <c:pt idx="19">
                  <c:v>-3.80000000000003</c:v>
                </c:pt>
              </c:numCache>
            </c:numRef>
          </c:val>
        </c:ser>
        <c:ser>
          <c:idx val="2"/>
          <c:order val="2"/>
          <c:tx>
            <c:strRef>
              <c:f>'zk80+422'!$AC$4:$AE$4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'zk80+422'!$S$6:$S$27</c:f>
              <c:numCache>
                <c:formatCode>m"月"d"日";@</c:formatCode>
                <c:ptCount val="22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-0.59999999999860198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-0.69999999999836904</c:v>
                </c:pt>
                <c:pt idx="5">
                  <c:v>-0.59999999999860198</c:v>
                </c:pt>
                <c:pt idx="6">
                  <c:v>-1.0999999999992101</c:v>
                </c:pt>
                <c:pt idx="7">
                  <c:v>-1.2999999999987499</c:v>
                </c:pt>
                <c:pt idx="8">
                  <c:v>-1.59999999999982</c:v>
                </c:pt>
                <c:pt idx="9">
                  <c:v>-1.6999999999995901</c:v>
                </c:pt>
                <c:pt idx="10">
                  <c:v>-1.8999999999991199</c:v>
                </c:pt>
                <c:pt idx="11">
                  <c:v>-1.99999999999889</c:v>
                </c:pt>
                <c:pt idx="12">
                  <c:v>-2.2999999999999701</c:v>
                </c:pt>
                <c:pt idx="13">
                  <c:v>-2.4999999999995</c:v>
                </c:pt>
                <c:pt idx="14">
                  <c:v>-2.3999999999997401</c:v>
                </c:pt>
                <c:pt idx="15">
                  <c:v>-2.8999999999896899</c:v>
                </c:pt>
                <c:pt idx="16">
                  <c:v>-3.0999999999892198</c:v>
                </c:pt>
                <c:pt idx="17">
                  <c:v>-3.2999999999887599</c:v>
                </c:pt>
                <c:pt idx="18">
                  <c:v>-3.4999999999882898</c:v>
                </c:pt>
                <c:pt idx="19">
                  <c:v>-3.6999999999896001</c:v>
                </c:pt>
              </c:numCache>
            </c:numRef>
          </c:val>
        </c:ser>
        <c:dLbls/>
        <c:marker val="1"/>
        <c:axId val="397408128"/>
        <c:axId val="396837248"/>
      </c:lineChart>
      <c:lineChart>
        <c:grouping val="standard"/>
        <c:ser>
          <c:idx val="3"/>
          <c:order val="3"/>
          <c:tx>
            <c:strRef>
              <c:f>'zk80+422'!$AG$3:$AG$5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'zk80+422'!$S$6:$S$27</c:f>
              <c:numCache>
                <c:formatCode>m"月"d"日";@</c:formatCode>
                <c:ptCount val="22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50</c:v>
                </c:pt>
                <c:pt idx="14">
                  <c:v>61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74</c:v>
                </c:pt>
                <c:pt idx="19">
                  <c:v>74</c:v>
                </c:pt>
              </c:numCache>
            </c:numRef>
          </c:val>
        </c:ser>
        <c:dLbls/>
        <c:marker val="1"/>
        <c:axId val="396839168"/>
        <c:axId val="396857344"/>
      </c:lineChart>
      <c:dateAx>
        <c:axId val="3974081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837248"/>
        <c:crossesAt val="-50"/>
        <c:auto val="1"/>
        <c:lblOffset val="100"/>
        <c:baseTimeUnit val="days"/>
        <c:majorUnit val="2"/>
        <c:majorTimeUnit val="days"/>
      </c:dateAx>
      <c:valAx>
        <c:axId val="39683724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408128"/>
        <c:crosses val="autoZero"/>
        <c:crossBetween val="midCat"/>
        <c:majorUnit val="1.4"/>
        <c:minorUnit val="0.1"/>
      </c:valAx>
      <c:dateAx>
        <c:axId val="3968391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6857344"/>
        <c:crosses val="autoZero"/>
        <c:auto val="1"/>
        <c:lblOffset val="100"/>
        <c:baseTimeUnit val="days"/>
      </c:dateAx>
      <c:valAx>
        <c:axId val="396857344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683916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80+422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'zk80+422'!$C$4:$G$4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'zk80+422'!$A$6:$A$38</c:f>
              <c:numCache>
                <c:formatCode>m"月"d"日";@</c:formatCode>
                <c:ptCount val="33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'zk80+422'!$G$6:$G$34</c:f>
              <c:numCache>
                <c:formatCode>0.00_ </c:formatCode>
                <c:ptCount val="29"/>
                <c:pt idx="0">
                  <c:v>0</c:v>
                </c:pt>
                <c:pt idx="1">
                  <c:v>0.49999999998817701</c:v>
                </c:pt>
                <c:pt idx="2">
                  <c:v>-0.69999999993797202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0.29999999992469401</c:v>
                </c:pt>
                <c:pt idx="9">
                  <c:v>-0.69999999993797202</c:v>
                </c:pt>
                <c:pt idx="10">
                  <c:v>-0.20000000006348301</c:v>
                </c:pt>
                <c:pt idx="11">
                  <c:v>-9.9999999974897905E-2</c:v>
                </c:pt>
                <c:pt idx="12">
                  <c:v>-0.30000000003838101</c:v>
                </c:pt>
                <c:pt idx="13">
                  <c:v>-0.199999999949796</c:v>
                </c:pt>
                <c:pt idx="14">
                  <c:v>-9.9999999974897905E-2</c:v>
                </c:pt>
                <c:pt idx="15">
                  <c:v>-0.15000000001919001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-9.9999999974897905E-2</c:v>
                </c:pt>
                <c:pt idx="19">
                  <c:v>-0.100000000031741</c:v>
                </c:pt>
              </c:numCache>
            </c:numRef>
          </c:val>
        </c:ser>
        <c:ser>
          <c:idx val="1"/>
          <c:order val="1"/>
          <c:tx>
            <c:strRef>
              <c:f>'zk80+422'!$H$4:$L$4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'zk80+422'!$A$6:$A$38</c:f>
              <c:numCache>
                <c:formatCode>m"月"d"日";@</c:formatCode>
                <c:ptCount val="33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'zk80+422'!$L$6:$L$35</c:f>
              <c:numCache>
                <c:formatCode>0.00_ </c:formatCode>
                <c:ptCount val="30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-0.199999999949796</c:v>
                </c:pt>
                <c:pt idx="15">
                  <c:v>-5.0000000044292399E-2</c:v>
                </c:pt>
                <c:pt idx="16">
                  <c:v>-0.149999999962347</c:v>
                </c:pt>
                <c:pt idx="17">
                  <c:v>-0.15000000001919001</c:v>
                </c:pt>
                <c:pt idx="18">
                  <c:v>-0.149999999962347</c:v>
                </c:pt>
                <c:pt idx="19">
                  <c:v>-0.15000000001919001</c:v>
                </c:pt>
              </c:numCache>
            </c:numRef>
          </c:val>
        </c:ser>
        <c:ser>
          <c:idx val="2"/>
          <c:order val="2"/>
          <c:tx>
            <c:strRef>
              <c:f>'zk80+422'!$M$4:$Q$4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'zk80+422'!$A$6:$A$38</c:f>
              <c:numCache>
                <c:formatCode>m"月"d"日";@</c:formatCode>
                <c:ptCount val="33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0.10000000008858501</c:v>
                </c:pt>
                <c:pt idx="6">
                  <c:v>-0.50000000010186296</c:v>
                </c:pt>
                <c:pt idx="7">
                  <c:v>-0.199999999949796</c:v>
                </c:pt>
                <c:pt idx="8">
                  <c:v>-0.30000000003838101</c:v>
                </c:pt>
                <c:pt idx="9">
                  <c:v>-9.9999999974897905E-2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0.40000000001327901</c:v>
                </c:pt>
                <c:pt idx="15">
                  <c:v>-0.39999999995643498</c:v>
                </c:pt>
                <c:pt idx="16">
                  <c:v>-5.0000000044292399E-2</c:v>
                </c:pt>
                <c:pt idx="17">
                  <c:v>-4.9999999987449001E-2</c:v>
                </c:pt>
                <c:pt idx="18">
                  <c:v>-4.9999999987449001E-2</c:v>
                </c:pt>
                <c:pt idx="19">
                  <c:v>-5.0000000044292399E-2</c:v>
                </c:pt>
              </c:numCache>
            </c:numRef>
          </c:val>
        </c:ser>
        <c:dLbls/>
        <c:marker val="1"/>
        <c:axId val="397427072"/>
        <c:axId val="397429376"/>
      </c:lineChart>
      <c:dateAx>
        <c:axId val="3974270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429376"/>
        <c:crossesAt val="-50"/>
        <c:auto val="1"/>
        <c:lblOffset val="100"/>
        <c:baseTimeUnit val="days"/>
        <c:majorUnit val="2"/>
        <c:majorTimeUnit val="days"/>
      </c:dateAx>
      <c:valAx>
        <c:axId val="39742937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42707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80+422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'zk80+422'!$U$4:$W$4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'zk80+422'!$S$6:$S$41</c:f>
              <c:numCache>
                <c:formatCode>m"月"d"日";@</c:formatCode>
                <c:ptCount val="36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0.40000000000084401</c:v>
                </c:pt>
                <c:pt idx="4">
                  <c:v>0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0.49999999999883499</c:v>
                </c:pt>
                <c:pt idx="8">
                  <c:v>0.20000000000130999</c:v>
                </c:pt>
                <c:pt idx="9">
                  <c:v>9.99999999997669E-2</c:v>
                </c:pt>
                <c:pt idx="10">
                  <c:v>0.29999999999930099</c:v>
                </c:pt>
                <c:pt idx="11">
                  <c:v>0.20000000000130999</c:v>
                </c:pt>
                <c:pt idx="12">
                  <c:v>-0.10000000000154299</c:v>
                </c:pt>
                <c:pt idx="13">
                  <c:v>0.49999999998995298</c:v>
                </c:pt>
                <c:pt idx="14">
                  <c:v>0.100000000010425</c:v>
                </c:pt>
                <c:pt idx="15">
                  <c:v>0.14999999999520999</c:v>
                </c:pt>
                <c:pt idx="16">
                  <c:v>9.99999999997669E-2</c:v>
                </c:pt>
                <c:pt idx="17">
                  <c:v>9.99999999997669E-2</c:v>
                </c:pt>
                <c:pt idx="18">
                  <c:v>0.100000000000655</c:v>
                </c:pt>
                <c:pt idx="19">
                  <c:v>9.99999999997669E-2</c:v>
                </c:pt>
              </c:numCache>
            </c:numRef>
          </c:val>
        </c:ser>
        <c:ser>
          <c:idx val="1"/>
          <c:order val="1"/>
          <c:tx>
            <c:strRef>
              <c:f>'zk80+422'!$Y$4:$AA$4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'zk80+422'!$S$6:$S$41</c:f>
              <c:numCache>
                <c:formatCode>m"月"d"日";@</c:formatCode>
                <c:ptCount val="36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-0.20000000000130999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0.19999999999953399</c:v>
                </c:pt>
                <c:pt idx="7">
                  <c:v>-0.60000000000037801</c:v>
                </c:pt>
                <c:pt idx="8">
                  <c:v>-0.19999999999953399</c:v>
                </c:pt>
                <c:pt idx="9">
                  <c:v>-9.99999999997669E-2</c:v>
                </c:pt>
                <c:pt idx="10">
                  <c:v>-0.30000000000107702</c:v>
                </c:pt>
                <c:pt idx="11">
                  <c:v>-0.19999999999953399</c:v>
                </c:pt>
                <c:pt idx="12">
                  <c:v>-9.99999999997669E-2</c:v>
                </c:pt>
                <c:pt idx="13">
                  <c:v>-0.29999999999930099</c:v>
                </c:pt>
                <c:pt idx="14">
                  <c:v>0</c:v>
                </c:pt>
                <c:pt idx="15">
                  <c:v>-0.20000000000042201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-0.100000000000655</c:v>
                </c:pt>
                <c:pt idx="19">
                  <c:v>-9.99999999997669E-2</c:v>
                </c:pt>
              </c:numCache>
            </c:numRef>
          </c:val>
        </c:ser>
        <c:ser>
          <c:idx val="2"/>
          <c:order val="2"/>
          <c:tx>
            <c:strRef>
              <c:f>'zk80+422'!$AC$4:$AE$4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'zk80+422'!$S$6:$S$41</c:f>
              <c:numCache>
                <c:formatCode>m"月"d"日";@</c:formatCode>
                <c:ptCount val="36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-0.59999999999860198</c:v>
                </c:pt>
                <c:pt idx="2">
                  <c:v>0.29999999999930099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-0.50000000000061096</c:v>
                </c:pt>
                <c:pt idx="7">
                  <c:v>-0.19999999999953399</c:v>
                </c:pt>
                <c:pt idx="8">
                  <c:v>-0.30000000000107702</c:v>
                </c:pt>
                <c:pt idx="9">
                  <c:v>-9.99999999997669E-2</c:v>
                </c:pt>
                <c:pt idx="10">
                  <c:v>-0.19999999999953399</c:v>
                </c:pt>
                <c:pt idx="11">
                  <c:v>-9.99999999997669E-2</c:v>
                </c:pt>
                <c:pt idx="12">
                  <c:v>-0.30000000000107702</c:v>
                </c:pt>
                <c:pt idx="13">
                  <c:v>-0.19999999999953399</c:v>
                </c:pt>
                <c:pt idx="14">
                  <c:v>9.99999999997669E-2</c:v>
                </c:pt>
                <c:pt idx="15">
                  <c:v>-0.24999999999497599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-9.99999999997669E-2</c:v>
                </c:pt>
                <c:pt idx="19">
                  <c:v>-0.100000000000655</c:v>
                </c:pt>
              </c:numCache>
            </c:numRef>
          </c:val>
        </c:ser>
        <c:dLbls/>
        <c:marker val="1"/>
        <c:axId val="397485184"/>
        <c:axId val="397487488"/>
      </c:lineChart>
      <c:dateAx>
        <c:axId val="3974851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487488"/>
        <c:crossesAt val="-50"/>
        <c:auto val="1"/>
        <c:lblOffset val="100"/>
        <c:baseTimeUnit val="days"/>
        <c:majorUnit val="2"/>
        <c:majorTimeUnit val="days"/>
      </c:dateAx>
      <c:valAx>
        <c:axId val="39748748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48518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k80+422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'zk80+422'!$C$4:$G$4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'zk80+422'!$A$6:$A$34</c:f>
              <c:numCache>
                <c:formatCode>m"月"d"日";@</c:formatCode>
                <c:ptCount val="29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'zk80+422'!$F$6:$F$24</c:f>
              <c:numCache>
                <c:formatCode>0.00_ </c:formatCode>
                <c:ptCount val="19"/>
                <c:pt idx="0">
                  <c:v>0</c:v>
                </c:pt>
                <c:pt idx="1">
                  <c:v>0.49999999998817701</c:v>
                </c:pt>
                <c:pt idx="2">
                  <c:v>-0.199999999949796</c:v>
                </c:pt>
                <c:pt idx="3">
                  <c:v>-0.40000000001327901</c:v>
                </c:pt>
                <c:pt idx="4">
                  <c:v>-0.59999999996307496</c:v>
                </c:pt>
                <c:pt idx="5">
                  <c:v>-0.69999999993797202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-0.90000000000145497</c:v>
                </c:pt>
                <c:pt idx="9">
                  <c:v>-1.5999999999394301</c:v>
                </c:pt>
                <c:pt idx="10">
                  <c:v>-1.8000000000029099</c:v>
                </c:pt>
                <c:pt idx="11">
                  <c:v>-1.8999999999778101</c:v>
                </c:pt>
                <c:pt idx="12">
                  <c:v>-2.2000000000161899</c:v>
                </c:pt>
                <c:pt idx="13">
                  <c:v>-2.39999999996598</c:v>
                </c:pt>
                <c:pt idx="14">
                  <c:v>-2.4999999999408802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-3.1999999999925399</c:v>
                </c:pt>
                <c:pt idx="18">
                  <c:v>-3.3999999999423398</c:v>
                </c:pt>
              </c:numCache>
            </c:numRef>
          </c:val>
        </c:ser>
        <c:ser>
          <c:idx val="1"/>
          <c:order val="1"/>
          <c:tx>
            <c:strRef>
              <c:f>'zk80+422'!$H$4:$L$4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'zk80+422'!$A$6:$A$34</c:f>
              <c:numCache>
                <c:formatCode>m"月"d"日";@</c:formatCode>
                <c:ptCount val="29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'zk80+422'!$K$6:$K$30</c:f>
              <c:numCache>
                <c:formatCode>0.00_ </c:formatCode>
                <c:ptCount val="25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-0.59999999996307496</c:v>
                </c:pt>
                <c:pt idx="6">
                  <c:v>-0.90000000000145497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-1.2000000000398401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-1.9999999999527101</c:v>
                </c:pt>
                <c:pt idx="13">
                  <c:v>-2.2999999999910901</c:v>
                </c:pt>
                <c:pt idx="14">
                  <c:v>-2.4999999999408802</c:v>
                </c:pt>
                <c:pt idx="15">
                  <c:v>-2.6000000000294698</c:v>
                </c:pt>
                <c:pt idx="16">
                  <c:v>-2.8999999999541601</c:v>
                </c:pt>
                <c:pt idx="17">
                  <c:v>-3.1999999999925399</c:v>
                </c:pt>
                <c:pt idx="18">
                  <c:v>-3.49999999991724</c:v>
                </c:pt>
                <c:pt idx="19">
                  <c:v>-3.7999999999556202</c:v>
                </c:pt>
              </c:numCache>
            </c:numRef>
          </c:val>
        </c:ser>
        <c:ser>
          <c:idx val="2"/>
          <c:order val="2"/>
          <c:tx>
            <c:strRef>
              <c:f>'zk80+422'!$M$4:$Q$4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'zk80+422'!$A$6:$A$34</c:f>
              <c:numCache>
                <c:formatCode>m"月"d"日";@</c:formatCode>
                <c:ptCount val="29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  <c:pt idx="19">
                  <c:v>44891</c:v>
                </c:pt>
              </c:numCache>
            </c:numRef>
          </c:cat>
          <c:val>
            <c:numRef>
              <c:f>'zk80+422'!$P$6:$P$28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-0.80000000002655702</c:v>
                </c:pt>
                <c:pt idx="5">
                  <c:v>-0.69999999993797202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-1.70000000002801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-2.2000000000161899</c:v>
                </c:pt>
                <c:pt idx="15">
                  <c:v>-2.9999999999290599</c:v>
                </c:pt>
                <c:pt idx="16">
                  <c:v>-3.1000000000176402</c:v>
                </c:pt>
                <c:pt idx="17">
                  <c:v>-3.1999999999925399</c:v>
                </c:pt>
                <c:pt idx="18">
                  <c:v>-3.2999999999674401</c:v>
                </c:pt>
                <c:pt idx="19">
                  <c:v>-3.40000000005602</c:v>
                </c:pt>
              </c:numCache>
            </c:numRef>
          </c:val>
        </c:ser>
        <c:dLbls/>
        <c:marker val="1"/>
        <c:axId val="397644928"/>
        <c:axId val="397647232"/>
      </c:lineChart>
      <c:lineChart>
        <c:grouping val="standard"/>
        <c:ser>
          <c:idx val="3"/>
          <c:order val="3"/>
          <c:tx>
            <c:strRef>
              <c:f>'zk80+422'!$AG$3:$AG$5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'zk80+422'!$A$6:$A$24</c:f>
              <c:numCache>
                <c:formatCode>m"月"d"日";@</c:formatCode>
                <c:ptCount val="19"/>
                <c:pt idx="0">
                  <c:v>44867</c:v>
                </c:pt>
                <c:pt idx="1">
                  <c:v>44868</c:v>
                </c:pt>
                <c:pt idx="2">
                  <c:v>44869</c:v>
                </c:pt>
                <c:pt idx="3">
                  <c:v>44870</c:v>
                </c:pt>
                <c:pt idx="4">
                  <c:v>44871</c:v>
                </c:pt>
                <c:pt idx="5">
                  <c:v>44872</c:v>
                </c:pt>
                <c:pt idx="6">
                  <c:v>44873</c:v>
                </c:pt>
                <c:pt idx="7">
                  <c:v>44874</c:v>
                </c:pt>
                <c:pt idx="8">
                  <c:v>44875</c:v>
                </c:pt>
                <c:pt idx="9">
                  <c:v>44876</c:v>
                </c:pt>
                <c:pt idx="10">
                  <c:v>44877</c:v>
                </c:pt>
                <c:pt idx="11">
                  <c:v>44878</c:v>
                </c:pt>
                <c:pt idx="12">
                  <c:v>44879</c:v>
                </c:pt>
                <c:pt idx="13">
                  <c:v>44880</c:v>
                </c:pt>
                <c:pt idx="14">
                  <c:v>44881</c:v>
                </c:pt>
                <c:pt idx="15">
                  <c:v>44883</c:v>
                </c:pt>
                <c:pt idx="16">
                  <c:v>44885</c:v>
                </c:pt>
                <c:pt idx="17">
                  <c:v>44887</c:v>
                </c:pt>
                <c:pt idx="18">
                  <c:v>44889</c:v>
                </c:pt>
              </c:numCache>
            </c:numRef>
          </c:cat>
          <c:val>
            <c:numRef>
              <c:f>'zk80+422'!$AG$6:$AG$31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50</c:v>
                </c:pt>
                <c:pt idx="14">
                  <c:v>61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74</c:v>
                </c:pt>
                <c:pt idx="19">
                  <c:v>74</c:v>
                </c:pt>
              </c:numCache>
            </c:numRef>
          </c:val>
        </c:ser>
        <c:dLbls/>
        <c:marker val="1"/>
        <c:axId val="397657600"/>
        <c:axId val="397659136"/>
      </c:lineChart>
      <c:dateAx>
        <c:axId val="3976449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647232"/>
        <c:crossesAt val="-50"/>
        <c:auto val="1"/>
        <c:lblOffset val="100"/>
        <c:baseTimeUnit val="days"/>
        <c:majorUnit val="2"/>
        <c:majorTimeUnit val="days"/>
      </c:dateAx>
      <c:valAx>
        <c:axId val="39764723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644928"/>
        <c:crosses val="autoZero"/>
        <c:crossBetween val="midCat"/>
        <c:majorUnit val="1"/>
        <c:minorUnit val="0.5"/>
      </c:valAx>
      <c:dateAx>
        <c:axId val="39765760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7659136"/>
        <c:crosses val="autoZero"/>
        <c:auto val="1"/>
        <c:lblOffset val="100"/>
        <c:baseTimeUnit val="days"/>
      </c:dateAx>
      <c:valAx>
        <c:axId val="39765913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65760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'zk80+451'!$U$4:$W$4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'zk80+451'!$S$6:$S$27</c:f>
              <c:numCache>
                <c:formatCode>m"月"d"日";@</c:formatCode>
                <c:ptCount val="22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'zk80+451'!$V$6:$V$32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-1.20000000000076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-1.6999999999995901</c:v>
                </c:pt>
                <c:pt idx="11">
                  <c:v>-1.7999999999993599</c:v>
                </c:pt>
                <c:pt idx="12">
                  <c:v>-1.9000000000009001</c:v>
                </c:pt>
                <c:pt idx="13">
                  <c:v>-1.7999999999993599</c:v>
                </c:pt>
                <c:pt idx="14">
                  <c:v>-2.10000000000043</c:v>
                </c:pt>
                <c:pt idx="15">
                  <c:v>-2.2000000000002</c:v>
                </c:pt>
                <c:pt idx="16">
                  <c:v>-3.0999999999998802</c:v>
                </c:pt>
                <c:pt idx="17">
                  <c:v>-2.3999999999997401</c:v>
                </c:pt>
                <c:pt idx="18">
                  <c:v>-2.4999999999995</c:v>
                </c:pt>
                <c:pt idx="19">
                  <c:v>-2.9000000000003499</c:v>
                </c:pt>
                <c:pt idx="20">
                  <c:v>-2.3999999999997401</c:v>
                </c:pt>
              </c:numCache>
            </c:numRef>
          </c:val>
        </c:ser>
        <c:ser>
          <c:idx val="1"/>
          <c:order val="1"/>
          <c:tx>
            <c:strRef>
              <c:f>'zk80+451'!$Y$4:$AA$4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'zk80+451'!$S$6:$S$27</c:f>
              <c:numCache>
                <c:formatCode>m"月"d"日";@</c:formatCode>
                <c:ptCount val="22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'zk80+451'!$Z$6:$Z$33</c:f>
              <c:numCache>
                <c:formatCode>0.00_ </c:formatCode>
                <c:ptCount val="28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-0.60000000000037801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-1.8999999999991199</c:v>
                </c:pt>
                <c:pt idx="11">
                  <c:v>-1.99999999999889</c:v>
                </c:pt>
                <c:pt idx="12">
                  <c:v>-2.10000000000043</c:v>
                </c:pt>
                <c:pt idx="13">
                  <c:v>-1.99999999999889</c:v>
                </c:pt>
                <c:pt idx="14">
                  <c:v>-2.2999999999999701</c:v>
                </c:pt>
                <c:pt idx="15">
                  <c:v>-2.3999999999997401</c:v>
                </c:pt>
                <c:pt idx="16">
                  <c:v>-2.2999999999999701</c:v>
                </c:pt>
                <c:pt idx="17">
                  <c:v>-2.59999999999927</c:v>
                </c:pt>
                <c:pt idx="18">
                  <c:v>-2.6999999999990401</c:v>
                </c:pt>
                <c:pt idx="19">
                  <c:v>-2.8000000000005798</c:v>
                </c:pt>
                <c:pt idx="20">
                  <c:v>-2.59999999999927</c:v>
                </c:pt>
              </c:numCache>
            </c:numRef>
          </c:val>
        </c:ser>
        <c:ser>
          <c:idx val="2"/>
          <c:order val="2"/>
          <c:tx>
            <c:strRef>
              <c:f>'zk80+451'!$AC$4:$AE$4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'zk80+451'!$S$6:$S$27</c:f>
              <c:numCache>
                <c:formatCode>m"月"d"日";@</c:formatCode>
                <c:ptCount val="22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-0.30000000000107702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-1.3000000000005201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-1.80000000000113</c:v>
                </c:pt>
                <c:pt idx="10">
                  <c:v>-1.6999999999995901</c:v>
                </c:pt>
                <c:pt idx="11">
                  <c:v>-1.9000000000009001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-2.4999999999995</c:v>
                </c:pt>
                <c:pt idx="15">
                  <c:v>-2.7000000000096902</c:v>
                </c:pt>
                <c:pt idx="16">
                  <c:v>-2.6000000000010499</c:v>
                </c:pt>
                <c:pt idx="17">
                  <c:v>-3.1000000000105401</c:v>
                </c:pt>
                <c:pt idx="18">
                  <c:v>-3.30000000001007</c:v>
                </c:pt>
                <c:pt idx="19">
                  <c:v>-3.30000000000119</c:v>
                </c:pt>
                <c:pt idx="20">
                  <c:v>-3.1999999999996498</c:v>
                </c:pt>
              </c:numCache>
            </c:numRef>
          </c:val>
        </c:ser>
        <c:dLbls/>
        <c:marker val="1"/>
        <c:axId val="397841920"/>
        <c:axId val="397860864"/>
      </c:lineChart>
      <c:lineChart>
        <c:grouping val="standard"/>
        <c:ser>
          <c:idx val="3"/>
          <c:order val="3"/>
          <c:tx>
            <c:strRef>
              <c:f>'zk80+451'!$AG$3:$AG$5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'zk80+451'!$S$6:$S$27</c:f>
              <c:numCache>
                <c:formatCode>m"月"d"日";@</c:formatCode>
                <c:ptCount val="22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'zk80+451'!$AG$6:$AG$31</c:f>
              <c:numCache>
                <c:formatCode>0.0_ </c:formatCode>
                <c:ptCount val="26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32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</c:numCache>
            </c:numRef>
          </c:val>
        </c:ser>
        <c:dLbls/>
        <c:marker val="1"/>
        <c:axId val="397862784"/>
        <c:axId val="397864320"/>
      </c:lineChart>
      <c:dateAx>
        <c:axId val="3978419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860864"/>
        <c:crossesAt val="-50"/>
        <c:auto val="1"/>
        <c:lblOffset val="100"/>
        <c:baseTimeUnit val="days"/>
        <c:majorUnit val="2"/>
        <c:majorTimeUnit val="days"/>
      </c:dateAx>
      <c:valAx>
        <c:axId val="397860864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841920"/>
        <c:crosses val="autoZero"/>
        <c:crossBetween val="midCat"/>
        <c:majorUnit val="1.4"/>
        <c:minorUnit val="0.1"/>
      </c:valAx>
      <c:dateAx>
        <c:axId val="3978627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7864320"/>
        <c:crosses val="autoZero"/>
        <c:auto val="1"/>
        <c:lblOffset val="100"/>
        <c:baseTimeUnit val="days"/>
      </c:dateAx>
      <c:valAx>
        <c:axId val="39786432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86278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'zk80+451'!$C$4:$G$4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'zk80+451'!$A$6:$A$38</c:f>
              <c:numCache>
                <c:formatCode>m"月"d"日";@</c:formatCode>
                <c:ptCount val="33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'zk80+451'!$G$6:$G$34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-0.199999999949796</c:v>
                </c:pt>
                <c:pt idx="3">
                  <c:v>-0.199999999949796</c:v>
                </c:pt>
                <c:pt idx="4">
                  <c:v>-0.10000000008858501</c:v>
                </c:pt>
                <c:pt idx="5">
                  <c:v>-0.29999999992469401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-9.9999999974897905E-2</c:v>
                </c:pt>
                <c:pt idx="12">
                  <c:v>-9.9999999974897905E-2</c:v>
                </c:pt>
                <c:pt idx="13">
                  <c:v>-9.9999999974897905E-2</c:v>
                </c:pt>
                <c:pt idx="14">
                  <c:v>9.9999999974897905E-2</c:v>
                </c:pt>
                <c:pt idx="15">
                  <c:v>-0.15000000001919001</c:v>
                </c:pt>
                <c:pt idx="16">
                  <c:v>-4.9999999987449001E-2</c:v>
                </c:pt>
                <c:pt idx="17">
                  <c:v>-0.15000000001919001</c:v>
                </c:pt>
                <c:pt idx="18">
                  <c:v>5.0000000044292399E-2</c:v>
                </c:pt>
                <c:pt idx="19">
                  <c:v>-2.5000000022146199E-2</c:v>
                </c:pt>
                <c:pt idx="20">
                  <c:v>2.0000000017716998E-2</c:v>
                </c:pt>
              </c:numCache>
            </c:numRef>
          </c:val>
        </c:ser>
        <c:ser>
          <c:idx val="1"/>
          <c:order val="1"/>
          <c:tx>
            <c:strRef>
              <c:f>'zk80+451'!$H$4:$L$4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'zk80+451'!$A$6:$A$38</c:f>
              <c:numCache>
                <c:formatCode>m"月"d"日";@</c:formatCode>
                <c:ptCount val="33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0.10000000008858501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-0.30000000003838101</c:v>
                </c:pt>
                <c:pt idx="10">
                  <c:v>-9.9999999974897905E-2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-9.9999999974897905E-2</c:v>
                </c:pt>
                <c:pt idx="15">
                  <c:v>-0.15000000001919001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-9.9999999974897905E-2</c:v>
                </c:pt>
                <c:pt idx="19">
                  <c:v>2.49999999937245E-2</c:v>
                </c:pt>
                <c:pt idx="20">
                  <c:v>1.99999999949796E-2</c:v>
                </c:pt>
              </c:numCache>
            </c:numRef>
          </c:val>
        </c:ser>
        <c:ser>
          <c:idx val="2"/>
          <c:order val="2"/>
          <c:tx>
            <c:strRef>
              <c:f>'zk80+451'!$M$4:$Q$4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'zk80+451'!$A$6:$A$38</c:f>
              <c:numCache>
                <c:formatCode>m"月"d"日";@</c:formatCode>
                <c:ptCount val="33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'zk80+451'!$Q$6:$Q$31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-0.69999999993797202</c:v>
                </c:pt>
                <c:pt idx="10">
                  <c:v>0.30000000003838101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-0.30000000003838101</c:v>
                </c:pt>
                <c:pt idx="14">
                  <c:v>-9.9999999974897905E-2</c:v>
                </c:pt>
                <c:pt idx="15">
                  <c:v>-0.100000000031741</c:v>
                </c:pt>
                <c:pt idx="16">
                  <c:v>-0.20000000000663901</c:v>
                </c:pt>
                <c:pt idx="17">
                  <c:v>0</c:v>
                </c:pt>
                <c:pt idx="18">
                  <c:v>-9.9999999974897905E-2</c:v>
                </c:pt>
                <c:pt idx="19">
                  <c:v>2.49999999937245E-2</c:v>
                </c:pt>
                <c:pt idx="20">
                  <c:v>1.99999999949796E-2</c:v>
                </c:pt>
              </c:numCache>
            </c:numRef>
          </c:val>
        </c:ser>
        <c:dLbls/>
        <c:marker val="1"/>
        <c:axId val="397791232"/>
        <c:axId val="397793536"/>
      </c:lineChart>
      <c:dateAx>
        <c:axId val="3977912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793536"/>
        <c:crossesAt val="-50"/>
        <c:auto val="1"/>
        <c:lblOffset val="100"/>
        <c:baseTimeUnit val="days"/>
        <c:majorUnit val="2"/>
        <c:majorTimeUnit val="days"/>
      </c:dateAx>
      <c:valAx>
        <c:axId val="397793536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79123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'zk80+451'!$S$6:$S$41</c:f>
              <c:numCache>
                <c:formatCode>m"月"d"日";@</c:formatCode>
                <c:ptCount val="36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'zk80+451'!$W$6:$W$32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0.19999999999953399</c:v>
                </c:pt>
                <c:pt idx="3">
                  <c:v>0.19999999999953399</c:v>
                </c:pt>
                <c:pt idx="4">
                  <c:v>-9.99999999997669E-2</c:v>
                </c:pt>
                <c:pt idx="5">
                  <c:v>0.50000000000061096</c:v>
                </c:pt>
                <c:pt idx="6">
                  <c:v>0.19999999999953399</c:v>
                </c:pt>
                <c:pt idx="7">
                  <c:v>0.30000000000107702</c:v>
                </c:pt>
                <c:pt idx="8">
                  <c:v>9.99999999997669E-2</c:v>
                </c:pt>
                <c:pt idx="9">
                  <c:v>0.19999999999953399</c:v>
                </c:pt>
                <c:pt idx="10">
                  <c:v>0.19999999999953399</c:v>
                </c:pt>
                <c:pt idx="11">
                  <c:v>9.99999999997669E-2</c:v>
                </c:pt>
                <c:pt idx="12">
                  <c:v>0.10000000000154299</c:v>
                </c:pt>
                <c:pt idx="13">
                  <c:v>-0.10000000000154299</c:v>
                </c:pt>
                <c:pt idx="14">
                  <c:v>0.30000000000107702</c:v>
                </c:pt>
                <c:pt idx="15">
                  <c:v>4.9999999999883499E-2</c:v>
                </c:pt>
                <c:pt idx="16">
                  <c:v>0.44999999999983897</c:v>
                </c:pt>
                <c:pt idx="17">
                  <c:v>-0.35000000000007198</c:v>
                </c:pt>
                <c:pt idx="18">
                  <c:v>4.9999999999883499E-2</c:v>
                </c:pt>
                <c:pt idx="19">
                  <c:v>0.100000000000211</c:v>
                </c:pt>
                <c:pt idx="20">
                  <c:v>-0.10000000000012201</c:v>
                </c:pt>
              </c:numCache>
            </c:numRef>
          </c:val>
        </c:ser>
        <c:ser>
          <c:idx val="1"/>
          <c:order val="1"/>
          <c:tx>
            <c:strRef>
              <c:f>'zk80+451'!$Y$4:$AA$4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'zk80+451'!$S$6:$S$41</c:f>
              <c:numCache>
                <c:formatCode>m"月"d"日";@</c:formatCode>
                <c:ptCount val="36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'zk80+451'!$AA$6:$AA$31</c:f>
              <c:numCache>
                <c:formatCode>0.00_ </c:formatCode>
                <c:ptCount val="26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-0.10000000000154299</c:v>
                </c:pt>
                <c:pt idx="5">
                  <c:v>-0.29999999999930099</c:v>
                </c:pt>
                <c:pt idx="6">
                  <c:v>-0.19999999999953399</c:v>
                </c:pt>
                <c:pt idx="7">
                  <c:v>-0.30000000000107702</c:v>
                </c:pt>
                <c:pt idx="8">
                  <c:v>-9.99999999997669E-2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-9.99999999997669E-2</c:v>
                </c:pt>
                <c:pt idx="12">
                  <c:v>-0.10000000000154299</c:v>
                </c:pt>
                <c:pt idx="13">
                  <c:v>0.10000000000154299</c:v>
                </c:pt>
                <c:pt idx="14">
                  <c:v>-0.30000000000107702</c:v>
                </c:pt>
                <c:pt idx="15">
                  <c:v>-4.9999999999883499E-2</c:v>
                </c:pt>
                <c:pt idx="16">
                  <c:v>4.9999999999883499E-2</c:v>
                </c:pt>
                <c:pt idx="17">
                  <c:v>-0.14999999999965</c:v>
                </c:pt>
                <c:pt idx="18">
                  <c:v>-4.9999999999883499E-2</c:v>
                </c:pt>
                <c:pt idx="19">
                  <c:v>-2.50000000003858E-2</c:v>
                </c:pt>
                <c:pt idx="20">
                  <c:v>4.0000000000262E-2</c:v>
                </c:pt>
              </c:numCache>
            </c:numRef>
          </c:val>
        </c:ser>
        <c:ser>
          <c:idx val="2"/>
          <c:order val="2"/>
          <c:tx>
            <c:strRef>
              <c:f>'zk80+451'!$AC$4:$AE$4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'zk80+451'!$S$6:$S$41</c:f>
              <c:numCache>
                <c:formatCode>m"月"d"日";@</c:formatCode>
                <c:ptCount val="36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-0.20000000000130999</c:v>
                </c:pt>
                <c:pt idx="3">
                  <c:v>9.99999999997669E-2</c:v>
                </c:pt>
                <c:pt idx="4">
                  <c:v>-0.49999999999883499</c:v>
                </c:pt>
                <c:pt idx="5">
                  <c:v>-0.19999999999953399</c:v>
                </c:pt>
                <c:pt idx="6">
                  <c:v>-0.30000000000107702</c:v>
                </c:pt>
                <c:pt idx="7">
                  <c:v>-9.99999999997669E-2</c:v>
                </c:pt>
                <c:pt idx="8">
                  <c:v>-0.19999999999953399</c:v>
                </c:pt>
                <c:pt idx="9">
                  <c:v>-0.20000000000130999</c:v>
                </c:pt>
                <c:pt idx="10">
                  <c:v>0.10000000000154299</c:v>
                </c:pt>
                <c:pt idx="11">
                  <c:v>-0.20000000000130999</c:v>
                </c:pt>
                <c:pt idx="12">
                  <c:v>-0.19999999999953399</c:v>
                </c:pt>
                <c:pt idx="13">
                  <c:v>-0.19999999999953399</c:v>
                </c:pt>
                <c:pt idx="14">
                  <c:v>-0.19999999999953399</c:v>
                </c:pt>
                <c:pt idx="15">
                  <c:v>-0.100000000005096</c:v>
                </c:pt>
                <c:pt idx="16">
                  <c:v>5.0000000004324398E-2</c:v>
                </c:pt>
                <c:pt idx="17">
                  <c:v>-0.25000000000474598</c:v>
                </c:pt>
                <c:pt idx="18">
                  <c:v>-9.99999999997669E-2</c:v>
                </c:pt>
                <c:pt idx="19">
                  <c:v>2.2204460492503098E-12</c:v>
                </c:pt>
                <c:pt idx="20">
                  <c:v>2.0000000000308701E-2</c:v>
                </c:pt>
              </c:numCache>
            </c:numRef>
          </c:val>
        </c:ser>
        <c:dLbls/>
        <c:marker val="1"/>
        <c:axId val="397914880"/>
        <c:axId val="397917184"/>
      </c:lineChart>
      <c:dateAx>
        <c:axId val="39791488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917184"/>
        <c:crossesAt val="-50"/>
        <c:auto val="1"/>
        <c:lblOffset val="100"/>
        <c:baseTimeUnit val="days"/>
        <c:majorUnit val="2"/>
        <c:majorTimeUnit val="days"/>
      </c:dateAx>
      <c:valAx>
        <c:axId val="39791718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91488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k80+451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'zk80+451'!$A$6:$A$34</c:f>
              <c:numCache>
                <c:formatCode>m"月"d"日";@</c:formatCode>
                <c:ptCount val="29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'zk80+451'!$F$6:$F$24</c:f>
              <c:numCache>
                <c:formatCode>0.00_ </c:formatCode>
                <c:ptCount val="19"/>
                <c:pt idx="0">
                  <c:v>0</c:v>
                </c:pt>
                <c:pt idx="1">
                  <c:v>0.199999999949796</c:v>
                </c:pt>
                <c:pt idx="2">
                  <c:v>0</c:v>
                </c:pt>
                <c:pt idx="3">
                  <c:v>-0.199999999949796</c:v>
                </c:pt>
                <c:pt idx="4">
                  <c:v>-0.30000000003838101</c:v>
                </c:pt>
                <c:pt idx="5">
                  <c:v>-0.59999999996307496</c:v>
                </c:pt>
                <c:pt idx="6">
                  <c:v>-0.70000000005165897</c:v>
                </c:pt>
                <c:pt idx="7">
                  <c:v>-0.99999999997635303</c:v>
                </c:pt>
                <c:pt idx="8">
                  <c:v>-0.90000000000145497</c:v>
                </c:pt>
                <c:pt idx="9">
                  <c:v>-1.39999999998963</c:v>
                </c:pt>
                <c:pt idx="10">
                  <c:v>-1.60000000005311</c:v>
                </c:pt>
                <c:pt idx="11">
                  <c:v>-1.70000000002801</c:v>
                </c:pt>
                <c:pt idx="12">
                  <c:v>-1.8000000000029099</c:v>
                </c:pt>
                <c:pt idx="13">
                  <c:v>-1.8999999999778101</c:v>
                </c:pt>
                <c:pt idx="14">
                  <c:v>-1.8000000000029099</c:v>
                </c:pt>
                <c:pt idx="15">
                  <c:v>-2.1000000000412902</c:v>
                </c:pt>
                <c:pt idx="16">
                  <c:v>-2.2000000000161899</c:v>
                </c:pt>
                <c:pt idx="17">
                  <c:v>-2.5000000000545701</c:v>
                </c:pt>
                <c:pt idx="18">
                  <c:v>-2.39999999996598</c:v>
                </c:pt>
              </c:numCache>
            </c:numRef>
          </c:val>
        </c:ser>
        <c:ser>
          <c:idx val="1"/>
          <c:order val="1"/>
          <c:tx>
            <c:strRef>
              <c:f>'zk80+451'!$H$4:$L$4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'zk80+451'!$A$6:$A$34</c:f>
              <c:numCache>
                <c:formatCode>m"月"d"日";@</c:formatCode>
                <c:ptCount val="29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-0.70000000005165897</c:v>
                </c:pt>
                <c:pt idx="6">
                  <c:v>-0.59999999996307496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-1.60000000005311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-2.39999999996598</c:v>
                </c:pt>
                <c:pt idx="15">
                  <c:v>-2.70000000000437</c:v>
                </c:pt>
                <c:pt idx="16">
                  <c:v>-2.6000000000294698</c:v>
                </c:pt>
                <c:pt idx="17">
                  <c:v>-3.1000000000176402</c:v>
                </c:pt>
                <c:pt idx="18">
                  <c:v>-3.2999999999674401</c:v>
                </c:pt>
                <c:pt idx="19">
                  <c:v>-3.1999999999925399</c:v>
                </c:pt>
                <c:pt idx="20">
                  <c:v>-3.1000000000176402</c:v>
                </c:pt>
              </c:numCache>
            </c:numRef>
          </c:val>
        </c:ser>
        <c:ser>
          <c:idx val="2"/>
          <c:order val="2"/>
          <c:tx>
            <c:strRef>
              <c:f>'zk80+451'!$M$4:$Q$4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'zk80+451'!$A$6:$A$34</c:f>
              <c:numCache>
                <c:formatCode>m"月"d"日";@</c:formatCode>
                <c:ptCount val="29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  <c:pt idx="19">
                  <c:v>44900</c:v>
                </c:pt>
                <c:pt idx="20">
                  <c:v>44905</c:v>
                </c:pt>
              </c:numCache>
            </c:numRef>
          </c:cat>
          <c:val>
            <c:numRef>
              <c:f>'zk80+451'!$P$6:$P$28</c:f>
              <c:numCache>
                <c:formatCode>0.00_ </c:formatCode>
                <c:ptCount val="23"/>
                <c:pt idx="0">
                  <c:v>0</c:v>
                </c:pt>
                <c:pt idx="1">
                  <c:v>-0.30000000003838101</c:v>
                </c:pt>
                <c:pt idx="2">
                  <c:v>-0.20000000006348301</c:v>
                </c:pt>
                <c:pt idx="3">
                  <c:v>-0.40000000001327901</c:v>
                </c:pt>
                <c:pt idx="4">
                  <c:v>-0.60000000007676102</c:v>
                </c:pt>
                <c:pt idx="5">
                  <c:v>-0.80000000002655702</c:v>
                </c:pt>
                <c:pt idx="6">
                  <c:v>-0.70000000005165897</c:v>
                </c:pt>
                <c:pt idx="7">
                  <c:v>-1.2000000000398401</c:v>
                </c:pt>
                <c:pt idx="8">
                  <c:v>-1.4000000001033199</c:v>
                </c:pt>
                <c:pt idx="9">
                  <c:v>-2.1000000000412902</c:v>
                </c:pt>
                <c:pt idx="10">
                  <c:v>-1.8000000000029099</c:v>
                </c:pt>
                <c:pt idx="11">
                  <c:v>-2.00000000006639</c:v>
                </c:pt>
                <c:pt idx="12">
                  <c:v>-2.2000000000161899</c:v>
                </c:pt>
                <c:pt idx="13">
                  <c:v>-2.5000000000545701</c:v>
                </c:pt>
                <c:pt idx="14">
                  <c:v>-2.6000000000294698</c:v>
                </c:pt>
                <c:pt idx="15">
                  <c:v>-2.8000000000929499</c:v>
                </c:pt>
                <c:pt idx="16">
                  <c:v>-3.2000000001062299</c:v>
                </c:pt>
                <c:pt idx="17">
                  <c:v>-3.2000000001062299</c:v>
                </c:pt>
                <c:pt idx="18">
                  <c:v>-3.40000000005602</c:v>
                </c:pt>
                <c:pt idx="19">
                  <c:v>-3.30000000008113</c:v>
                </c:pt>
                <c:pt idx="20">
                  <c:v>-3.2000000001062299</c:v>
                </c:pt>
              </c:numCache>
            </c:numRef>
          </c:val>
        </c:ser>
        <c:dLbls/>
        <c:marker val="1"/>
        <c:axId val="397992704"/>
        <c:axId val="397995008"/>
      </c:lineChart>
      <c:lineChart>
        <c:grouping val="standard"/>
        <c:ser>
          <c:idx val="3"/>
          <c:order val="3"/>
          <c:tx>
            <c:strRef>
              <c:f>'zk80+451'!$AG$3:$AG$5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'zk80+451'!$A$6:$A$24</c:f>
              <c:numCache>
                <c:formatCode>m"月"d"日";@</c:formatCode>
                <c:ptCount val="19"/>
                <c:pt idx="0">
                  <c:v>44874</c:v>
                </c:pt>
                <c:pt idx="1">
                  <c:v>44875</c:v>
                </c:pt>
                <c:pt idx="2">
                  <c:v>44876</c:v>
                </c:pt>
                <c:pt idx="3">
                  <c:v>44877</c:v>
                </c:pt>
                <c:pt idx="4">
                  <c:v>44878</c:v>
                </c:pt>
                <c:pt idx="5">
                  <c:v>44879</c:v>
                </c:pt>
                <c:pt idx="6">
                  <c:v>44880</c:v>
                </c:pt>
                <c:pt idx="7">
                  <c:v>44881</c:v>
                </c:pt>
                <c:pt idx="8">
                  <c:v>44882</c:v>
                </c:pt>
                <c:pt idx="9">
                  <c:v>44883</c:v>
                </c:pt>
                <c:pt idx="10">
                  <c:v>44884</c:v>
                </c:pt>
                <c:pt idx="11">
                  <c:v>44885</c:v>
                </c:pt>
                <c:pt idx="12">
                  <c:v>44886</c:v>
                </c:pt>
                <c:pt idx="13">
                  <c:v>44887</c:v>
                </c:pt>
                <c:pt idx="14">
                  <c:v>44888</c:v>
                </c:pt>
                <c:pt idx="15">
                  <c:v>44890</c:v>
                </c:pt>
                <c:pt idx="16">
                  <c:v>44892</c:v>
                </c:pt>
                <c:pt idx="17">
                  <c:v>44894</c:v>
                </c:pt>
                <c:pt idx="18">
                  <c:v>44896</c:v>
                </c:pt>
              </c:numCache>
            </c:numRef>
          </c:cat>
          <c:val>
            <c:numRef>
              <c:f>'zk80+451'!$AG$6:$AG$31</c:f>
              <c:numCache>
                <c:formatCode>0.0_ </c:formatCode>
                <c:ptCount val="26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17</c:v>
                </c:pt>
                <c:pt idx="4">
                  <c:v>20</c:v>
                </c:pt>
                <c:pt idx="5">
                  <c:v>23</c:v>
                </c:pt>
                <c:pt idx="6">
                  <c:v>26</c:v>
                </c:pt>
                <c:pt idx="7">
                  <c:v>32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</c:numCache>
            </c:numRef>
          </c:val>
        </c:ser>
        <c:dLbls/>
        <c:marker val="1"/>
        <c:axId val="398017664"/>
        <c:axId val="398019200"/>
      </c:lineChart>
      <c:dateAx>
        <c:axId val="3979927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995008"/>
        <c:crossesAt val="-50"/>
        <c:auto val="1"/>
        <c:lblOffset val="100"/>
        <c:baseTimeUnit val="days"/>
        <c:majorUnit val="2"/>
        <c:majorTimeUnit val="days"/>
      </c:dateAx>
      <c:valAx>
        <c:axId val="39799500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7992704"/>
        <c:crosses val="autoZero"/>
        <c:crossBetween val="midCat"/>
        <c:majorUnit val="1"/>
        <c:minorUnit val="0.5"/>
      </c:valAx>
      <c:dateAx>
        <c:axId val="3980176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019200"/>
        <c:crosses val="autoZero"/>
        <c:auto val="1"/>
        <c:lblOffset val="100"/>
        <c:baseTimeUnit val="days"/>
      </c:dateAx>
      <c:valAx>
        <c:axId val="39801920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01766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80+481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'zk80+481'!$U$4:$W$4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'zk80+481'!$S$6:$S$27</c:f>
              <c:numCache>
                <c:formatCode>m"月"d"日";@</c:formatCode>
                <c:ptCount val="22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'zk80+481'!$V$6:$V$32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-0.29999999999930099</c:v>
                </c:pt>
                <c:pt idx="5">
                  <c:v>-0.50000000000061096</c:v>
                </c:pt>
                <c:pt idx="6">
                  <c:v>-0.70000000000014495</c:v>
                </c:pt>
                <c:pt idx="7">
                  <c:v>-0.60000000000037801</c:v>
                </c:pt>
                <c:pt idx="8">
                  <c:v>-1.0999999999992101</c:v>
                </c:pt>
                <c:pt idx="9">
                  <c:v>-1.3000000000094001</c:v>
                </c:pt>
                <c:pt idx="10">
                  <c:v>-1.20000000000076</c:v>
                </c:pt>
                <c:pt idx="11">
                  <c:v>-1.70000000001025</c:v>
                </c:pt>
                <c:pt idx="12">
                  <c:v>-1.9000000000097801</c:v>
                </c:pt>
                <c:pt idx="13">
                  <c:v>-1.6999999999995901</c:v>
                </c:pt>
                <c:pt idx="14">
                  <c:v>-2.30000000001063</c:v>
                </c:pt>
                <c:pt idx="15">
                  <c:v>-2.5000000000101599</c:v>
                </c:pt>
                <c:pt idx="16">
                  <c:v>-2.59999999999927</c:v>
                </c:pt>
                <c:pt idx="17">
                  <c:v>-2.9000000000198898</c:v>
                </c:pt>
                <c:pt idx="18">
                  <c:v>-2.9000000000003499</c:v>
                </c:pt>
                <c:pt idx="19">
                  <c:v>-3.3000000000207299</c:v>
                </c:pt>
                <c:pt idx="20">
                  <c:v>-3.3999999999991801</c:v>
                </c:pt>
              </c:numCache>
            </c:numRef>
          </c:val>
        </c:ser>
        <c:ser>
          <c:idx val="1"/>
          <c:order val="1"/>
          <c:tx>
            <c:strRef>
              <c:f>'zk80+481'!$Y$4:$AA$4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'zk80+481'!$S$6:$S$27</c:f>
              <c:numCache>
                <c:formatCode>m"月"d"日";@</c:formatCode>
                <c:ptCount val="22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-0.10000000000154299</c:v>
                </c:pt>
                <c:pt idx="2">
                  <c:v>-0.30000000000107702</c:v>
                </c:pt>
                <c:pt idx="3">
                  <c:v>-0.50000000000061096</c:v>
                </c:pt>
                <c:pt idx="4">
                  <c:v>-0.40000000000084401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-0.799999999999912</c:v>
                </c:pt>
                <c:pt idx="8">
                  <c:v>-1.20000000000076</c:v>
                </c:pt>
                <c:pt idx="9">
                  <c:v>-1.4000000000002899</c:v>
                </c:pt>
                <c:pt idx="10">
                  <c:v>-1.50000000000006</c:v>
                </c:pt>
                <c:pt idx="11">
                  <c:v>-1.80000000000113</c:v>
                </c:pt>
                <c:pt idx="12">
                  <c:v>-2.0000000000006701</c:v>
                </c:pt>
                <c:pt idx="13">
                  <c:v>-2.2000000000002</c:v>
                </c:pt>
                <c:pt idx="14">
                  <c:v>-2.2999999999999701</c:v>
                </c:pt>
                <c:pt idx="15">
                  <c:v>-2.5000000000012799</c:v>
                </c:pt>
                <c:pt idx="16">
                  <c:v>-2.8000000000005798</c:v>
                </c:pt>
                <c:pt idx="17">
                  <c:v>-3.0000000000001101</c:v>
                </c:pt>
                <c:pt idx="18">
                  <c:v>-3.2000000000014199</c:v>
                </c:pt>
                <c:pt idx="19">
                  <c:v>-3.0999999999998802</c:v>
                </c:pt>
                <c:pt idx="20">
                  <c:v>-2.9000000000003499</c:v>
                </c:pt>
              </c:numCache>
            </c:numRef>
          </c:val>
        </c:ser>
        <c:ser>
          <c:idx val="2"/>
          <c:order val="2"/>
          <c:tx>
            <c:strRef>
              <c:f>'zk80+481'!$AC$4:$AE$4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'zk80+481'!$S$6:$S$27</c:f>
              <c:numCache>
                <c:formatCode>m"月"d"日";@</c:formatCode>
                <c:ptCount val="22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-0.40000000000084401</c:v>
                </c:pt>
                <c:pt idx="3">
                  <c:v>-0.50000000000061096</c:v>
                </c:pt>
                <c:pt idx="4">
                  <c:v>-0.70000000000014495</c:v>
                </c:pt>
                <c:pt idx="5">
                  <c:v>-1.0000000000012199</c:v>
                </c:pt>
                <c:pt idx="6">
                  <c:v>-1.10000000000099</c:v>
                </c:pt>
                <c:pt idx="7">
                  <c:v>-1.3000000000005201</c:v>
                </c:pt>
                <c:pt idx="8">
                  <c:v>-1.4000000000002899</c:v>
                </c:pt>
                <c:pt idx="9">
                  <c:v>-1.70000000001025</c:v>
                </c:pt>
                <c:pt idx="10">
                  <c:v>-1.9000000000097801</c:v>
                </c:pt>
                <c:pt idx="11">
                  <c:v>-2.0000000000006701</c:v>
                </c:pt>
                <c:pt idx="12">
                  <c:v>-2.30000000001063</c:v>
                </c:pt>
                <c:pt idx="13">
                  <c:v>-2.5000000000101599</c:v>
                </c:pt>
                <c:pt idx="14">
                  <c:v>-2.3999999999997401</c:v>
                </c:pt>
                <c:pt idx="15">
                  <c:v>-2.900000000011</c:v>
                </c:pt>
                <c:pt idx="16">
                  <c:v>-3.1000000000212</c:v>
                </c:pt>
                <c:pt idx="17">
                  <c:v>-3.3000000000207299</c:v>
                </c:pt>
                <c:pt idx="18">
                  <c:v>-3.2000000000014199</c:v>
                </c:pt>
                <c:pt idx="19">
                  <c:v>-3.7000000000197999</c:v>
                </c:pt>
                <c:pt idx="20">
                  <c:v>-3.6000000000004899</c:v>
                </c:pt>
              </c:numCache>
            </c:numRef>
          </c:val>
        </c:ser>
        <c:dLbls/>
        <c:marker val="1"/>
        <c:axId val="398156928"/>
        <c:axId val="398159232"/>
      </c:lineChart>
      <c:lineChart>
        <c:grouping val="standard"/>
        <c:ser>
          <c:idx val="3"/>
          <c:order val="3"/>
          <c:tx>
            <c:strRef>
              <c:f>'zk80+481'!$AG$3:$AG$5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'zk80+481'!$S$6:$S$27</c:f>
              <c:numCache>
                <c:formatCode>m"月"d"日";@</c:formatCode>
                <c:ptCount val="22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'zk80+481'!$AG$6:$AG$31</c:f>
              <c:numCache>
                <c:formatCode>0.0_ </c:formatCode>
                <c:ptCount val="26"/>
                <c:pt idx="0">
                  <c:v>7</c:v>
                </c:pt>
                <c:pt idx="1">
                  <c:v>2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</c:numCache>
            </c:numRef>
          </c:val>
        </c:ser>
        <c:dLbls/>
        <c:marker val="1"/>
        <c:axId val="398190080"/>
        <c:axId val="398191616"/>
      </c:lineChart>
      <c:dateAx>
        <c:axId val="3981569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159232"/>
        <c:crossesAt val="-50"/>
        <c:auto val="1"/>
        <c:lblOffset val="100"/>
        <c:baseTimeUnit val="days"/>
        <c:majorUnit val="2"/>
        <c:majorTimeUnit val="days"/>
      </c:dateAx>
      <c:valAx>
        <c:axId val="398159232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156928"/>
        <c:crosses val="autoZero"/>
        <c:crossBetween val="midCat"/>
        <c:majorUnit val="1.4"/>
        <c:minorUnit val="0.1"/>
      </c:valAx>
      <c:dateAx>
        <c:axId val="39819008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191616"/>
        <c:crosses val="autoZero"/>
        <c:auto val="1"/>
        <c:lblOffset val="100"/>
        <c:baseTimeUnit val="days"/>
      </c:dateAx>
      <c:valAx>
        <c:axId val="39819161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19008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80+481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'zk80+481'!$C$4:$G$4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'zk80+481'!$A$6:$A$38</c:f>
              <c:numCache>
                <c:formatCode>m"月"d"日";@</c:formatCode>
                <c:ptCount val="33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'zk80+481'!$G$6:$G$34</c:f>
              <c:numCache>
                <c:formatCode>0.00_ </c:formatCode>
                <c:ptCount val="29"/>
                <c:pt idx="0">
                  <c:v>0</c:v>
                </c:pt>
                <c:pt idx="1">
                  <c:v>0.10000000008858501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-0.30000000003838101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0.40000000001327901</c:v>
                </c:pt>
                <c:pt idx="14">
                  <c:v>-0.80000000002655702</c:v>
                </c:pt>
                <c:pt idx="15">
                  <c:v>-0.100000000031741</c:v>
                </c:pt>
                <c:pt idx="16">
                  <c:v>5.0000000044292399E-2</c:v>
                </c:pt>
                <c:pt idx="17">
                  <c:v>-0.24999999999408801</c:v>
                </c:pt>
                <c:pt idx="18">
                  <c:v>-4.0000000012696497E-2</c:v>
                </c:pt>
                <c:pt idx="19">
                  <c:v>1.99999999949796E-2</c:v>
                </c:pt>
                <c:pt idx="20">
                  <c:v>2.0000000017716998E-2</c:v>
                </c:pt>
              </c:numCache>
            </c:numRef>
          </c:val>
        </c:ser>
        <c:ser>
          <c:idx val="1"/>
          <c:order val="1"/>
          <c:tx>
            <c:strRef>
              <c:f>'zk80+481'!$H$4:$L$4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'zk80+481'!$A$6:$A$38</c:f>
              <c:numCache>
                <c:formatCode>m"月"d"日";@</c:formatCode>
                <c:ptCount val="33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'zk80+481'!$L$6:$L$35</c:f>
              <c:numCache>
                <c:formatCode>0.00_ </c:formatCode>
                <c:ptCount val="30"/>
                <c:pt idx="0">
                  <c:v>0</c:v>
                </c:pt>
                <c:pt idx="1">
                  <c:v>0.199999999949796</c:v>
                </c:pt>
                <c:pt idx="2">
                  <c:v>0</c:v>
                </c:pt>
                <c:pt idx="3">
                  <c:v>-0.40000000001327901</c:v>
                </c:pt>
                <c:pt idx="4">
                  <c:v>-0.29999999992469401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</c:v>
                </c:pt>
                <c:pt idx="11">
                  <c:v>-0.40000000001327901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-0.20000000006348301</c:v>
                </c:pt>
                <c:pt idx="15">
                  <c:v>-4.9999999987449001E-2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-3.9999999989959199E-2</c:v>
                </c:pt>
                <c:pt idx="19">
                  <c:v>0</c:v>
                </c:pt>
                <c:pt idx="20">
                  <c:v>3.9999999989959199E-2</c:v>
                </c:pt>
              </c:numCache>
            </c:numRef>
          </c:val>
        </c:ser>
        <c:ser>
          <c:idx val="2"/>
          <c:order val="2"/>
          <c:tx>
            <c:strRef>
              <c:f>'zk80+481'!$M$4:$Q$4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'zk80+481'!$A$6:$A$38</c:f>
              <c:numCache>
                <c:formatCode>m"月"d"日";@</c:formatCode>
                <c:ptCount val="33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'zk80+481'!$Q$6:$Q$31</c:f>
              <c:numCache>
                <c:formatCode>0.00_ </c:formatCode>
                <c:ptCount val="26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-9.9999999974897905E-2</c:v>
                </c:pt>
                <c:pt idx="5">
                  <c:v>-0.199999999949796</c:v>
                </c:pt>
                <c:pt idx="6">
                  <c:v>9.9999999974897905E-2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0.60000000007676102</c:v>
                </c:pt>
                <c:pt idx="10">
                  <c:v>-1.00000000009004</c:v>
                </c:pt>
                <c:pt idx="11">
                  <c:v>-0.199999999949796</c:v>
                </c:pt>
                <c:pt idx="12">
                  <c:v>0.40000000001327901</c:v>
                </c:pt>
                <c:pt idx="13">
                  <c:v>-0.80000000002655702</c:v>
                </c:pt>
                <c:pt idx="14">
                  <c:v>-0.199999999949796</c:v>
                </c:pt>
                <c:pt idx="15">
                  <c:v>0.149999999962347</c:v>
                </c:pt>
                <c:pt idx="16">
                  <c:v>-0.34999999996898601</c:v>
                </c:pt>
                <c:pt idx="17">
                  <c:v>-0.15000000001919001</c:v>
                </c:pt>
                <c:pt idx="18">
                  <c:v>-1.99999999949796E-2</c:v>
                </c:pt>
                <c:pt idx="19">
                  <c:v>-4.0000000012696497E-2</c:v>
                </c:pt>
                <c:pt idx="20">
                  <c:v>6.0000000007676101E-2</c:v>
                </c:pt>
              </c:numCache>
            </c:numRef>
          </c:val>
        </c:ser>
        <c:dLbls/>
        <c:marker val="1"/>
        <c:axId val="398081408"/>
        <c:axId val="398112640"/>
      </c:lineChart>
      <c:dateAx>
        <c:axId val="3980814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112640"/>
        <c:crossesAt val="-50"/>
        <c:auto val="1"/>
        <c:lblOffset val="100"/>
        <c:baseTimeUnit val="days"/>
        <c:majorUnit val="2"/>
        <c:majorTimeUnit val="days"/>
      </c:dateAx>
      <c:valAx>
        <c:axId val="39811264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08140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80+481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'zk80+481'!$U$4:$W$4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'zk80+481'!$S$6:$S$41</c:f>
              <c:numCache>
                <c:formatCode>m"月"d"日";@</c:formatCode>
                <c:ptCount val="36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'zk80+481'!$W$6:$W$32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0.60000000000037801</c:v>
                </c:pt>
                <c:pt idx="3">
                  <c:v>-0.30000000000107702</c:v>
                </c:pt>
                <c:pt idx="4">
                  <c:v>9.99999999997669E-2</c:v>
                </c:pt>
                <c:pt idx="5">
                  <c:v>0.20000000000130999</c:v>
                </c:pt>
                <c:pt idx="6">
                  <c:v>0.19999999999953399</c:v>
                </c:pt>
                <c:pt idx="7">
                  <c:v>-9.99999999997669E-2</c:v>
                </c:pt>
                <c:pt idx="8">
                  <c:v>0.49999999999883499</c:v>
                </c:pt>
                <c:pt idx="9">
                  <c:v>0.200000000010192</c:v>
                </c:pt>
                <c:pt idx="10">
                  <c:v>-0.100000000008649</c:v>
                </c:pt>
                <c:pt idx="11">
                  <c:v>0.50000000000949296</c:v>
                </c:pt>
                <c:pt idx="12">
                  <c:v>0.19999999999953399</c:v>
                </c:pt>
                <c:pt idx="13">
                  <c:v>-0.200000000010192</c:v>
                </c:pt>
                <c:pt idx="14">
                  <c:v>0.60000000001103604</c:v>
                </c:pt>
                <c:pt idx="15">
                  <c:v>9.99999999997669E-2</c:v>
                </c:pt>
                <c:pt idx="16">
                  <c:v>4.99999999945544E-2</c:v>
                </c:pt>
                <c:pt idx="17">
                  <c:v>0.150000000010309</c:v>
                </c:pt>
                <c:pt idx="18">
                  <c:v>-3.9079850466805502E-12</c:v>
                </c:pt>
                <c:pt idx="19">
                  <c:v>8.0000000004076796E-2</c:v>
                </c:pt>
                <c:pt idx="20">
                  <c:v>1.9999999995690101E-2</c:v>
                </c:pt>
              </c:numCache>
            </c:numRef>
          </c:val>
        </c:ser>
        <c:ser>
          <c:idx val="1"/>
          <c:order val="1"/>
          <c:tx>
            <c:strRef>
              <c:f>'zk80+481'!$Y$4:$AA$4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'zk80+481'!$S$6:$S$41</c:f>
              <c:numCache>
                <c:formatCode>m"月"d"日";@</c:formatCode>
                <c:ptCount val="36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-0.10000000000154299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0</c:v>
                </c:pt>
                <c:pt idx="8">
                  <c:v>-0.40000000000084401</c:v>
                </c:pt>
                <c:pt idx="9">
                  <c:v>-0.19999999999953399</c:v>
                </c:pt>
                <c:pt idx="10">
                  <c:v>-9.99999999997669E-2</c:v>
                </c:pt>
                <c:pt idx="11">
                  <c:v>-0.30000000000107702</c:v>
                </c:pt>
                <c:pt idx="12">
                  <c:v>-0.19999999999953399</c:v>
                </c:pt>
                <c:pt idx="13">
                  <c:v>-0.19999999999953399</c:v>
                </c:pt>
                <c:pt idx="14">
                  <c:v>-9.99999999997669E-2</c:v>
                </c:pt>
                <c:pt idx="15">
                  <c:v>-0.100000000000655</c:v>
                </c:pt>
                <c:pt idx="16">
                  <c:v>-0.14999999999965</c:v>
                </c:pt>
                <c:pt idx="17">
                  <c:v>-9.99999999997669E-2</c:v>
                </c:pt>
                <c:pt idx="18">
                  <c:v>-4.0000000000262E-2</c:v>
                </c:pt>
                <c:pt idx="19">
                  <c:v>2.0000000000308701E-2</c:v>
                </c:pt>
                <c:pt idx="20">
                  <c:v>3.9999999999906798E-2</c:v>
                </c:pt>
              </c:numCache>
            </c:numRef>
          </c:val>
        </c:ser>
        <c:ser>
          <c:idx val="2"/>
          <c:order val="2"/>
          <c:tx>
            <c:strRef>
              <c:f>'zk80+481'!$AC$4:$AE$4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'zk80+481'!$S$6:$S$41</c:f>
              <c:numCache>
                <c:formatCode>m"月"d"日";@</c:formatCode>
                <c:ptCount val="36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-0.19999999999953399</c:v>
                </c:pt>
                <c:pt idx="3">
                  <c:v>-9.99999999997669E-2</c:v>
                </c:pt>
                <c:pt idx="4">
                  <c:v>-0.19999999999953399</c:v>
                </c:pt>
                <c:pt idx="5">
                  <c:v>-0.30000000000107702</c:v>
                </c:pt>
                <c:pt idx="6">
                  <c:v>-9.99999999997669E-2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-0.30000000000995902</c:v>
                </c:pt>
                <c:pt idx="10">
                  <c:v>-0.19999999999953399</c:v>
                </c:pt>
                <c:pt idx="11">
                  <c:v>-9.9999999990885199E-2</c:v>
                </c:pt>
                <c:pt idx="12">
                  <c:v>-0.30000000000995902</c:v>
                </c:pt>
                <c:pt idx="13">
                  <c:v>-0.19999999999953399</c:v>
                </c:pt>
                <c:pt idx="14">
                  <c:v>0.100000000010425</c:v>
                </c:pt>
                <c:pt idx="15">
                  <c:v>-0.25000000000563499</c:v>
                </c:pt>
                <c:pt idx="16">
                  <c:v>-0.100000000005096</c:v>
                </c:pt>
                <c:pt idx="17">
                  <c:v>-9.99999999997669E-2</c:v>
                </c:pt>
                <c:pt idx="18">
                  <c:v>2.0000000003861401E-2</c:v>
                </c:pt>
                <c:pt idx="19">
                  <c:v>-0.100000000003675</c:v>
                </c:pt>
                <c:pt idx="20">
                  <c:v>2.0000000003861401E-2</c:v>
                </c:pt>
              </c:numCache>
            </c:numRef>
          </c:val>
        </c:ser>
        <c:dLbls/>
        <c:marker val="1"/>
        <c:axId val="398303616"/>
        <c:axId val="398305920"/>
      </c:lineChart>
      <c:dateAx>
        <c:axId val="3983036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305920"/>
        <c:crossesAt val="-50"/>
        <c:auto val="1"/>
        <c:lblOffset val="100"/>
        <c:baseTimeUnit val="days"/>
        <c:majorUnit val="2"/>
        <c:majorTimeUnit val="days"/>
      </c:dateAx>
      <c:valAx>
        <c:axId val="39830592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3036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k80+481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'zk80+481'!$C$4:$G$4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'zk80+481'!$A$6:$A$34</c:f>
              <c:numCache>
                <c:formatCode>m"月"d"日";@</c:formatCode>
                <c:ptCount val="29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'zk80+481'!$F$6:$F$24</c:f>
              <c:numCache>
                <c:formatCode>0.00_ </c:formatCode>
                <c:ptCount val="19"/>
                <c:pt idx="0">
                  <c:v>0</c:v>
                </c:pt>
                <c:pt idx="1">
                  <c:v>0.10000000008858501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-0.90000000000145497</c:v>
                </c:pt>
                <c:pt idx="5">
                  <c:v>-1.09999999995125</c:v>
                </c:pt>
                <c:pt idx="6">
                  <c:v>-0.99999999997635303</c:v>
                </c:pt>
                <c:pt idx="7">
                  <c:v>-1.4999999999645299</c:v>
                </c:pt>
                <c:pt idx="8">
                  <c:v>-1.69999999991433</c:v>
                </c:pt>
                <c:pt idx="9">
                  <c:v>-1.8999999999778101</c:v>
                </c:pt>
                <c:pt idx="10">
                  <c:v>-1.8000000000029099</c:v>
                </c:pt>
                <c:pt idx="11">
                  <c:v>-2.2999999999910901</c:v>
                </c:pt>
                <c:pt idx="12">
                  <c:v>-2.4999999999408802</c:v>
                </c:pt>
                <c:pt idx="13">
                  <c:v>-2.0999999999275998</c:v>
                </c:pt>
                <c:pt idx="14">
                  <c:v>-2.8999999999541601</c:v>
                </c:pt>
                <c:pt idx="15">
                  <c:v>-3.1000000000176402</c:v>
                </c:pt>
                <c:pt idx="16">
                  <c:v>-2.9999999999290599</c:v>
                </c:pt>
                <c:pt idx="17">
                  <c:v>-3.49999999991724</c:v>
                </c:pt>
                <c:pt idx="18">
                  <c:v>-3.69999999998072</c:v>
                </c:pt>
              </c:numCache>
            </c:numRef>
          </c:val>
        </c:ser>
        <c:ser>
          <c:idx val="1"/>
          <c:order val="1"/>
          <c:tx>
            <c:strRef>
              <c:f>'zk80+481'!$H$4:$L$4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'zk80+481'!$A$6:$A$34</c:f>
              <c:numCache>
                <c:formatCode>m"月"d"日";@</c:formatCode>
                <c:ptCount val="29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'zk80+481'!$K$6:$K$30</c:f>
              <c:numCache>
                <c:formatCode>0.00_ </c:formatCode>
                <c:ptCount val="25"/>
                <c:pt idx="0">
                  <c:v>0</c:v>
                </c:pt>
                <c:pt idx="1">
                  <c:v>0.199999999949796</c:v>
                </c:pt>
                <c:pt idx="2">
                  <c:v>0.199999999949796</c:v>
                </c:pt>
                <c:pt idx="3">
                  <c:v>-0.20000000006348301</c:v>
                </c:pt>
                <c:pt idx="4">
                  <c:v>-0.49999999998817701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-1.4999999999645299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-2.5000000000545701</c:v>
                </c:pt>
                <c:pt idx="15">
                  <c:v>-2.6000000000294698</c:v>
                </c:pt>
                <c:pt idx="16">
                  <c:v>-2.8999999999541601</c:v>
                </c:pt>
                <c:pt idx="17">
                  <c:v>-3.1000000000176402</c:v>
                </c:pt>
                <c:pt idx="18">
                  <c:v>-3.2999999999674401</c:v>
                </c:pt>
                <c:pt idx="19">
                  <c:v>-3.2999999999674401</c:v>
                </c:pt>
                <c:pt idx="20">
                  <c:v>-3.1000000000176402</c:v>
                </c:pt>
              </c:numCache>
            </c:numRef>
          </c:val>
        </c:ser>
        <c:ser>
          <c:idx val="2"/>
          <c:order val="2"/>
          <c:tx>
            <c:strRef>
              <c:f>'zk80+481'!$M$4:$Q$4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'zk80+481'!$A$6:$A$34</c:f>
              <c:numCache>
                <c:formatCode>m"月"d"日";@</c:formatCode>
                <c:ptCount val="29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  <c:pt idx="19">
                  <c:v>44910</c:v>
                </c:pt>
                <c:pt idx="20">
                  <c:v>44915</c:v>
                </c:pt>
              </c:numCache>
            </c:numRef>
          </c:cat>
          <c:val>
            <c:numRef>
              <c:f>'zk80+481'!$P$6:$P$28</c:f>
              <c:numCache>
                <c:formatCode>0.00_ </c:formatCode>
                <c:ptCount val="23"/>
                <c:pt idx="0">
                  <c:v>0</c:v>
                </c:pt>
                <c:pt idx="1">
                  <c:v>-9.9999999974897905E-2</c:v>
                </c:pt>
                <c:pt idx="2">
                  <c:v>-0.29999999992469401</c:v>
                </c:pt>
                <c:pt idx="3">
                  <c:v>-0.49999999998817701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-0.69999999993797202</c:v>
                </c:pt>
                <c:pt idx="7">
                  <c:v>-1.1999999999261499</c:v>
                </c:pt>
                <c:pt idx="8">
                  <c:v>-1.39999999998963</c:v>
                </c:pt>
                <c:pt idx="9">
                  <c:v>-0.79999999991286996</c:v>
                </c:pt>
                <c:pt idx="10">
                  <c:v>-1.8000000000029099</c:v>
                </c:pt>
                <c:pt idx="11">
                  <c:v>-1.9999999999527101</c:v>
                </c:pt>
                <c:pt idx="12">
                  <c:v>-1.5999999999394301</c:v>
                </c:pt>
                <c:pt idx="13">
                  <c:v>-2.39999999996598</c:v>
                </c:pt>
                <c:pt idx="14">
                  <c:v>-2.5999999999157799</c:v>
                </c:pt>
                <c:pt idx="15">
                  <c:v>-2.2999999999910901</c:v>
                </c:pt>
                <c:pt idx="16">
                  <c:v>-2.9999999999290599</c:v>
                </c:pt>
                <c:pt idx="17">
                  <c:v>-3.2999999999674401</c:v>
                </c:pt>
                <c:pt idx="18">
                  <c:v>-3.3999999999423398</c:v>
                </c:pt>
                <c:pt idx="19">
                  <c:v>-3.6000000000058199</c:v>
                </c:pt>
                <c:pt idx="20">
                  <c:v>-3.2999999999674401</c:v>
                </c:pt>
              </c:numCache>
            </c:numRef>
          </c:val>
        </c:ser>
        <c:dLbls/>
        <c:marker val="1"/>
        <c:axId val="398389632"/>
        <c:axId val="398391936"/>
      </c:lineChart>
      <c:lineChart>
        <c:grouping val="standard"/>
        <c:ser>
          <c:idx val="3"/>
          <c:order val="3"/>
          <c:tx>
            <c:strRef>
              <c:f>'zk80+481'!$AG$3:$AG$5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'zk80+481'!$A$6:$A$24</c:f>
              <c:numCache>
                <c:formatCode>m"月"d"日";@</c:formatCode>
                <c:ptCount val="19"/>
                <c:pt idx="0">
                  <c:v>44880</c:v>
                </c:pt>
                <c:pt idx="1">
                  <c:v>44881</c:v>
                </c:pt>
                <c:pt idx="2">
                  <c:v>44882</c:v>
                </c:pt>
                <c:pt idx="3">
                  <c:v>44883</c:v>
                </c:pt>
                <c:pt idx="4">
                  <c:v>44884</c:v>
                </c:pt>
                <c:pt idx="5">
                  <c:v>44885</c:v>
                </c:pt>
                <c:pt idx="6">
                  <c:v>44886</c:v>
                </c:pt>
                <c:pt idx="7">
                  <c:v>44887</c:v>
                </c:pt>
                <c:pt idx="8">
                  <c:v>44888</c:v>
                </c:pt>
                <c:pt idx="9">
                  <c:v>44889</c:v>
                </c:pt>
                <c:pt idx="10">
                  <c:v>44890</c:v>
                </c:pt>
                <c:pt idx="11">
                  <c:v>44891</c:v>
                </c:pt>
                <c:pt idx="12">
                  <c:v>44892</c:v>
                </c:pt>
                <c:pt idx="13">
                  <c:v>44893</c:v>
                </c:pt>
                <c:pt idx="14">
                  <c:v>44894</c:v>
                </c:pt>
                <c:pt idx="15">
                  <c:v>44896</c:v>
                </c:pt>
                <c:pt idx="16">
                  <c:v>44898</c:v>
                </c:pt>
                <c:pt idx="17">
                  <c:v>44900</c:v>
                </c:pt>
                <c:pt idx="18">
                  <c:v>44905</c:v>
                </c:pt>
              </c:numCache>
            </c:numRef>
          </c:cat>
          <c:val>
            <c:numRef>
              <c:f>'zk80+481'!$AG$6:$AG$31</c:f>
              <c:numCache>
                <c:formatCode>0.0_ </c:formatCode>
                <c:ptCount val="26"/>
                <c:pt idx="0">
                  <c:v>7</c:v>
                </c:pt>
                <c:pt idx="1">
                  <c:v>2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</c:numCache>
            </c:numRef>
          </c:val>
        </c:ser>
        <c:dLbls/>
        <c:marker val="1"/>
        <c:axId val="398402304"/>
        <c:axId val="398403840"/>
      </c:lineChart>
      <c:dateAx>
        <c:axId val="3983896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391936"/>
        <c:crossesAt val="-50"/>
        <c:auto val="1"/>
        <c:lblOffset val="100"/>
        <c:baseTimeUnit val="days"/>
        <c:majorUnit val="2"/>
        <c:majorTimeUnit val="days"/>
      </c:dateAx>
      <c:valAx>
        <c:axId val="398391936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389632"/>
        <c:crosses val="autoZero"/>
        <c:crossBetween val="midCat"/>
        <c:majorUnit val="1"/>
        <c:minorUnit val="0.5"/>
      </c:valAx>
      <c:dateAx>
        <c:axId val="39840230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403840"/>
        <c:crosses val="autoZero"/>
        <c:auto val="1"/>
        <c:lblOffset val="100"/>
        <c:baseTimeUnit val="days"/>
      </c:dateAx>
      <c:valAx>
        <c:axId val="39840384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40230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80+516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'zk80+516'!$U$4:$W$4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'zk80+516'!$S$6:$S$27</c:f>
              <c:numCache>
                <c:formatCode>m"月"d"日";@</c:formatCode>
                <c:ptCount val="22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'zk80+516'!$V$6:$V$32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-0.50000000000061096</c:v>
                </c:pt>
                <c:pt idx="3">
                  <c:v>-0.19999999999953399</c:v>
                </c:pt>
                <c:pt idx="4">
                  <c:v>-0.29999999999930099</c:v>
                </c:pt>
                <c:pt idx="5">
                  <c:v>-0.50000000000061096</c:v>
                </c:pt>
                <c:pt idx="6">
                  <c:v>-0.70000000000014495</c:v>
                </c:pt>
                <c:pt idx="7">
                  <c:v>-0.60000000000037801</c:v>
                </c:pt>
                <c:pt idx="8">
                  <c:v>-1.0999999999992101</c:v>
                </c:pt>
                <c:pt idx="9">
                  <c:v>-1.3000000000094001</c:v>
                </c:pt>
                <c:pt idx="10">
                  <c:v>-1.20000000000076</c:v>
                </c:pt>
                <c:pt idx="11">
                  <c:v>-1.70000000001025</c:v>
                </c:pt>
                <c:pt idx="12">
                  <c:v>-1.9000000000097801</c:v>
                </c:pt>
                <c:pt idx="13">
                  <c:v>-2.2000000000002</c:v>
                </c:pt>
                <c:pt idx="14">
                  <c:v>-2.30000000001063</c:v>
                </c:pt>
                <c:pt idx="15">
                  <c:v>-2.5000000000101599</c:v>
                </c:pt>
                <c:pt idx="16">
                  <c:v>-2.3999999999997401</c:v>
                </c:pt>
                <c:pt idx="17">
                  <c:v>-2.9000000000092299</c:v>
                </c:pt>
                <c:pt idx="18">
                  <c:v>-3.1000000000105401</c:v>
                </c:pt>
                <c:pt idx="19">
                  <c:v>-3.0000000000001101</c:v>
                </c:pt>
                <c:pt idx="20">
                  <c:v>-3.5000000000096101</c:v>
                </c:pt>
                <c:pt idx="21">
                  <c:v>-3.2999999999994101</c:v>
                </c:pt>
                <c:pt idx="22">
                  <c:v>-1.3000000000005201</c:v>
                </c:pt>
              </c:numCache>
            </c:numRef>
          </c:val>
        </c:ser>
        <c:ser>
          <c:idx val="1"/>
          <c:order val="1"/>
          <c:tx>
            <c:strRef>
              <c:f>'zk80+516'!$Y$4:$AA$4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'zk80+516'!$S$6:$S$27</c:f>
              <c:numCache>
                <c:formatCode>m"月"d"日";@</c:formatCode>
                <c:ptCount val="22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-0.10000000000154299</c:v>
                </c:pt>
                <c:pt idx="2">
                  <c:v>-0.30000000000107702</c:v>
                </c:pt>
                <c:pt idx="3">
                  <c:v>-0.50000000000061096</c:v>
                </c:pt>
                <c:pt idx="4">
                  <c:v>-0.40000000000084401</c:v>
                </c:pt>
                <c:pt idx="5">
                  <c:v>-0.60000000000037801</c:v>
                </c:pt>
                <c:pt idx="6">
                  <c:v>-0.799999999999912</c:v>
                </c:pt>
                <c:pt idx="7">
                  <c:v>-0.799999999999912</c:v>
                </c:pt>
                <c:pt idx="8">
                  <c:v>-1.20000000000076</c:v>
                </c:pt>
                <c:pt idx="9">
                  <c:v>-1.4000000000002899</c:v>
                </c:pt>
                <c:pt idx="10">
                  <c:v>-1.50000000000006</c:v>
                </c:pt>
                <c:pt idx="11">
                  <c:v>-1.80000000000113</c:v>
                </c:pt>
                <c:pt idx="12">
                  <c:v>-2.0000000000006701</c:v>
                </c:pt>
                <c:pt idx="13">
                  <c:v>-2.10000000000043</c:v>
                </c:pt>
                <c:pt idx="14">
                  <c:v>-2.4000000000015098</c:v>
                </c:pt>
                <c:pt idx="15">
                  <c:v>-2.2999999999999701</c:v>
                </c:pt>
                <c:pt idx="16">
                  <c:v>-2.8000000000005798</c:v>
                </c:pt>
                <c:pt idx="17">
                  <c:v>-3.0000000000001101</c:v>
                </c:pt>
                <c:pt idx="18">
                  <c:v>-2.8000000000005798</c:v>
                </c:pt>
                <c:pt idx="19">
                  <c:v>-3.40000000000096</c:v>
                </c:pt>
                <c:pt idx="20">
                  <c:v>-3.6000000000004899</c:v>
                </c:pt>
                <c:pt idx="21">
                  <c:v>-3.30000000000119</c:v>
                </c:pt>
                <c:pt idx="22">
                  <c:v>-4.5000000000001696</c:v>
                </c:pt>
              </c:numCache>
            </c:numRef>
          </c:val>
        </c:ser>
        <c:ser>
          <c:idx val="2"/>
          <c:order val="2"/>
          <c:tx>
            <c:strRef>
              <c:f>'zk80+516'!$AC$4:$AE$4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'zk80+516'!$S$6:$S$27</c:f>
              <c:numCache>
                <c:formatCode>m"月"d"日";@</c:formatCode>
                <c:ptCount val="22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-0.40000000000084401</c:v>
                </c:pt>
                <c:pt idx="3">
                  <c:v>-0.50000000000061096</c:v>
                </c:pt>
                <c:pt idx="4">
                  <c:v>-0.70000000000014495</c:v>
                </c:pt>
                <c:pt idx="5">
                  <c:v>-1.0000000000012199</c:v>
                </c:pt>
                <c:pt idx="6">
                  <c:v>-1.10000000000099</c:v>
                </c:pt>
                <c:pt idx="7">
                  <c:v>-1.3000000000005201</c:v>
                </c:pt>
                <c:pt idx="8">
                  <c:v>-1.4000000000002899</c:v>
                </c:pt>
                <c:pt idx="9">
                  <c:v>-1.70000000001025</c:v>
                </c:pt>
                <c:pt idx="10">
                  <c:v>-1.9000000000097801</c:v>
                </c:pt>
                <c:pt idx="11">
                  <c:v>-2.0000000000006701</c:v>
                </c:pt>
                <c:pt idx="12">
                  <c:v>-2.30000000001063</c:v>
                </c:pt>
                <c:pt idx="13">
                  <c:v>-2.6000000000205898</c:v>
                </c:pt>
                <c:pt idx="14">
                  <c:v>-2.7000000000008102</c:v>
                </c:pt>
                <c:pt idx="15">
                  <c:v>-3.2000000000404998</c:v>
                </c:pt>
                <c:pt idx="16">
                  <c:v>-3.2000000000014199</c:v>
                </c:pt>
                <c:pt idx="17">
                  <c:v>-3.8000000000604199</c:v>
                </c:pt>
                <c:pt idx="18">
                  <c:v>-4.1000000000703798</c:v>
                </c:pt>
                <c:pt idx="19">
                  <c:v>-4.0000000000013403</c:v>
                </c:pt>
                <c:pt idx="20">
                  <c:v>-4.7000000000903004</c:v>
                </c:pt>
                <c:pt idx="21">
                  <c:v>-4.5000000000001696</c:v>
                </c:pt>
              </c:numCache>
            </c:numRef>
          </c:val>
        </c:ser>
        <c:dLbls/>
        <c:marker val="1"/>
        <c:axId val="398709504"/>
        <c:axId val="398711808"/>
      </c:lineChart>
      <c:lineChart>
        <c:grouping val="standard"/>
        <c:ser>
          <c:idx val="3"/>
          <c:order val="3"/>
          <c:tx>
            <c:strRef>
              <c:f>'zk80+516'!$AG$3:$AG$5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'zk80+516'!$S$6:$S$27</c:f>
              <c:numCache>
                <c:formatCode>m"月"d"日";@</c:formatCode>
                <c:ptCount val="22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64</c:v>
                </c:pt>
                <c:pt idx="21">
                  <c:v>67</c:v>
                </c:pt>
              </c:numCache>
            </c:numRef>
          </c:val>
        </c:ser>
        <c:dLbls/>
        <c:marker val="1"/>
        <c:axId val="398472320"/>
        <c:axId val="398473856"/>
      </c:lineChart>
      <c:dateAx>
        <c:axId val="3987095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711808"/>
        <c:crossesAt val="-50"/>
        <c:auto val="1"/>
        <c:lblOffset val="100"/>
        <c:baseTimeUnit val="days"/>
        <c:majorUnit val="4"/>
        <c:majorTimeUnit val="days"/>
      </c:dateAx>
      <c:valAx>
        <c:axId val="39871180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709504"/>
        <c:crosses val="autoZero"/>
        <c:crossBetween val="midCat"/>
        <c:majorUnit val="1.4"/>
        <c:minorUnit val="0.1"/>
      </c:valAx>
      <c:dateAx>
        <c:axId val="39847232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473856"/>
        <c:crosses val="autoZero"/>
        <c:auto val="1"/>
        <c:lblOffset val="100"/>
        <c:baseTimeUnit val="days"/>
      </c:dateAx>
      <c:valAx>
        <c:axId val="39847385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47232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80+516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'zk80+516'!$C$4:$G$4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'zk80+516'!$A$6:$A$38</c:f>
              <c:numCache>
                <c:formatCode>m"月"d"日";@</c:formatCode>
                <c:ptCount val="33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'zk80+516'!$G$6:$G$34</c:f>
              <c:numCache>
                <c:formatCode>0.00_ </c:formatCode>
                <c:ptCount val="29"/>
                <c:pt idx="0">
                  <c:v>0</c:v>
                </c:pt>
                <c:pt idx="1">
                  <c:v>0.199999999949796</c:v>
                </c:pt>
                <c:pt idx="2">
                  <c:v>-0.29999999992469401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-9.9999999974897905E-2</c:v>
                </c:pt>
                <c:pt idx="16">
                  <c:v>-4.9999999987449001E-2</c:v>
                </c:pt>
                <c:pt idx="17">
                  <c:v>4.9999999987449001E-2</c:v>
                </c:pt>
                <c:pt idx="18">
                  <c:v>-0.29999999998153698</c:v>
                </c:pt>
                <c:pt idx="19">
                  <c:v>4.9999999987449001E-2</c:v>
                </c:pt>
                <c:pt idx="20">
                  <c:v>-0.24999999999408801</c:v>
                </c:pt>
                <c:pt idx="21">
                  <c:v>9.9999999974897905E-2</c:v>
                </c:pt>
                <c:pt idx="22">
                  <c:v>-1.4999999999645299</c:v>
                </c:pt>
              </c:numCache>
            </c:numRef>
          </c:val>
        </c:ser>
        <c:ser>
          <c:idx val="1"/>
          <c:order val="1"/>
          <c:tx>
            <c:strRef>
              <c:f>'zk80+516'!$H$4:$L$4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'zk80+516'!$A$6:$A$38</c:f>
              <c:numCache>
                <c:formatCode>m"月"d"日";@</c:formatCode>
                <c:ptCount val="33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'zk80+516'!$L$6:$L$35</c:f>
              <c:numCache>
                <c:formatCode>0.00_ </c:formatCode>
                <c:ptCount val="30"/>
                <c:pt idx="0">
                  <c:v>0</c:v>
                </c:pt>
                <c:pt idx="1">
                  <c:v>-0.60000000007676102</c:v>
                </c:pt>
                <c:pt idx="2">
                  <c:v>0.10000000008858501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-0.20000000006348301</c:v>
                </c:pt>
                <c:pt idx="8">
                  <c:v>-9.9999999974897905E-2</c:v>
                </c:pt>
                <c:pt idx="9">
                  <c:v>-0.29999999992469401</c:v>
                </c:pt>
                <c:pt idx="10">
                  <c:v>-0.20000000006348301</c:v>
                </c:pt>
                <c:pt idx="11">
                  <c:v>-0.30000000003838101</c:v>
                </c:pt>
                <c:pt idx="12">
                  <c:v>-0.199999999949796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-5.0000000044292399E-2</c:v>
                </c:pt>
                <c:pt idx="17">
                  <c:v>-0.149999999962347</c:v>
                </c:pt>
                <c:pt idx="18">
                  <c:v>-0.100000000031741</c:v>
                </c:pt>
                <c:pt idx="19">
                  <c:v>5.0000000044292399E-2</c:v>
                </c:pt>
                <c:pt idx="20">
                  <c:v>-0.25000000005093198</c:v>
                </c:pt>
                <c:pt idx="21">
                  <c:v>5.0000000044292399E-2</c:v>
                </c:pt>
              </c:numCache>
            </c:numRef>
          </c:val>
        </c:ser>
        <c:ser>
          <c:idx val="2"/>
          <c:order val="2"/>
          <c:tx>
            <c:strRef>
              <c:f>'zk80+516'!$M$4:$Q$4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'zk80+516'!$A$6:$A$38</c:f>
              <c:numCache>
                <c:formatCode>m"月"d"日";@</c:formatCode>
                <c:ptCount val="33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'zk80+516'!$Q$6:$Q$31</c:f>
              <c:numCache>
                <c:formatCode>0.00_ </c:formatCode>
                <c:ptCount val="26"/>
                <c:pt idx="0">
                  <c:v>0</c:v>
                </c:pt>
                <c:pt idx="1">
                  <c:v>-9.9999999974897905E-2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9.9999999974897905E-2</c:v>
                </c:pt>
                <c:pt idx="5">
                  <c:v>-0.49999999998817701</c:v>
                </c:pt>
                <c:pt idx="6">
                  <c:v>-0.199999999949796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-0.20000000006348301</c:v>
                </c:pt>
                <c:pt idx="11">
                  <c:v>9.9999999974897905E-2</c:v>
                </c:pt>
                <c:pt idx="12">
                  <c:v>-0.199999999949796</c:v>
                </c:pt>
                <c:pt idx="13">
                  <c:v>-0.20000000006348301</c:v>
                </c:pt>
                <c:pt idx="14">
                  <c:v>0.10000000008858501</c:v>
                </c:pt>
                <c:pt idx="15">
                  <c:v>-0.24999999999408801</c:v>
                </c:pt>
                <c:pt idx="16">
                  <c:v>-0.100000000031741</c:v>
                </c:pt>
                <c:pt idx="17">
                  <c:v>4.9999999987449001E-2</c:v>
                </c:pt>
                <c:pt idx="18">
                  <c:v>-0.24999999999408801</c:v>
                </c:pt>
                <c:pt idx="19">
                  <c:v>-4.9999999987449001E-2</c:v>
                </c:pt>
                <c:pt idx="20">
                  <c:v>-0.15000000001919001</c:v>
                </c:pt>
                <c:pt idx="21">
                  <c:v>5.0000000044292399E-2</c:v>
                </c:pt>
              </c:numCache>
            </c:numRef>
          </c:val>
        </c:ser>
        <c:dLbls/>
        <c:marker val="1"/>
        <c:axId val="398486528"/>
        <c:axId val="398517760"/>
      </c:lineChart>
      <c:dateAx>
        <c:axId val="3984865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517760"/>
        <c:crossesAt val="-50"/>
        <c:auto val="1"/>
        <c:lblOffset val="100"/>
        <c:baseTimeUnit val="days"/>
        <c:majorUnit val="4"/>
        <c:majorTimeUnit val="days"/>
      </c:dateAx>
      <c:valAx>
        <c:axId val="39851776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4865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80+516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'zk80+516'!$U$4:$W$4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'zk80+516'!$S$6:$S$41</c:f>
              <c:numCache>
                <c:formatCode>m"月"d"日";@</c:formatCode>
                <c:ptCount val="36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'zk80+516'!$W$6:$W$32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0.60000000000037801</c:v>
                </c:pt>
                <c:pt idx="3">
                  <c:v>-0.30000000000107702</c:v>
                </c:pt>
                <c:pt idx="4">
                  <c:v>9.99999999997669E-2</c:v>
                </c:pt>
                <c:pt idx="5">
                  <c:v>0.20000000000130999</c:v>
                </c:pt>
                <c:pt idx="6">
                  <c:v>0.19999999999953399</c:v>
                </c:pt>
                <c:pt idx="7">
                  <c:v>-9.99999999997669E-2</c:v>
                </c:pt>
                <c:pt idx="8">
                  <c:v>0.49999999999883499</c:v>
                </c:pt>
                <c:pt idx="9">
                  <c:v>0.200000000010192</c:v>
                </c:pt>
                <c:pt idx="10">
                  <c:v>-0.100000000008649</c:v>
                </c:pt>
                <c:pt idx="11">
                  <c:v>0.50000000000949296</c:v>
                </c:pt>
                <c:pt idx="12">
                  <c:v>0.19999999999953399</c:v>
                </c:pt>
                <c:pt idx="13">
                  <c:v>0.29999999999041899</c:v>
                </c:pt>
                <c:pt idx="14">
                  <c:v>0.100000000010425</c:v>
                </c:pt>
                <c:pt idx="15">
                  <c:v>9.99999999997669E-2</c:v>
                </c:pt>
                <c:pt idx="16">
                  <c:v>-5.00000000052125E-2</c:v>
                </c:pt>
                <c:pt idx="17">
                  <c:v>0.25000000000474598</c:v>
                </c:pt>
                <c:pt idx="18">
                  <c:v>0.100000000000655</c:v>
                </c:pt>
                <c:pt idx="19">
                  <c:v>-5.00000000052125E-2</c:v>
                </c:pt>
                <c:pt idx="20">
                  <c:v>0.25000000000474598</c:v>
                </c:pt>
                <c:pt idx="21">
                  <c:v>-0.100000000005096</c:v>
                </c:pt>
                <c:pt idx="22">
                  <c:v>-2.1999999999895401</c:v>
                </c:pt>
              </c:numCache>
            </c:numRef>
          </c:val>
        </c:ser>
        <c:ser>
          <c:idx val="1"/>
          <c:order val="1"/>
          <c:tx>
            <c:strRef>
              <c:f>'zk80+516'!$Y$4:$AA$4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'zk80+516'!$S$6:$S$41</c:f>
              <c:numCache>
                <c:formatCode>m"月"d"日";@</c:formatCode>
                <c:ptCount val="36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-0.10000000000154299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-0.19999999999953399</c:v>
                </c:pt>
                <c:pt idx="6">
                  <c:v>-0.19999999999953399</c:v>
                </c:pt>
                <c:pt idx="7">
                  <c:v>0</c:v>
                </c:pt>
                <c:pt idx="8">
                  <c:v>-0.40000000000084401</c:v>
                </c:pt>
                <c:pt idx="9">
                  <c:v>-0.19999999999953399</c:v>
                </c:pt>
                <c:pt idx="10">
                  <c:v>-9.99999999997669E-2</c:v>
                </c:pt>
                <c:pt idx="11">
                  <c:v>-0.30000000000107702</c:v>
                </c:pt>
                <c:pt idx="12">
                  <c:v>-0.19999999999953399</c:v>
                </c:pt>
                <c:pt idx="13">
                  <c:v>-9.99999999997669E-2</c:v>
                </c:pt>
                <c:pt idx="14">
                  <c:v>-0.30000000000107702</c:v>
                </c:pt>
                <c:pt idx="15">
                  <c:v>5.0000000000771601E-2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9.99999999997669E-2</c:v>
                </c:pt>
                <c:pt idx="19">
                  <c:v>-0.300000000000189</c:v>
                </c:pt>
                <c:pt idx="20">
                  <c:v>-9.99999999997669E-2</c:v>
                </c:pt>
                <c:pt idx="21">
                  <c:v>0.14999999999965</c:v>
                </c:pt>
                <c:pt idx="22">
                  <c:v>-8.6666666666701503E-2</c:v>
                </c:pt>
              </c:numCache>
            </c:numRef>
          </c:val>
        </c:ser>
        <c:ser>
          <c:idx val="2"/>
          <c:order val="2"/>
          <c:tx>
            <c:strRef>
              <c:f>'zk80+516'!$AC$4:$AE$4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'zk80+516'!$S$6:$S$41</c:f>
              <c:numCache>
                <c:formatCode>m"月"d"日";@</c:formatCode>
                <c:ptCount val="36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-0.19999999999953399</c:v>
                </c:pt>
                <c:pt idx="3">
                  <c:v>-9.99999999997669E-2</c:v>
                </c:pt>
                <c:pt idx="4">
                  <c:v>-0.19999999999953399</c:v>
                </c:pt>
                <c:pt idx="5">
                  <c:v>-0.30000000000107702</c:v>
                </c:pt>
                <c:pt idx="6">
                  <c:v>-9.99999999997669E-2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-0.30000000000995902</c:v>
                </c:pt>
                <c:pt idx="10">
                  <c:v>-0.19999999999953399</c:v>
                </c:pt>
                <c:pt idx="11">
                  <c:v>-9.9999999990885199E-2</c:v>
                </c:pt>
                <c:pt idx="12">
                  <c:v>-0.30000000000995902</c:v>
                </c:pt>
                <c:pt idx="13">
                  <c:v>-0.30000000000995902</c:v>
                </c:pt>
                <c:pt idx="14">
                  <c:v>-9.9999999980227003E-2</c:v>
                </c:pt>
                <c:pt idx="15">
                  <c:v>-0.25000000001984501</c:v>
                </c:pt>
                <c:pt idx="16">
                  <c:v>1.95399252334028E-11</c:v>
                </c:pt>
                <c:pt idx="17">
                  <c:v>-0.300000000029499</c:v>
                </c:pt>
                <c:pt idx="18">
                  <c:v>-0.15000000000497901</c:v>
                </c:pt>
                <c:pt idx="19">
                  <c:v>5.0000000034522402E-2</c:v>
                </c:pt>
                <c:pt idx="20">
                  <c:v>-0.35000000004448101</c:v>
                </c:pt>
                <c:pt idx="21">
                  <c:v>0.100000000045064</c:v>
                </c:pt>
              </c:numCache>
            </c:numRef>
          </c:val>
        </c:ser>
        <c:dLbls/>
        <c:marker val="1"/>
        <c:axId val="398585856"/>
        <c:axId val="398588160"/>
      </c:lineChart>
      <c:dateAx>
        <c:axId val="3985858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588160"/>
        <c:crossesAt val="-50"/>
        <c:auto val="1"/>
        <c:lblOffset val="100"/>
        <c:baseTimeUnit val="days"/>
        <c:majorUnit val="4"/>
        <c:majorTimeUnit val="days"/>
      </c:dateAx>
      <c:valAx>
        <c:axId val="398588160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58585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k80+516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'zk80+516'!$C$4:$G$4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'zk80+516'!$A$6:$A$34</c:f>
              <c:numCache>
                <c:formatCode>m"月"d"日";@</c:formatCode>
                <c:ptCount val="29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'zk80+516'!$F$6:$F$24</c:f>
              <c:numCache>
                <c:formatCode>0.00_ </c:formatCode>
                <c:ptCount val="19"/>
                <c:pt idx="0">
                  <c:v>0</c:v>
                </c:pt>
                <c:pt idx="1">
                  <c:v>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-0.20000000006348301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-1.30000000001473</c:v>
                </c:pt>
                <c:pt idx="9">
                  <c:v>-1.2000000000398401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-2.00000000006639</c:v>
                </c:pt>
                <c:pt idx="14">
                  <c:v>-2.5000000000545701</c:v>
                </c:pt>
                <c:pt idx="15">
                  <c:v>-2.70000000000437</c:v>
                </c:pt>
                <c:pt idx="16">
                  <c:v>-2.79999999997926</c:v>
                </c:pt>
                <c:pt idx="17">
                  <c:v>-2.70000000000437</c:v>
                </c:pt>
                <c:pt idx="18">
                  <c:v>-3.2999999999674401</c:v>
                </c:pt>
              </c:numCache>
            </c:numRef>
          </c:val>
        </c:ser>
        <c:ser>
          <c:idx val="1"/>
          <c:order val="1"/>
          <c:tx>
            <c:strRef>
              <c:f>'zk80+516'!$H$4:$L$4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'zk80+516'!$A$6:$A$34</c:f>
              <c:numCache>
                <c:formatCode>m"月"d"日";@</c:formatCode>
                <c:ptCount val="29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'zk80+516'!$K$6:$K$30</c:f>
              <c:numCache>
                <c:formatCode>0.00_ </c:formatCode>
                <c:ptCount val="25"/>
                <c:pt idx="0">
                  <c:v>0</c:v>
                </c:pt>
                <c:pt idx="1">
                  <c:v>-0.60000000007676102</c:v>
                </c:pt>
                <c:pt idx="2">
                  <c:v>-0.49999999998817701</c:v>
                </c:pt>
                <c:pt idx="3">
                  <c:v>-0.70000000005165897</c:v>
                </c:pt>
                <c:pt idx="4">
                  <c:v>-0.90000000000145497</c:v>
                </c:pt>
                <c:pt idx="5">
                  <c:v>-0.80000000002655702</c:v>
                </c:pt>
                <c:pt idx="6">
                  <c:v>-1.30000000001473</c:v>
                </c:pt>
                <c:pt idx="7">
                  <c:v>-1.5000000000782201</c:v>
                </c:pt>
                <c:pt idx="8">
                  <c:v>-1.60000000005311</c:v>
                </c:pt>
                <c:pt idx="9">
                  <c:v>-1.8999999999778101</c:v>
                </c:pt>
                <c:pt idx="10">
                  <c:v>-2.1000000000412902</c:v>
                </c:pt>
                <c:pt idx="11">
                  <c:v>-2.40000000007967</c:v>
                </c:pt>
                <c:pt idx="12">
                  <c:v>-2.6000000000294698</c:v>
                </c:pt>
                <c:pt idx="13">
                  <c:v>-2.70000000000437</c:v>
                </c:pt>
                <c:pt idx="14">
                  <c:v>-3.0000000000427498</c:v>
                </c:pt>
                <c:pt idx="15">
                  <c:v>-3.1999999999925399</c:v>
                </c:pt>
                <c:pt idx="16">
                  <c:v>-3.30000000008113</c:v>
                </c:pt>
                <c:pt idx="17">
                  <c:v>-3.6000000000058199</c:v>
                </c:pt>
                <c:pt idx="18">
                  <c:v>-3.8000000000692999</c:v>
                </c:pt>
                <c:pt idx="19">
                  <c:v>-3.69999999998072</c:v>
                </c:pt>
                <c:pt idx="20">
                  <c:v>-4.2000000000825803</c:v>
                </c:pt>
                <c:pt idx="21">
                  <c:v>-4.099999999994</c:v>
                </c:pt>
                <c:pt idx="22">
                  <c:v>-9.99999999976353E-2</c:v>
                </c:pt>
              </c:numCache>
            </c:numRef>
          </c:val>
        </c:ser>
        <c:ser>
          <c:idx val="2"/>
          <c:order val="2"/>
          <c:tx>
            <c:strRef>
              <c:f>'zk80+516'!$M$4:$Q$4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'zk80+516'!$A$6:$A$34</c:f>
              <c:numCache>
                <c:formatCode>m"月"d"日";@</c:formatCode>
                <c:ptCount val="29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  <c:pt idx="19">
                  <c:v>44927</c:v>
                </c:pt>
                <c:pt idx="20">
                  <c:v>44929</c:v>
                </c:pt>
                <c:pt idx="21">
                  <c:v>44931</c:v>
                </c:pt>
              </c:numCache>
            </c:numRef>
          </c:cat>
          <c:val>
            <c:numRef>
              <c:f>'zk80+516'!$P$6:$P$28</c:f>
              <c:numCache>
                <c:formatCode>0.00_ </c:formatCode>
                <c:ptCount val="23"/>
                <c:pt idx="0">
                  <c:v>0</c:v>
                </c:pt>
                <c:pt idx="1">
                  <c:v>-9.9999999974897905E-2</c:v>
                </c:pt>
                <c:pt idx="2">
                  <c:v>-0.29999999992469401</c:v>
                </c:pt>
                <c:pt idx="3">
                  <c:v>-0.49999999998817701</c:v>
                </c:pt>
                <c:pt idx="4">
                  <c:v>-0.40000000001327901</c:v>
                </c:pt>
                <c:pt idx="5">
                  <c:v>-0.90000000000145497</c:v>
                </c:pt>
                <c:pt idx="6">
                  <c:v>-1.09999999995125</c:v>
                </c:pt>
                <c:pt idx="7">
                  <c:v>-1.1999999999261499</c:v>
                </c:pt>
                <c:pt idx="8">
                  <c:v>-1.4999999999645299</c:v>
                </c:pt>
                <c:pt idx="9">
                  <c:v>-1.69999999991433</c:v>
                </c:pt>
                <c:pt idx="10">
                  <c:v>-1.8999999999778101</c:v>
                </c:pt>
                <c:pt idx="11">
                  <c:v>-1.8000000000029099</c:v>
                </c:pt>
                <c:pt idx="12">
                  <c:v>-1.9999999999527101</c:v>
                </c:pt>
                <c:pt idx="13">
                  <c:v>-2.2000000000161899</c:v>
                </c:pt>
                <c:pt idx="14">
                  <c:v>-2.0999999999275998</c:v>
                </c:pt>
                <c:pt idx="15">
                  <c:v>-2.5999999999157799</c:v>
                </c:pt>
                <c:pt idx="16">
                  <c:v>-2.79999999997926</c:v>
                </c:pt>
                <c:pt idx="17">
                  <c:v>-2.70000000000437</c:v>
                </c:pt>
                <c:pt idx="18">
                  <c:v>-3.1999999999925399</c:v>
                </c:pt>
                <c:pt idx="19">
                  <c:v>-3.2999999999674401</c:v>
                </c:pt>
                <c:pt idx="20">
                  <c:v>-3.6000000000058199</c:v>
                </c:pt>
                <c:pt idx="21">
                  <c:v>-3.49999999991724</c:v>
                </c:pt>
              </c:numCache>
            </c:numRef>
          </c:val>
        </c:ser>
        <c:dLbls/>
        <c:marker val="1"/>
        <c:axId val="398790656"/>
        <c:axId val="398792960"/>
      </c:lineChart>
      <c:lineChart>
        <c:grouping val="standard"/>
        <c:ser>
          <c:idx val="3"/>
          <c:order val="3"/>
          <c:tx>
            <c:strRef>
              <c:f>'zk80+516'!$AG$3:$AG$5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'zk80+516'!$A$6:$A$24</c:f>
              <c:numCache>
                <c:formatCode>m"月"d"日";@</c:formatCode>
                <c:ptCount val="19"/>
                <c:pt idx="0">
                  <c:v>44903</c:v>
                </c:pt>
                <c:pt idx="1">
                  <c:v>44904</c:v>
                </c:pt>
                <c:pt idx="2">
                  <c:v>44905</c:v>
                </c:pt>
                <c:pt idx="3">
                  <c:v>44906</c:v>
                </c:pt>
                <c:pt idx="4">
                  <c:v>44907</c:v>
                </c:pt>
                <c:pt idx="5">
                  <c:v>44908</c:v>
                </c:pt>
                <c:pt idx="6">
                  <c:v>44909</c:v>
                </c:pt>
                <c:pt idx="7">
                  <c:v>44910</c:v>
                </c:pt>
                <c:pt idx="8">
                  <c:v>44911</c:v>
                </c:pt>
                <c:pt idx="9">
                  <c:v>44912</c:v>
                </c:pt>
                <c:pt idx="10">
                  <c:v>44913</c:v>
                </c:pt>
                <c:pt idx="11">
                  <c:v>44914</c:v>
                </c:pt>
                <c:pt idx="12">
                  <c:v>44915</c:v>
                </c:pt>
                <c:pt idx="13">
                  <c:v>44916</c:v>
                </c:pt>
                <c:pt idx="14">
                  <c:v>44917</c:v>
                </c:pt>
                <c:pt idx="15">
                  <c:v>44919</c:v>
                </c:pt>
                <c:pt idx="16">
                  <c:v>44921</c:v>
                </c:pt>
                <c:pt idx="17">
                  <c:v>44923</c:v>
                </c:pt>
                <c:pt idx="18">
                  <c:v>44925</c:v>
                </c:pt>
              </c:numCache>
            </c:numRef>
          </c:cat>
          <c:val>
            <c:numRef>
              <c:f>'zk80+516'!$AG$6:$AG$31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64</c:v>
                </c:pt>
                <c:pt idx="21">
                  <c:v>67</c:v>
                </c:pt>
              </c:numCache>
            </c:numRef>
          </c:val>
        </c:ser>
        <c:dLbls/>
        <c:marker val="1"/>
        <c:axId val="398815616"/>
        <c:axId val="398817152"/>
      </c:lineChart>
      <c:dateAx>
        <c:axId val="3987906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792960"/>
        <c:crossesAt val="-50"/>
        <c:auto val="1"/>
        <c:lblOffset val="100"/>
        <c:baseTimeUnit val="days"/>
        <c:majorUnit val="4"/>
        <c:majorTimeUnit val="days"/>
      </c:dateAx>
      <c:valAx>
        <c:axId val="398792960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790656"/>
        <c:crosses val="autoZero"/>
        <c:crossBetween val="midCat"/>
        <c:majorUnit val="1.2"/>
        <c:minorUnit val="0.5"/>
      </c:valAx>
      <c:dateAx>
        <c:axId val="3988156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817152"/>
        <c:crosses val="autoZero"/>
        <c:auto val="1"/>
        <c:lblOffset val="100"/>
        <c:baseTimeUnit val="days"/>
      </c:dateAx>
      <c:valAx>
        <c:axId val="398817152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81561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'zk80+538'!$U$4:$W$4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'zk80+538'!$S$6:$S$27</c:f>
              <c:numCache>
                <c:formatCode>m"月"d"日";@</c:formatCode>
                <c:ptCount val="22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'zk80+538'!$V$6:$V$32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-0.60000000000037801</c:v>
                </c:pt>
                <c:pt idx="3">
                  <c:v>-0.70000000000014495</c:v>
                </c:pt>
                <c:pt idx="4">
                  <c:v>-0.90000000000145497</c:v>
                </c:pt>
                <c:pt idx="5">
                  <c:v>-1.10000000000099</c:v>
                </c:pt>
                <c:pt idx="6">
                  <c:v>-1.20000000000076</c:v>
                </c:pt>
                <c:pt idx="7">
                  <c:v>-1.50000000000006</c:v>
                </c:pt>
                <c:pt idx="8">
                  <c:v>-1.70000000001025</c:v>
                </c:pt>
                <c:pt idx="9">
                  <c:v>-1.6000000000015999</c:v>
                </c:pt>
                <c:pt idx="10">
                  <c:v>-2.1000000000110899</c:v>
                </c:pt>
                <c:pt idx="11">
                  <c:v>-2.30000000001063</c:v>
                </c:pt>
                <c:pt idx="12">
                  <c:v>-2.2000000000002</c:v>
                </c:pt>
                <c:pt idx="13">
                  <c:v>-2.7000000000114701</c:v>
                </c:pt>
                <c:pt idx="14">
                  <c:v>-2.6000000000010499</c:v>
                </c:pt>
                <c:pt idx="15">
                  <c:v>-3.1000000000212</c:v>
                </c:pt>
                <c:pt idx="16">
                  <c:v>-3.40000000000096</c:v>
                </c:pt>
                <c:pt idx="17">
                  <c:v>-3.5000000000202598</c:v>
                </c:pt>
                <c:pt idx="18">
                  <c:v>-3.70000000002157</c:v>
                </c:pt>
                <c:pt idx="19">
                  <c:v>-3.6000000000004899</c:v>
                </c:pt>
                <c:pt idx="20">
                  <c:v>-3.5000000000007199</c:v>
                </c:pt>
                <c:pt idx="21">
                  <c:v>-1.4000000000002899</c:v>
                </c:pt>
              </c:numCache>
            </c:numRef>
          </c:val>
        </c:ser>
        <c:ser>
          <c:idx val="1"/>
          <c:order val="1"/>
          <c:tx>
            <c:strRef>
              <c:f>'zk80+538'!$Y$4:$AA$4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'zk80+538'!$S$6:$S$27</c:f>
              <c:numCache>
                <c:formatCode>m"月"d"日";@</c:formatCode>
                <c:ptCount val="22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-0.49999999999883499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-1.0999999999992101</c:v>
                </c:pt>
                <c:pt idx="8">
                  <c:v>-1.1999999999989801</c:v>
                </c:pt>
                <c:pt idx="9">
                  <c:v>-1.50000000000006</c:v>
                </c:pt>
                <c:pt idx="10">
                  <c:v>-1.39999999999851</c:v>
                </c:pt>
                <c:pt idx="11">
                  <c:v>-1.50000000000006</c:v>
                </c:pt>
                <c:pt idx="12">
                  <c:v>-1.59999999999982</c:v>
                </c:pt>
                <c:pt idx="13">
                  <c:v>-1.50000000000006</c:v>
                </c:pt>
                <c:pt idx="14">
                  <c:v>-1.7999999999993599</c:v>
                </c:pt>
                <c:pt idx="15">
                  <c:v>-1.8999999999991199</c:v>
                </c:pt>
                <c:pt idx="16">
                  <c:v>-1.6999999999995901</c:v>
                </c:pt>
                <c:pt idx="17">
                  <c:v>-2.0999999999986598</c:v>
                </c:pt>
                <c:pt idx="18">
                  <c:v>-2.2000000000002</c:v>
                </c:pt>
                <c:pt idx="19">
                  <c:v>-1.99999999999889</c:v>
                </c:pt>
                <c:pt idx="20">
                  <c:v>-2.2000000000002</c:v>
                </c:pt>
                <c:pt idx="21">
                  <c:v>-4.1000000000011001</c:v>
                </c:pt>
              </c:numCache>
            </c:numRef>
          </c:val>
        </c:ser>
        <c:ser>
          <c:idx val="2"/>
          <c:order val="2"/>
          <c:tx>
            <c:strRef>
              <c:f>'zk80+538'!$AC$4:$AE$4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'zk80+538'!$S$6:$S$27</c:f>
              <c:numCache>
                <c:formatCode>m"月"d"日";@</c:formatCode>
                <c:ptCount val="22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-0.60000000000037801</c:v>
                </c:pt>
                <c:pt idx="2">
                  <c:v>-0.799999999999912</c:v>
                </c:pt>
                <c:pt idx="3">
                  <c:v>-0.999999999999446</c:v>
                </c:pt>
                <c:pt idx="4">
                  <c:v>-0.89999999999967895</c:v>
                </c:pt>
                <c:pt idx="5">
                  <c:v>-1.3000000000005201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-2.0000000000006701</c:v>
                </c:pt>
                <c:pt idx="11">
                  <c:v>-1.80000000000113</c:v>
                </c:pt>
                <c:pt idx="12">
                  <c:v>-2.3999999999997401</c:v>
                </c:pt>
                <c:pt idx="13">
                  <c:v>-2.6000000000010499</c:v>
                </c:pt>
                <c:pt idx="14">
                  <c:v>-2.7000000000008102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-3.2999999999994101</c:v>
                </c:pt>
                <c:pt idx="18">
                  <c:v>-3.59999999998983</c:v>
                </c:pt>
                <c:pt idx="19">
                  <c:v>-3.7999999999893701</c:v>
                </c:pt>
                <c:pt idx="20">
                  <c:v>-4.1000000000011001</c:v>
                </c:pt>
              </c:numCache>
            </c:numRef>
          </c:val>
        </c:ser>
        <c:dLbls/>
        <c:marker val="1"/>
        <c:axId val="398856576"/>
        <c:axId val="398858880"/>
      </c:lineChart>
      <c:lineChart>
        <c:grouping val="standard"/>
        <c:ser>
          <c:idx val="3"/>
          <c:order val="3"/>
          <c:tx>
            <c:strRef>
              <c:f>'zk80+538'!$AG$3:$AG$5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'zk80+538'!$S$6:$S$27</c:f>
              <c:numCache>
                <c:formatCode>m"月"d"日";@</c:formatCode>
                <c:ptCount val="22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64</c:v>
                </c:pt>
              </c:numCache>
            </c:numRef>
          </c:val>
        </c:ser>
        <c:dLbls/>
        <c:marker val="1"/>
        <c:axId val="398873344"/>
        <c:axId val="398874880"/>
      </c:lineChart>
      <c:dateAx>
        <c:axId val="3988565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858880"/>
        <c:crossesAt val="-50"/>
        <c:auto val="1"/>
        <c:lblOffset val="100"/>
        <c:baseTimeUnit val="days"/>
        <c:majorUnit val="4"/>
        <c:majorTimeUnit val="days"/>
      </c:dateAx>
      <c:valAx>
        <c:axId val="398858880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856576"/>
        <c:crosses val="autoZero"/>
        <c:crossBetween val="midCat"/>
        <c:majorUnit val="1.4"/>
        <c:minorUnit val="0.1"/>
      </c:valAx>
      <c:dateAx>
        <c:axId val="39887334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8874880"/>
        <c:crosses val="autoZero"/>
        <c:auto val="1"/>
        <c:lblOffset val="100"/>
        <c:baseTimeUnit val="days"/>
      </c:dateAx>
      <c:valAx>
        <c:axId val="398874880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87334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'zk80+538'!$C$4:$G$4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'zk80+538'!$A$6:$A$38</c:f>
              <c:numCache>
                <c:formatCode>m"月"d"日";@</c:formatCode>
                <c:ptCount val="33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'zk80+538'!$G$6:$G$34</c:f>
              <c:numCache>
                <c:formatCode>0.00_ </c:formatCode>
                <c:ptCount val="29"/>
                <c:pt idx="0">
                  <c:v>0</c:v>
                </c:pt>
                <c:pt idx="1">
                  <c:v>-9.9999999974897905E-2</c:v>
                </c:pt>
                <c:pt idx="2">
                  <c:v>-0.30000000003838101</c:v>
                </c:pt>
                <c:pt idx="3">
                  <c:v>9.9999999974897905E-2</c:v>
                </c:pt>
                <c:pt idx="4">
                  <c:v>-0.29999999992469401</c:v>
                </c:pt>
                <c:pt idx="5">
                  <c:v>-0.30000000003838101</c:v>
                </c:pt>
                <c:pt idx="6">
                  <c:v>0</c:v>
                </c:pt>
                <c:pt idx="7">
                  <c:v>-0.59999999996307496</c:v>
                </c:pt>
                <c:pt idx="8">
                  <c:v>-9.9999999974897905E-2</c:v>
                </c:pt>
                <c:pt idx="9">
                  <c:v>-0.50000000010186296</c:v>
                </c:pt>
                <c:pt idx="10">
                  <c:v>-9.9999999974897905E-2</c:v>
                </c:pt>
                <c:pt idx="11">
                  <c:v>-0.49999999998817701</c:v>
                </c:pt>
                <c:pt idx="12">
                  <c:v>-0.30000000003838101</c:v>
                </c:pt>
                <c:pt idx="13">
                  <c:v>0.10000000008858501</c:v>
                </c:pt>
                <c:pt idx="14">
                  <c:v>-0.70000000005165897</c:v>
                </c:pt>
                <c:pt idx="15">
                  <c:v>-0.10000000001279399</c:v>
                </c:pt>
                <c:pt idx="16">
                  <c:v>-0.149999999962347</c:v>
                </c:pt>
                <c:pt idx="17">
                  <c:v>0</c:v>
                </c:pt>
                <c:pt idx="18">
                  <c:v>-0.30000000003838101</c:v>
                </c:pt>
                <c:pt idx="19">
                  <c:v>0.20000000000663901</c:v>
                </c:pt>
                <c:pt idx="20">
                  <c:v>0.15000000001919001</c:v>
                </c:pt>
                <c:pt idx="21">
                  <c:v>-4.2999999999437897</c:v>
                </c:pt>
              </c:numCache>
            </c:numRef>
          </c:val>
        </c:ser>
        <c:ser>
          <c:idx val="1"/>
          <c:order val="1"/>
          <c:tx>
            <c:strRef>
              <c:f>'zk80+538'!$H$4:$L$4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'zk80+538'!$A$6:$A$38</c:f>
              <c:numCache>
                <c:formatCode>m"月"d"日";@</c:formatCode>
                <c:ptCount val="33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0.30000000003838101</c:v>
                </c:pt>
                <c:pt idx="4">
                  <c:v>-0.40000000001327901</c:v>
                </c:pt>
                <c:pt idx="5">
                  <c:v>-0.40000000001327901</c:v>
                </c:pt>
                <c:pt idx="6">
                  <c:v>0.199999999949796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-0.29999999992469401</c:v>
                </c:pt>
                <c:pt idx="10">
                  <c:v>-0.10000000008858501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0</c:v>
                </c:pt>
                <c:pt idx="15">
                  <c:v>-0.13333333333776001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-0.24999999999408801</c:v>
                </c:pt>
                <c:pt idx="19">
                  <c:v>4.9999999987449001E-2</c:v>
                </c:pt>
                <c:pt idx="20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'zk80+538'!$M$4:$Q$4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'zk80+538'!$A$6:$A$38</c:f>
              <c:numCache>
                <c:formatCode>m"月"d"日";@</c:formatCode>
                <c:ptCount val="33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-0.30000000003838101</c:v>
                </c:pt>
                <c:pt idx="5">
                  <c:v>-0.30000000003838101</c:v>
                </c:pt>
                <c:pt idx="6">
                  <c:v>-9.9999999974897905E-2</c:v>
                </c:pt>
                <c:pt idx="7">
                  <c:v>-0.49999999998817701</c:v>
                </c:pt>
                <c:pt idx="8">
                  <c:v>-9.9999999974897905E-2</c:v>
                </c:pt>
                <c:pt idx="9">
                  <c:v>-0.49999999998817701</c:v>
                </c:pt>
                <c:pt idx="10">
                  <c:v>-0.30000000003838101</c:v>
                </c:pt>
                <c:pt idx="11">
                  <c:v>-0.30000000003838101</c:v>
                </c:pt>
                <c:pt idx="12">
                  <c:v>0.10000000008858501</c:v>
                </c:pt>
                <c:pt idx="13">
                  <c:v>-0.70000000005165897</c:v>
                </c:pt>
                <c:pt idx="14">
                  <c:v>-9.9999999974897905E-2</c:v>
                </c:pt>
                <c:pt idx="15">
                  <c:v>-0.166666666662726</c:v>
                </c:pt>
                <c:pt idx="16">
                  <c:v>-0.15000000001919001</c:v>
                </c:pt>
                <c:pt idx="17">
                  <c:v>4.9999999987449001E-2</c:v>
                </c:pt>
                <c:pt idx="18">
                  <c:v>-0.34999999996898601</c:v>
                </c:pt>
                <c:pt idx="19">
                  <c:v>-0.15000000001919001</c:v>
                </c:pt>
                <c:pt idx="20">
                  <c:v>0.100000000031741</c:v>
                </c:pt>
              </c:numCache>
            </c:numRef>
          </c:val>
        </c:ser>
        <c:dLbls/>
        <c:marker val="1"/>
        <c:axId val="398904704"/>
        <c:axId val="343430272"/>
      </c:lineChart>
      <c:dateAx>
        <c:axId val="3989047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430272"/>
        <c:crossesAt val="-50"/>
        <c:auto val="1"/>
        <c:lblOffset val="100"/>
        <c:baseTimeUnit val="days"/>
        <c:majorUnit val="4"/>
        <c:majorTimeUnit val="days"/>
      </c:dateAx>
      <c:valAx>
        <c:axId val="34343027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890470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'zk80+538'!$U$4:$W$4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'zk80+538'!$S$6:$S$41</c:f>
              <c:numCache>
                <c:formatCode>m"月"d"日";@</c:formatCode>
                <c:ptCount val="36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'zk80+538'!$W$6:$W$32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0.29999999999930099</c:v>
                </c:pt>
                <c:pt idx="3">
                  <c:v>9.99999999997669E-2</c:v>
                </c:pt>
                <c:pt idx="4">
                  <c:v>0.20000000000130999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0.29999999999930099</c:v>
                </c:pt>
                <c:pt idx="8">
                  <c:v>0.200000000010192</c:v>
                </c:pt>
                <c:pt idx="9">
                  <c:v>-0.100000000008649</c:v>
                </c:pt>
                <c:pt idx="10">
                  <c:v>0.50000000000949296</c:v>
                </c:pt>
                <c:pt idx="11">
                  <c:v>0.19999999999953399</c:v>
                </c:pt>
                <c:pt idx="12">
                  <c:v>-0.100000000010425</c:v>
                </c:pt>
                <c:pt idx="13">
                  <c:v>0.50000000001126899</c:v>
                </c:pt>
                <c:pt idx="14">
                  <c:v>-0.100000000010425</c:v>
                </c:pt>
                <c:pt idx="15">
                  <c:v>0.16666666667338401</c:v>
                </c:pt>
                <c:pt idx="16">
                  <c:v>0.14999999998988001</c:v>
                </c:pt>
                <c:pt idx="17">
                  <c:v>5.0000000009653399E-2</c:v>
                </c:pt>
                <c:pt idx="18">
                  <c:v>0.100000000000655</c:v>
                </c:pt>
                <c:pt idx="19">
                  <c:v>-5.0000000010541598E-2</c:v>
                </c:pt>
                <c:pt idx="20">
                  <c:v>-4.9999999999883499E-2</c:v>
                </c:pt>
                <c:pt idx="21">
                  <c:v>-3.2000000000014199</c:v>
                </c:pt>
              </c:numCache>
            </c:numRef>
          </c:val>
        </c:ser>
        <c:ser>
          <c:idx val="1"/>
          <c:order val="1"/>
          <c:tx>
            <c:strRef>
              <c:f>'zk80+538'!$Y$4:$AA$4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'zk80+538'!$S$6:$S$41</c:f>
              <c:numCache>
                <c:formatCode>m"月"d"日";@</c:formatCode>
                <c:ptCount val="36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-0.20000000000130999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9.99999999997669E-2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0.10000000000154299</c:v>
                </c:pt>
                <c:pt idx="11">
                  <c:v>-0.10000000000154299</c:v>
                </c:pt>
                <c:pt idx="12">
                  <c:v>-9.99999999997669E-2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-3.3333333333255603E-2</c:v>
                </c:pt>
                <c:pt idx="16">
                  <c:v>9.99999999997669E-2</c:v>
                </c:pt>
                <c:pt idx="17">
                  <c:v>-0.19999999999953399</c:v>
                </c:pt>
                <c:pt idx="18">
                  <c:v>-5.0000000000771601E-2</c:v>
                </c:pt>
                <c:pt idx="19">
                  <c:v>0.100000000000655</c:v>
                </c:pt>
                <c:pt idx="20">
                  <c:v>-0.100000000000655</c:v>
                </c:pt>
                <c:pt idx="21">
                  <c:v>-0.13913043478267101</c:v>
                </c:pt>
              </c:numCache>
            </c:numRef>
          </c:val>
        </c:ser>
        <c:ser>
          <c:idx val="2"/>
          <c:order val="2"/>
          <c:tx>
            <c:strRef>
              <c:f>'zk80+538'!$AC$4:$AE$4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'zk80+538'!$S$6:$S$41</c:f>
              <c:numCache>
                <c:formatCode>m"月"d"日";@</c:formatCode>
                <c:ptCount val="36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-0.60000000000037801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-0.40000000000084401</c:v>
                </c:pt>
                <c:pt idx="6">
                  <c:v>9.99999999997669E-2</c:v>
                </c:pt>
                <c:pt idx="7">
                  <c:v>-0.19999999999953399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-0.70000000000014495</c:v>
                </c:pt>
                <c:pt idx="11">
                  <c:v>0.19999999999953399</c:v>
                </c:pt>
                <c:pt idx="12">
                  <c:v>-0.59999999999860198</c:v>
                </c:pt>
                <c:pt idx="13">
                  <c:v>-0.20000000000130999</c:v>
                </c:pt>
                <c:pt idx="14">
                  <c:v>-9.99999999997669E-2</c:v>
                </c:pt>
                <c:pt idx="15">
                  <c:v>-9.99999999997669E-2</c:v>
                </c:pt>
                <c:pt idx="16">
                  <c:v>-9.99999999997669E-2</c:v>
                </c:pt>
                <c:pt idx="17">
                  <c:v>-4.9999999999883499E-2</c:v>
                </c:pt>
                <c:pt idx="18">
                  <c:v>-0.14999999999520999</c:v>
                </c:pt>
                <c:pt idx="19">
                  <c:v>-9.99999999997669E-2</c:v>
                </c:pt>
                <c:pt idx="20">
                  <c:v>-0.15000000000586799</c:v>
                </c:pt>
              </c:numCache>
            </c:numRef>
          </c:val>
        </c:ser>
        <c:dLbls/>
        <c:marker val="1"/>
        <c:axId val="343461248"/>
        <c:axId val="399124352"/>
      </c:lineChart>
      <c:dateAx>
        <c:axId val="34346124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124352"/>
        <c:crossesAt val="-50"/>
        <c:auto val="1"/>
        <c:lblOffset val="100"/>
        <c:baseTimeUnit val="days"/>
        <c:majorUnit val="4"/>
        <c:majorTimeUnit val="days"/>
      </c:dateAx>
      <c:valAx>
        <c:axId val="39912435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346124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k80+538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'zk80+538'!$C$4:$G$4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'zk80+538'!$A$6:$A$34</c:f>
              <c:numCache>
                <c:formatCode>m"月"d"日";@</c:formatCode>
                <c:ptCount val="29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'zk80+538'!$F$6:$F$24</c:f>
              <c:numCache>
                <c:formatCode>0.00_ </c:formatCode>
                <c:ptCount val="19"/>
                <c:pt idx="0">
                  <c:v>0</c:v>
                </c:pt>
                <c:pt idx="1">
                  <c:v>-9.9999999974897905E-2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-0.59999999996307496</c:v>
                </c:pt>
                <c:pt idx="5">
                  <c:v>-0.90000000000145497</c:v>
                </c:pt>
                <c:pt idx="6">
                  <c:v>-0.90000000000145497</c:v>
                </c:pt>
                <c:pt idx="7">
                  <c:v>-1.4999999999645299</c:v>
                </c:pt>
                <c:pt idx="8">
                  <c:v>-1.5999999999394301</c:v>
                </c:pt>
                <c:pt idx="9">
                  <c:v>-2.1000000000412902</c:v>
                </c:pt>
                <c:pt idx="10">
                  <c:v>-2.2000000000161899</c:v>
                </c:pt>
                <c:pt idx="11">
                  <c:v>-2.70000000000437</c:v>
                </c:pt>
                <c:pt idx="12">
                  <c:v>-3.0000000000427498</c:v>
                </c:pt>
                <c:pt idx="13">
                  <c:v>-2.8999999999541601</c:v>
                </c:pt>
                <c:pt idx="14">
                  <c:v>-3.6000000000058199</c:v>
                </c:pt>
                <c:pt idx="15">
                  <c:v>-3.9000000000442001</c:v>
                </c:pt>
                <c:pt idx="16">
                  <c:v>-4.1999999999688997</c:v>
                </c:pt>
                <c:pt idx="17">
                  <c:v>-4.1999999999688997</c:v>
                </c:pt>
                <c:pt idx="18">
                  <c:v>-4.8000000000456602</c:v>
                </c:pt>
              </c:numCache>
            </c:numRef>
          </c:val>
        </c:ser>
        <c:ser>
          <c:idx val="1"/>
          <c:order val="1"/>
          <c:tx>
            <c:strRef>
              <c:f>'zk80+538'!$H$4:$L$4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'zk80+538'!$A$6:$A$34</c:f>
              <c:numCache>
                <c:formatCode>m"月"d"日";@</c:formatCode>
                <c:ptCount val="29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-0.69999999993797202</c:v>
                </c:pt>
                <c:pt idx="3">
                  <c:v>-0.39999999989959201</c:v>
                </c:pt>
                <c:pt idx="4">
                  <c:v>-0.79999999991286996</c:v>
                </c:pt>
                <c:pt idx="5">
                  <c:v>-1.1999999999261499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-1.39999999998963</c:v>
                </c:pt>
                <c:pt idx="9">
                  <c:v>-1.69999999991433</c:v>
                </c:pt>
                <c:pt idx="10">
                  <c:v>-1.8000000000029099</c:v>
                </c:pt>
                <c:pt idx="11">
                  <c:v>-1.9999999999527101</c:v>
                </c:pt>
                <c:pt idx="12">
                  <c:v>-2.0999999999275998</c:v>
                </c:pt>
                <c:pt idx="13">
                  <c:v>-2.39999999996598</c:v>
                </c:pt>
                <c:pt idx="14">
                  <c:v>-2.39999999996598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-2.8999999999541601</c:v>
                </c:pt>
                <c:pt idx="18">
                  <c:v>-3.3999999999423398</c:v>
                </c:pt>
                <c:pt idx="19">
                  <c:v>-3.2999999999674401</c:v>
                </c:pt>
                <c:pt idx="20">
                  <c:v>-3.1999999999925399</c:v>
                </c:pt>
                <c:pt idx="21">
                  <c:v>-0.186956521736687</c:v>
                </c:pt>
              </c:numCache>
            </c:numRef>
          </c:val>
        </c:ser>
        <c:ser>
          <c:idx val="2"/>
          <c:order val="2"/>
          <c:tx>
            <c:strRef>
              <c:f>'zk80+538'!$M$4:$Q$4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'zk80+538'!$A$6:$A$34</c:f>
              <c:numCache>
                <c:formatCode>m"月"d"日";@</c:formatCode>
                <c:ptCount val="29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  <c:pt idx="19">
                  <c:v>44936</c:v>
                </c:pt>
                <c:pt idx="20">
                  <c:v>44938</c:v>
                </c:pt>
              </c:numCache>
            </c:numRef>
          </c:cat>
          <c:val>
            <c:numRef>
              <c:f>'zk80+538'!$P$6:$P$28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-0.39999999989959201</c:v>
                </c:pt>
                <c:pt idx="3">
                  <c:v>-0.29999999992469401</c:v>
                </c:pt>
                <c:pt idx="4">
                  <c:v>-0.59999999996307496</c:v>
                </c:pt>
                <c:pt idx="5">
                  <c:v>-0.90000000000145497</c:v>
                </c:pt>
                <c:pt idx="6">
                  <c:v>-0.99999999997635303</c:v>
                </c:pt>
                <c:pt idx="7">
                  <c:v>-1.4999999999645299</c:v>
                </c:pt>
                <c:pt idx="8">
                  <c:v>-1.5999999999394301</c:v>
                </c:pt>
                <c:pt idx="9">
                  <c:v>-2.0999999999275998</c:v>
                </c:pt>
                <c:pt idx="10">
                  <c:v>-2.39999999996598</c:v>
                </c:pt>
                <c:pt idx="11">
                  <c:v>-2.70000000000437</c:v>
                </c:pt>
                <c:pt idx="12">
                  <c:v>-2.5999999999157799</c:v>
                </c:pt>
                <c:pt idx="13">
                  <c:v>-3.2999999999674401</c:v>
                </c:pt>
                <c:pt idx="14">
                  <c:v>-3.3999999999423398</c:v>
                </c:pt>
                <c:pt idx="15">
                  <c:v>-3.8999999999305102</c:v>
                </c:pt>
                <c:pt idx="16">
                  <c:v>-4.1999999999688997</c:v>
                </c:pt>
                <c:pt idx="17">
                  <c:v>-4.099999999994</c:v>
                </c:pt>
                <c:pt idx="18">
                  <c:v>-4.7999999999319698</c:v>
                </c:pt>
                <c:pt idx="19">
                  <c:v>-5.0999999999703496</c:v>
                </c:pt>
                <c:pt idx="20">
                  <c:v>-4.8999999999068704</c:v>
                </c:pt>
              </c:numCache>
            </c:numRef>
          </c:val>
        </c:ser>
        <c:dLbls/>
        <c:marker val="1"/>
        <c:axId val="399465856"/>
        <c:axId val="399472512"/>
      </c:lineChart>
      <c:lineChart>
        <c:grouping val="standard"/>
        <c:ser>
          <c:idx val="3"/>
          <c:order val="3"/>
          <c:tx>
            <c:strRef>
              <c:f>'zk80+538'!$AG$3:$AG$5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'zk80+538'!$A$6:$A$24</c:f>
              <c:numCache>
                <c:formatCode>m"月"d"日";@</c:formatCode>
                <c:ptCount val="19"/>
                <c:pt idx="0">
                  <c:v>44911</c:v>
                </c:pt>
                <c:pt idx="1">
                  <c:v>44912</c:v>
                </c:pt>
                <c:pt idx="2">
                  <c:v>44913</c:v>
                </c:pt>
                <c:pt idx="3">
                  <c:v>44914</c:v>
                </c:pt>
                <c:pt idx="4">
                  <c:v>44915</c:v>
                </c:pt>
                <c:pt idx="5">
                  <c:v>44916</c:v>
                </c:pt>
                <c:pt idx="6">
                  <c:v>44917</c:v>
                </c:pt>
                <c:pt idx="7">
                  <c:v>44918</c:v>
                </c:pt>
                <c:pt idx="8">
                  <c:v>44919</c:v>
                </c:pt>
                <c:pt idx="9">
                  <c:v>44920</c:v>
                </c:pt>
                <c:pt idx="10">
                  <c:v>44921</c:v>
                </c:pt>
                <c:pt idx="11">
                  <c:v>44922</c:v>
                </c:pt>
                <c:pt idx="12">
                  <c:v>44923</c:v>
                </c:pt>
                <c:pt idx="13">
                  <c:v>44924</c:v>
                </c:pt>
                <c:pt idx="14">
                  <c:v>44925</c:v>
                </c:pt>
                <c:pt idx="15">
                  <c:v>44928</c:v>
                </c:pt>
                <c:pt idx="16">
                  <c:v>44930</c:v>
                </c:pt>
                <c:pt idx="17">
                  <c:v>44932</c:v>
                </c:pt>
                <c:pt idx="18">
                  <c:v>44934</c:v>
                </c:pt>
              </c:numCache>
            </c:numRef>
          </c:cat>
          <c:val>
            <c:numRef>
              <c:f>'zk80+538'!$AG$6:$AG$31</c:f>
              <c:numCache>
                <c:formatCode>0.0_ </c:formatCode>
                <c:ptCount val="26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64</c:v>
                </c:pt>
              </c:numCache>
            </c:numRef>
          </c:val>
        </c:ser>
        <c:dLbls/>
        <c:marker val="1"/>
        <c:axId val="399482880"/>
        <c:axId val="399484416"/>
      </c:lineChart>
      <c:dateAx>
        <c:axId val="3994658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472512"/>
        <c:crossesAt val="-50"/>
        <c:auto val="1"/>
        <c:lblOffset val="100"/>
        <c:baseTimeUnit val="days"/>
        <c:majorUnit val="4"/>
        <c:majorTimeUnit val="days"/>
      </c:dateAx>
      <c:valAx>
        <c:axId val="399472512"/>
        <c:scaling>
          <c:orientation val="minMax"/>
          <c:max val="1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465856"/>
        <c:crosses val="autoZero"/>
        <c:crossBetween val="midCat"/>
        <c:majorUnit val="1.4"/>
        <c:minorUnit val="0.5"/>
      </c:valAx>
      <c:dateAx>
        <c:axId val="39948288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9484416"/>
        <c:crosses val="autoZero"/>
        <c:auto val="1"/>
        <c:lblOffset val="100"/>
        <c:baseTimeUnit val="days"/>
      </c:dateAx>
      <c:valAx>
        <c:axId val="399484416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48288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'zk80+565'!$U$4:$W$4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'zk80+565'!$S$6:$S$29</c:f>
              <c:numCache>
                <c:formatCode>m"月"d"日";@</c:formatCode>
                <c:ptCount val="24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'zk80+565'!$V$6:$V$32</c:f>
              <c:numCache>
                <c:formatCode>0.00_ </c:formatCode>
                <c:ptCount val="27"/>
                <c:pt idx="0">
                  <c:v>0</c:v>
                </c:pt>
                <c:pt idx="1">
                  <c:v>-0.30000000000107702</c:v>
                </c:pt>
                <c:pt idx="2">
                  <c:v>-0.60000000000037801</c:v>
                </c:pt>
                <c:pt idx="3">
                  <c:v>-0.70000000000014495</c:v>
                </c:pt>
                <c:pt idx="4">
                  <c:v>-0.90000000000145497</c:v>
                </c:pt>
                <c:pt idx="5">
                  <c:v>-1.10000000000099</c:v>
                </c:pt>
                <c:pt idx="6">
                  <c:v>-1.20000000000076</c:v>
                </c:pt>
                <c:pt idx="7">
                  <c:v>-1.50000000000006</c:v>
                </c:pt>
                <c:pt idx="8">
                  <c:v>-1.70000000001025</c:v>
                </c:pt>
                <c:pt idx="9">
                  <c:v>-1.6000000000015999</c:v>
                </c:pt>
                <c:pt idx="10">
                  <c:v>-2.1000000000110899</c:v>
                </c:pt>
                <c:pt idx="11">
                  <c:v>-2.30000000001063</c:v>
                </c:pt>
                <c:pt idx="12">
                  <c:v>-2.2000000000002</c:v>
                </c:pt>
                <c:pt idx="13">
                  <c:v>-2.7000000000114701</c:v>
                </c:pt>
                <c:pt idx="14">
                  <c:v>-2.6000000000010499</c:v>
                </c:pt>
                <c:pt idx="15">
                  <c:v>-3.1000000000212</c:v>
                </c:pt>
                <c:pt idx="16">
                  <c:v>-3.40000000000096</c:v>
                </c:pt>
                <c:pt idx="17">
                  <c:v>-3.5000000000202598</c:v>
                </c:pt>
                <c:pt idx="18">
                  <c:v>-3.70000000002157</c:v>
                </c:pt>
                <c:pt idx="19">
                  <c:v>-3.6000000000004899</c:v>
                </c:pt>
                <c:pt idx="20">
                  <c:v>-4.0000000000013403</c:v>
                </c:pt>
                <c:pt idx="21">
                  <c:v>-4.4000000000004</c:v>
                </c:pt>
                <c:pt idx="22">
                  <c:v>-4.3000000000006402</c:v>
                </c:pt>
                <c:pt idx="23">
                  <c:v>-4.2000000000008697</c:v>
                </c:pt>
                <c:pt idx="24">
                  <c:v>-2.2000000000002</c:v>
                </c:pt>
              </c:numCache>
            </c:numRef>
          </c:val>
        </c:ser>
        <c:ser>
          <c:idx val="1"/>
          <c:order val="1"/>
          <c:tx>
            <c:strRef>
              <c:f>'zk80+565'!$Y$4:$AA$4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'zk80+565'!$S$6:$S$29</c:f>
              <c:numCache>
                <c:formatCode>m"月"d"日";@</c:formatCode>
                <c:ptCount val="24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-0.49999999999883499</c:v>
                </c:pt>
                <c:pt idx="3">
                  <c:v>-0.70000000000014495</c:v>
                </c:pt>
                <c:pt idx="4">
                  <c:v>-0.799999999999912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-1.0999999999992101</c:v>
                </c:pt>
                <c:pt idx="8">
                  <c:v>-1.1999999999989801</c:v>
                </c:pt>
                <c:pt idx="9">
                  <c:v>-1.50000000000006</c:v>
                </c:pt>
                <c:pt idx="10">
                  <c:v>-1.39999999999851</c:v>
                </c:pt>
                <c:pt idx="11">
                  <c:v>-1.50000000000006</c:v>
                </c:pt>
                <c:pt idx="12">
                  <c:v>-1.59999999999982</c:v>
                </c:pt>
                <c:pt idx="13">
                  <c:v>-1.50000000000006</c:v>
                </c:pt>
                <c:pt idx="14">
                  <c:v>-1.7999999999993599</c:v>
                </c:pt>
                <c:pt idx="15">
                  <c:v>-1.8999999999991199</c:v>
                </c:pt>
                <c:pt idx="16">
                  <c:v>-1.6999999999995901</c:v>
                </c:pt>
                <c:pt idx="17">
                  <c:v>-2.0999999999986598</c:v>
                </c:pt>
                <c:pt idx="18">
                  <c:v>-2.2000000000002</c:v>
                </c:pt>
                <c:pt idx="19">
                  <c:v>-1.99999999999889</c:v>
                </c:pt>
                <c:pt idx="20">
                  <c:v>-2.2000000000002</c:v>
                </c:pt>
                <c:pt idx="21">
                  <c:v>-1.99999999999889</c:v>
                </c:pt>
                <c:pt idx="22">
                  <c:v>-1.8999999999991199</c:v>
                </c:pt>
                <c:pt idx="23">
                  <c:v>-2.2000000000002</c:v>
                </c:pt>
                <c:pt idx="24">
                  <c:v>-4.6999999999997</c:v>
                </c:pt>
              </c:numCache>
            </c:numRef>
          </c:val>
        </c:ser>
        <c:ser>
          <c:idx val="2"/>
          <c:order val="2"/>
          <c:tx>
            <c:strRef>
              <c:f>'zk80+565'!$AC$4:$AE$4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'zk80+565'!$S$6:$S$29</c:f>
              <c:numCache>
                <c:formatCode>m"月"d"日";@</c:formatCode>
                <c:ptCount val="24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-0.60000000000037801</c:v>
                </c:pt>
                <c:pt idx="2">
                  <c:v>-0.799999999999912</c:v>
                </c:pt>
                <c:pt idx="3">
                  <c:v>-0.999999999999446</c:v>
                </c:pt>
                <c:pt idx="4">
                  <c:v>-0.89999999999967895</c:v>
                </c:pt>
                <c:pt idx="5">
                  <c:v>-1.3000000000005201</c:v>
                </c:pt>
                <c:pt idx="6">
                  <c:v>-1.20000000000076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-1.3000000000005201</c:v>
                </c:pt>
                <c:pt idx="10">
                  <c:v>-2.0000000000006701</c:v>
                </c:pt>
                <c:pt idx="11">
                  <c:v>-1.80000000000113</c:v>
                </c:pt>
                <c:pt idx="12">
                  <c:v>-2.3999999999997401</c:v>
                </c:pt>
                <c:pt idx="13">
                  <c:v>-2.6000000000010499</c:v>
                </c:pt>
                <c:pt idx="14">
                  <c:v>-2.7000000000008102</c:v>
                </c:pt>
                <c:pt idx="15">
                  <c:v>-3.0000000000001101</c:v>
                </c:pt>
                <c:pt idx="16">
                  <c:v>-3.1999999999996498</c:v>
                </c:pt>
                <c:pt idx="17">
                  <c:v>-3.2999999999994101</c:v>
                </c:pt>
                <c:pt idx="18">
                  <c:v>-3.59999999998983</c:v>
                </c:pt>
                <c:pt idx="19">
                  <c:v>-3.7999999999893701</c:v>
                </c:pt>
                <c:pt idx="20">
                  <c:v>-4.1000000000011001</c:v>
                </c:pt>
                <c:pt idx="21">
                  <c:v>-4.5999999999999401</c:v>
                </c:pt>
                <c:pt idx="22">
                  <c:v>-4.5000000000001696</c:v>
                </c:pt>
                <c:pt idx="23">
                  <c:v>-4.6999999999997</c:v>
                </c:pt>
              </c:numCache>
            </c:numRef>
          </c:val>
        </c:ser>
        <c:dLbls/>
        <c:marker val="1"/>
        <c:axId val="399593472"/>
        <c:axId val="399595776"/>
      </c:lineChart>
      <c:lineChart>
        <c:grouping val="standard"/>
        <c:ser>
          <c:idx val="3"/>
          <c:order val="3"/>
          <c:tx>
            <c:strRef>
              <c:f>'zk80+565'!$AG$3:$AG$5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'zk80+565'!$S$6:$S$27</c:f>
              <c:numCache>
                <c:formatCode>m"月"d"日";@</c:formatCode>
                <c:ptCount val="22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</c:numCache>
            </c:numRef>
          </c:cat>
          <c:val>
            <c:numRef>
              <c:f>'zk80+565'!$AG$6:$AG$31</c:f>
              <c:numCache>
                <c:formatCode>0.0_ </c:formatCode>
                <c:ptCount val="26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33</c:v>
                </c:pt>
                <c:pt idx="16">
                  <c:v>35</c:v>
                </c:pt>
                <c:pt idx="17">
                  <c:v>37</c:v>
                </c:pt>
                <c:pt idx="18">
                  <c:v>39</c:v>
                </c:pt>
                <c:pt idx="19">
                  <c:v>41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49</c:v>
                </c:pt>
              </c:numCache>
            </c:numRef>
          </c:val>
        </c:ser>
        <c:dLbls/>
        <c:marker val="1"/>
        <c:axId val="399602048"/>
        <c:axId val="399603584"/>
      </c:lineChart>
      <c:dateAx>
        <c:axId val="3995934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595776"/>
        <c:crossesAt val="-50"/>
        <c:auto val="1"/>
        <c:lblOffset val="100"/>
        <c:baseTimeUnit val="days"/>
        <c:majorUnit val="7"/>
        <c:majorTimeUnit val="days"/>
      </c:dateAx>
      <c:valAx>
        <c:axId val="399595776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593472"/>
        <c:crosses val="autoZero"/>
        <c:crossBetween val="midCat"/>
        <c:majorUnit val="1.4"/>
        <c:minorUnit val="0.1"/>
      </c:valAx>
      <c:dateAx>
        <c:axId val="3996020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9603584"/>
        <c:crosses val="autoZero"/>
        <c:auto val="1"/>
        <c:lblOffset val="100"/>
        <c:baseTimeUnit val="days"/>
      </c:dateAx>
      <c:valAx>
        <c:axId val="399603584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60204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'zk80+565'!$C$4:$G$4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'zk80+565'!$A$6:$A$38</c:f>
              <c:numCache>
                <c:formatCode>m"月"d"日";@</c:formatCode>
                <c:ptCount val="33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'zk80+565'!$G$6:$G$34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0</c:v>
                </c:pt>
                <c:pt idx="6">
                  <c:v>-0.40000000001327901</c:v>
                </c:pt>
                <c:pt idx="7">
                  <c:v>-0.20000000006348301</c:v>
                </c:pt>
                <c:pt idx="8">
                  <c:v>0.49999999998817701</c:v>
                </c:pt>
                <c:pt idx="9">
                  <c:v>-0.90000000000145497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-0.30000000003838101</c:v>
                </c:pt>
                <c:pt idx="14">
                  <c:v>-9.9999999974897905E-2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5.0000000044292399E-2</c:v>
                </c:pt>
                <c:pt idx="18">
                  <c:v>-2.27272727267353E-2</c:v>
                </c:pt>
                <c:pt idx="19">
                  <c:v>-0.100000000031741</c:v>
                </c:pt>
                <c:pt idx="20">
                  <c:v>3.3333333324965998E-2</c:v>
                </c:pt>
                <c:pt idx="21">
                  <c:v>-0.24999999999408801</c:v>
                </c:pt>
                <c:pt idx="22">
                  <c:v>-3.9999999989959199E-2</c:v>
                </c:pt>
                <c:pt idx="23">
                  <c:v>3.9999999989959199E-2</c:v>
                </c:pt>
                <c:pt idx="24">
                  <c:v>-4.2000000000825803</c:v>
                </c:pt>
              </c:numCache>
            </c:numRef>
          </c:val>
        </c:ser>
        <c:ser>
          <c:idx val="1"/>
          <c:order val="1"/>
          <c:tx>
            <c:strRef>
              <c:f>'zk80+565'!$H$4:$L$4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'zk80+565'!$A$6:$A$38</c:f>
              <c:numCache>
                <c:formatCode>m"月"d"日";@</c:formatCode>
                <c:ptCount val="33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'zk80+565'!$L$6:$L$35</c:f>
              <c:numCache>
                <c:formatCode>0.00_ </c:formatCode>
                <c:ptCount val="30"/>
                <c:pt idx="0">
                  <c:v>0</c:v>
                </c:pt>
                <c:pt idx="1">
                  <c:v>0.199999999949796</c:v>
                </c:pt>
                <c:pt idx="2">
                  <c:v>-9.9999999974897905E-2</c:v>
                </c:pt>
                <c:pt idx="3">
                  <c:v>0.199999999949796</c:v>
                </c:pt>
                <c:pt idx="4">
                  <c:v>-0.59999999996307496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-0.10000000008858501</c:v>
                </c:pt>
                <c:pt idx="9">
                  <c:v>-0.29999999992469401</c:v>
                </c:pt>
                <c:pt idx="10">
                  <c:v>-0.20000000006348301</c:v>
                </c:pt>
                <c:pt idx="11">
                  <c:v>0.10000000008858501</c:v>
                </c:pt>
                <c:pt idx="12">
                  <c:v>-0.50000000010186296</c:v>
                </c:pt>
                <c:pt idx="13">
                  <c:v>-0.199999999949796</c:v>
                </c:pt>
                <c:pt idx="14">
                  <c:v>-0.199999999949796</c:v>
                </c:pt>
                <c:pt idx="15">
                  <c:v>-5.0000000044292399E-2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4.5454545443135404E-3</c:v>
                </c:pt>
                <c:pt idx="19">
                  <c:v>-0.24999999999408801</c:v>
                </c:pt>
                <c:pt idx="20">
                  <c:v>-6.6666666649931997E-2</c:v>
                </c:pt>
                <c:pt idx="21">
                  <c:v>4.9999999987449001E-2</c:v>
                </c:pt>
                <c:pt idx="22">
                  <c:v>-9.99999999976353E-2</c:v>
                </c:pt>
                <c:pt idx="23">
                  <c:v>4.0000000012696497E-2</c:v>
                </c:pt>
              </c:numCache>
            </c:numRef>
          </c:val>
        </c:ser>
        <c:ser>
          <c:idx val="2"/>
          <c:order val="2"/>
          <c:tx>
            <c:strRef>
              <c:f>'zk80+565'!$M$4:$Q$4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'zk80+565'!$A$6:$A$38</c:f>
              <c:numCache>
                <c:formatCode>m"月"d"日";@</c:formatCode>
                <c:ptCount val="33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0.10000000008858501</c:v>
                </c:pt>
                <c:pt idx="10">
                  <c:v>-0.50000000010186296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-1.36363636381082E-2</c:v>
                </c:pt>
                <c:pt idx="19">
                  <c:v>-9.9999999974897905E-2</c:v>
                </c:pt>
                <c:pt idx="20">
                  <c:v>-6.66666666878276E-2</c:v>
                </c:pt>
                <c:pt idx="21">
                  <c:v>-4.9999999987449001E-2</c:v>
                </c:pt>
                <c:pt idx="22">
                  <c:v>-6.0000000007676101E-2</c:v>
                </c:pt>
                <c:pt idx="23">
                  <c:v>1.99999999949796E-2</c:v>
                </c:pt>
              </c:numCache>
            </c:numRef>
          </c:val>
        </c:ser>
        <c:dLbls/>
        <c:marker val="1"/>
        <c:axId val="399649024"/>
        <c:axId val="399672064"/>
      </c:lineChart>
      <c:dateAx>
        <c:axId val="3996490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672064"/>
        <c:crossesAt val="-50"/>
        <c:auto val="1"/>
        <c:lblOffset val="100"/>
        <c:baseTimeUnit val="days"/>
        <c:majorUnit val="7"/>
        <c:majorTimeUnit val="days"/>
      </c:dateAx>
      <c:valAx>
        <c:axId val="399672064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64902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'zk80+565'!$U$4:$W$4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'zk80+565'!$S$6:$S$41</c:f>
              <c:numCache>
                <c:formatCode>m"月"d"日";@</c:formatCode>
                <c:ptCount val="36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'zk80+565'!$W$6:$W$32</c:f>
              <c:numCache>
                <c:formatCode>0.00_ </c:formatCode>
                <c:ptCount val="27"/>
                <c:pt idx="0">
                  <c:v>0</c:v>
                </c:pt>
                <c:pt idx="1">
                  <c:v>0.30000000000107702</c:v>
                </c:pt>
                <c:pt idx="2">
                  <c:v>0.29999999999930099</c:v>
                </c:pt>
                <c:pt idx="3">
                  <c:v>9.99999999997669E-2</c:v>
                </c:pt>
                <c:pt idx="4">
                  <c:v>0.20000000000130999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0.29999999999930099</c:v>
                </c:pt>
                <c:pt idx="8">
                  <c:v>0.200000000010192</c:v>
                </c:pt>
                <c:pt idx="9">
                  <c:v>-0.100000000008649</c:v>
                </c:pt>
                <c:pt idx="10">
                  <c:v>0.50000000000949296</c:v>
                </c:pt>
                <c:pt idx="11">
                  <c:v>0.19999999999953399</c:v>
                </c:pt>
                <c:pt idx="12">
                  <c:v>-0.100000000010425</c:v>
                </c:pt>
                <c:pt idx="13">
                  <c:v>0.50000000001126899</c:v>
                </c:pt>
                <c:pt idx="14">
                  <c:v>-0.100000000010425</c:v>
                </c:pt>
                <c:pt idx="15">
                  <c:v>0.250000000010075</c:v>
                </c:pt>
                <c:pt idx="16">
                  <c:v>0.14999999998988001</c:v>
                </c:pt>
                <c:pt idx="17">
                  <c:v>5.0000000009653399E-2</c:v>
                </c:pt>
                <c:pt idx="18">
                  <c:v>9.0909090909686505E-3</c:v>
                </c:pt>
                <c:pt idx="19">
                  <c:v>-5.0000000010541598E-2</c:v>
                </c:pt>
                <c:pt idx="20">
                  <c:v>0.133333333333615</c:v>
                </c:pt>
                <c:pt idx="21">
                  <c:v>0.19999999999953399</c:v>
                </c:pt>
                <c:pt idx="22">
                  <c:v>-1.9999999999953399E-2</c:v>
                </c:pt>
                <c:pt idx="23">
                  <c:v>-1.9999999999953399E-2</c:v>
                </c:pt>
                <c:pt idx="24">
                  <c:v>-4.6999999999997</c:v>
                </c:pt>
              </c:numCache>
            </c:numRef>
          </c:val>
        </c:ser>
        <c:ser>
          <c:idx val="1"/>
          <c:order val="1"/>
          <c:tx>
            <c:strRef>
              <c:f>'zk80+565'!$Y$4:$AA$4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'zk80+565'!$S$6:$S$41</c:f>
              <c:numCache>
                <c:formatCode>m"月"d"日";@</c:formatCode>
                <c:ptCount val="36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-0.20000000000130999</c:v>
                </c:pt>
                <c:pt idx="4">
                  <c:v>-9.99999999997669E-2</c:v>
                </c:pt>
                <c:pt idx="5">
                  <c:v>-9.99999999997669E-2</c:v>
                </c:pt>
                <c:pt idx="6">
                  <c:v>-0.29999999999930099</c:v>
                </c:pt>
                <c:pt idx="7">
                  <c:v>9.99999999997669E-2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0.10000000000154299</c:v>
                </c:pt>
                <c:pt idx="11">
                  <c:v>-0.10000000000154299</c:v>
                </c:pt>
                <c:pt idx="12">
                  <c:v>-9.99999999997669E-2</c:v>
                </c:pt>
                <c:pt idx="13">
                  <c:v>9.99999999997669E-2</c:v>
                </c:pt>
                <c:pt idx="14">
                  <c:v>-0.29999999999930099</c:v>
                </c:pt>
                <c:pt idx="15">
                  <c:v>-4.9999999999883499E-2</c:v>
                </c:pt>
                <c:pt idx="16">
                  <c:v>9.99999999997669E-2</c:v>
                </c:pt>
                <c:pt idx="17">
                  <c:v>-0.19999999999953399</c:v>
                </c:pt>
                <c:pt idx="18">
                  <c:v>-4.5454545455247001E-3</c:v>
                </c:pt>
                <c:pt idx="19">
                  <c:v>0.100000000000655</c:v>
                </c:pt>
                <c:pt idx="20">
                  <c:v>-6.66666666671034E-2</c:v>
                </c:pt>
                <c:pt idx="21">
                  <c:v>0.100000000000655</c:v>
                </c:pt>
                <c:pt idx="22">
                  <c:v>1.9999999999953399E-2</c:v>
                </c:pt>
                <c:pt idx="23">
                  <c:v>-6.0000000000215402E-2</c:v>
                </c:pt>
                <c:pt idx="24">
                  <c:v>-7.8333333333328398E-2</c:v>
                </c:pt>
              </c:numCache>
            </c:numRef>
          </c:val>
        </c:ser>
        <c:ser>
          <c:idx val="2"/>
          <c:order val="2"/>
          <c:tx>
            <c:strRef>
              <c:f>'zk80+565'!$AC$4:$AE$4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'zk80+565'!$S$6:$S$41</c:f>
              <c:numCache>
                <c:formatCode>m"月"d"日";@</c:formatCode>
                <c:ptCount val="36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-0.60000000000037801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-0.40000000000084401</c:v>
                </c:pt>
                <c:pt idx="6">
                  <c:v>9.99999999997669E-2</c:v>
                </c:pt>
                <c:pt idx="7">
                  <c:v>-0.19999999999953399</c:v>
                </c:pt>
                <c:pt idx="8">
                  <c:v>-0.19999999999953399</c:v>
                </c:pt>
                <c:pt idx="9">
                  <c:v>0.29999999999930099</c:v>
                </c:pt>
                <c:pt idx="10">
                  <c:v>-0.70000000000014495</c:v>
                </c:pt>
                <c:pt idx="11">
                  <c:v>0.19999999999953399</c:v>
                </c:pt>
                <c:pt idx="12">
                  <c:v>-0.59999999999860198</c:v>
                </c:pt>
                <c:pt idx="13">
                  <c:v>-0.20000000000130999</c:v>
                </c:pt>
                <c:pt idx="14">
                  <c:v>-9.99999999997669E-2</c:v>
                </c:pt>
                <c:pt idx="15">
                  <c:v>-0.14999999999965</c:v>
                </c:pt>
                <c:pt idx="16">
                  <c:v>-9.99999999997669E-2</c:v>
                </c:pt>
                <c:pt idx="17">
                  <c:v>-4.9999999999883499E-2</c:v>
                </c:pt>
                <c:pt idx="18">
                  <c:v>-1.36363636359281E-2</c:v>
                </c:pt>
                <c:pt idx="19">
                  <c:v>-9.99999999997669E-2</c:v>
                </c:pt>
                <c:pt idx="20">
                  <c:v>-0.100000000003912</c:v>
                </c:pt>
                <c:pt idx="21">
                  <c:v>-0.24999999999941699</c:v>
                </c:pt>
                <c:pt idx="22">
                  <c:v>1.9999999999953399E-2</c:v>
                </c:pt>
                <c:pt idx="23">
                  <c:v>-3.9999999999906798E-2</c:v>
                </c:pt>
              </c:numCache>
            </c:numRef>
          </c:val>
        </c:ser>
        <c:dLbls/>
        <c:marker val="1"/>
        <c:axId val="399715328"/>
        <c:axId val="399738368"/>
      </c:lineChart>
      <c:dateAx>
        <c:axId val="3997153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738368"/>
        <c:crossesAt val="-50"/>
        <c:auto val="1"/>
        <c:lblOffset val="100"/>
        <c:baseTimeUnit val="days"/>
        <c:majorUnit val="7"/>
        <c:majorTimeUnit val="days"/>
      </c:dateAx>
      <c:valAx>
        <c:axId val="39973836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715328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k80+565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'zk80+565'!$C$4:$G$4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'zk80+565'!$A$6:$A$34</c:f>
              <c:numCache>
                <c:formatCode>m"月"d"日";@</c:formatCode>
                <c:ptCount val="29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'zk80+565'!$F$6:$F$24</c:f>
              <c:numCache>
                <c:formatCode>0.00_ </c:formatCode>
                <c:ptCount val="19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-0.59999999996307496</c:v>
                </c:pt>
                <c:pt idx="4">
                  <c:v>-0.79999999991286996</c:v>
                </c:pt>
                <c:pt idx="5">
                  <c:v>-0.79999999991286996</c:v>
                </c:pt>
                <c:pt idx="6">
                  <c:v>-1.1999999999261499</c:v>
                </c:pt>
                <c:pt idx="7">
                  <c:v>-1.39999999998963</c:v>
                </c:pt>
                <c:pt idx="8">
                  <c:v>-0.90000000000145497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-2.39999999996598</c:v>
                </c:pt>
                <c:pt idx="13">
                  <c:v>-2.70000000000437</c:v>
                </c:pt>
                <c:pt idx="14">
                  <c:v>-2.79999999997926</c:v>
                </c:pt>
                <c:pt idx="15">
                  <c:v>-2.9999999999290599</c:v>
                </c:pt>
                <c:pt idx="16">
                  <c:v>-3.1999999999925399</c:v>
                </c:pt>
                <c:pt idx="17">
                  <c:v>-3.09999999990396</c:v>
                </c:pt>
                <c:pt idx="18">
                  <c:v>-3.5999999998921299</c:v>
                </c:pt>
              </c:numCache>
            </c:numRef>
          </c:val>
        </c:ser>
        <c:ser>
          <c:idx val="1"/>
          <c:order val="1"/>
          <c:tx>
            <c:strRef>
              <c:f>'zk80+565'!$H$4:$L$4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'zk80+565'!$A$6:$A$34</c:f>
              <c:numCache>
                <c:formatCode>m"月"d"日";@</c:formatCode>
                <c:ptCount val="29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'zk80+565'!$K$6:$K$30</c:f>
              <c:numCache>
                <c:formatCode>0.00_ </c:formatCode>
                <c:ptCount val="25"/>
                <c:pt idx="0">
                  <c:v>0</c:v>
                </c:pt>
                <c:pt idx="1">
                  <c:v>0.199999999949796</c:v>
                </c:pt>
                <c:pt idx="2">
                  <c:v>9.9999999974897905E-2</c:v>
                </c:pt>
                <c:pt idx="3">
                  <c:v>0.29999999992469401</c:v>
                </c:pt>
                <c:pt idx="4">
                  <c:v>-0.30000000003838101</c:v>
                </c:pt>
                <c:pt idx="5">
                  <c:v>-0.49999999998817701</c:v>
                </c:pt>
                <c:pt idx="6">
                  <c:v>-0.60000000007676102</c:v>
                </c:pt>
                <c:pt idx="7">
                  <c:v>-0.90000000000145497</c:v>
                </c:pt>
                <c:pt idx="8">
                  <c:v>-1.00000000009004</c:v>
                </c:pt>
                <c:pt idx="9">
                  <c:v>-1.30000000001473</c:v>
                </c:pt>
                <c:pt idx="10">
                  <c:v>-1.5000000000782201</c:v>
                </c:pt>
                <c:pt idx="11">
                  <c:v>-1.39999999998963</c:v>
                </c:pt>
                <c:pt idx="12">
                  <c:v>-1.9000000000915001</c:v>
                </c:pt>
                <c:pt idx="13">
                  <c:v>-2.1000000000412902</c:v>
                </c:pt>
                <c:pt idx="14">
                  <c:v>-2.2999999999910901</c:v>
                </c:pt>
                <c:pt idx="15">
                  <c:v>-2.40000000007967</c:v>
                </c:pt>
                <c:pt idx="16">
                  <c:v>-2.70000000000437</c:v>
                </c:pt>
                <c:pt idx="17">
                  <c:v>-2.9000000000678501</c:v>
                </c:pt>
                <c:pt idx="18">
                  <c:v>-2.8000000000929499</c:v>
                </c:pt>
                <c:pt idx="19">
                  <c:v>-3.30000000008113</c:v>
                </c:pt>
                <c:pt idx="20">
                  <c:v>-3.5000000000309202</c:v>
                </c:pt>
                <c:pt idx="21">
                  <c:v>-3.40000000005602</c:v>
                </c:pt>
                <c:pt idx="22">
                  <c:v>-3.9000000000442001</c:v>
                </c:pt>
                <c:pt idx="23">
                  <c:v>-3.69999999998072</c:v>
                </c:pt>
                <c:pt idx="24">
                  <c:v>-7.0000000001376406E-2</c:v>
                </c:pt>
              </c:numCache>
            </c:numRef>
          </c:val>
        </c:ser>
        <c:ser>
          <c:idx val="2"/>
          <c:order val="2"/>
          <c:tx>
            <c:strRef>
              <c:f>'zk80+565'!$M$4:$Q$4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'zk80+565'!$A$6:$A$34</c:f>
              <c:numCache>
                <c:formatCode>m"月"d"日";@</c:formatCode>
                <c:ptCount val="29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  <c:pt idx="19">
                  <c:v>44962</c:v>
                </c:pt>
                <c:pt idx="20">
                  <c:v>44965</c:v>
                </c:pt>
                <c:pt idx="21">
                  <c:v>44967</c:v>
                </c:pt>
                <c:pt idx="22">
                  <c:v>44972</c:v>
                </c:pt>
                <c:pt idx="23">
                  <c:v>44977</c:v>
                </c:pt>
              </c:numCache>
            </c:numRef>
          </c:cat>
          <c:val>
            <c:numRef>
              <c:f>'zk80+565'!$P$6:$P$29</c:f>
              <c:numCache>
                <c:formatCode>0.00_ </c:formatCode>
                <c:ptCount val="24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-0.20000000006348301</c:v>
                </c:pt>
                <c:pt idx="4">
                  <c:v>-0.70000000005165897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-1.2000000000398401</c:v>
                </c:pt>
                <c:pt idx="8">
                  <c:v>-1.5000000000782201</c:v>
                </c:pt>
                <c:pt idx="9">
                  <c:v>-1.39999999998963</c:v>
                </c:pt>
                <c:pt idx="10">
                  <c:v>-1.9000000000915001</c:v>
                </c:pt>
                <c:pt idx="11">
                  <c:v>-2.1000000000412902</c:v>
                </c:pt>
                <c:pt idx="12">
                  <c:v>-2.2000000000161899</c:v>
                </c:pt>
                <c:pt idx="13">
                  <c:v>-2.5000000000545701</c:v>
                </c:pt>
                <c:pt idx="14">
                  <c:v>-2.70000000000437</c:v>
                </c:pt>
                <c:pt idx="15">
                  <c:v>-2.9000000000678501</c:v>
                </c:pt>
                <c:pt idx="16">
                  <c:v>-3.1000000000176402</c:v>
                </c:pt>
                <c:pt idx="17">
                  <c:v>-3.1999999999925399</c:v>
                </c:pt>
                <c:pt idx="18">
                  <c:v>-3.5000000000309202</c:v>
                </c:pt>
                <c:pt idx="19">
                  <c:v>-3.69999999998072</c:v>
                </c:pt>
                <c:pt idx="20">
                  <c:v>-3.9000000000442001</c:v>
                </c:pt>
                <c:pt idx="21">
                  <c:v>-4.0000000000191003</c:v>
                </c:pt>
                <c:pt idx="22">
                  <c:v>-4.3000000000574801</c:v>
                </c:pt>
                <c:pt idx="23">
                  <c:v>-4.2000000000825803</c:v>
                </c:pt>
              </c:numCache>
            </c:numRef>
          </c:val>
        </c:ser>
        <c:dLbls/>
        <c:marker val="1"/>
        <c:axId val="399563776"/>
        <c:axId val="399570432"/>
      </c:lineChart>
      <c:lineChart>
        <c:grouping val="standard"/>
        <c:ser>
          <c:idx val="3"/>
          <c:order val="3"/>
          <c:tx>
            <c:strRef>
              <c:f>'zk80+565'!$AG$3:$AG$5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'zk80+565'!$A$6:$A$24</c:f>
              <c:numCache>
                <c:formatCode>m"月"d"日";@</c:formatCode>
                <c:ptCount val="19"/>
                <c:pt idx="0">
                  <c:v>44918</c:v>
                </c:pt>
                <c:pt idx="1">
                  <c:v>44919</c:v>
                </c:pt>
                <c:pt idx="2">
                  <c:v>44920</c:v>
                </c:pt>
                <c:pt idx="3">
                  <c:v>44921</c:v>
                </c:pt>
                <c:pt idx="4">
                  <c:v>44922</c:v>
                </c:pt>
                <c:pt idx="5">
                  <c:v>44923</c:v>
                </c:pt>
                <c:pt idx="6">
                  <c:v>44924</c:v>
                </c:pt>
                <c:pt idx="7">
                  <c:v>44925</c:v>
                </c:pt>
                <c:pt idx="8">
                  <c:v>44926</c:v>
                </c:pt>
                <c:pt idx="9">
                  <c:v>44927</c:v>
                </c:pt>
                <c:pt idx="10">
                  <c:v>44928</c:v>
                </c:pt>
                <c:pt idx="11">
                  <c:v>44929</c:v>
                </c:pt>
                <c:pt idx="12">
                  <c:v>44930</c:v>
                </c:pt>
                <c:pt idx="13">
                  <c:v>44931</c:v>
                </c:pt>
                <c:pt idx="14">
                  <c:v>44932</c:v>
                </c:pt>
                <c:pt idx="15">
                  <c:v>44934</c:v>
                </c:pt>
                <c:pt idx="16">
                  <c:v>44936</c:v>
                </c:pt>
                <c:pt idx="17">
                  <c:v>44938</c:v>
                </c:pt>
                <c:pt idx="18">
                  <c:v>44960</c:v>
                </c:pt>
              </c:numCache>
            </c:numRef>
          </c:cat>
          <c:val>
            <c:numRef>
              <c:f>'zk80+565'!$AG$6:$AG$31</c:f>
              <c:numCache>
                <c:formatCode>0.0_ </c:formatCode>
                <c:ptCount val="26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33</c:v>
                </c:pt>
                <c:pt idx="16">
                  <c:v>35</c:v>
                </c:pt>
                <c:pt idx="17">
                  <c:v>37</c:v>
                </c:pt>
                <c:pt idx="18">
                  <c:v>39</c:v>
                </c:pt>
                <c:pt idx="19">
                  <c:v>41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49</c:v>
                </c:pt>
              </c:numCache>
            </c:numRef>
          </c:val>
        </c:ser>
        <c:dLbls/>
        <c:marker val="1"/>
        <c:axId val="399572352"/>
        <c:axId val="399840384"/>
      </c:lineChart>
      <c:dateAx>
        <c:axId val="3995637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570432"/>
        <c:crossesAt val="-50"/>
        <c:auto val="1"/>
        <c:lblOffset val="100"/>
        <c:baseTimeUnit val="days"/>
        <c:majorUnit val="7"/>
        <c:majorTimeUnit val="days"/>
      </c:dateAx>
      <c:valAx>
        <c:axId val="39957043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563776"/>
        <c:crosses val="autoZero"/>
        <c:crossBetween val="midCat"/>
        <c:majorUnit val="1.2"/>
        <c:minorUnit val="0.5"/>
      </c:valAx>
      <c:dateAx>
        <c:axId val="3995723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99840384"/>
        <c:crosses val="autoZero"/>
        <c:auto val="1"/>
        <c:lblOffset val="100"/>
        <c:baseTimeUnit val="days"/>
      </c:dateAx>
      <c:valAx>
        <c:axId val="39984038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57235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80+592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'zk80+592'!$U$4:$W$4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'zk80+592'!$S$6:$S$30</c:f>
              <c:numCache>
                <c:formatCode>m"月"d"日";@</c:formatCode>
                <c:ptCount val="2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'zk80+592'!$V$6:$V$34</c:f>
              <c:numCache>
                <c:formatCode>0.00_ </c:formatCode>
                <c:ptCount val="29"/>
                <c:pt idx="0">
                  <c:v>0</c:v>
                </c:pt>
                <c:pt idx="1">
                  <c:v>0.40000000000084401</c:v>
                </c:pt>
                <c:pt idx="2">
                  <c:v>0.20000000000130999</c:v>
                </c:pt>
                <c:pt idx="3">
                  <c:v>0</c:v>
                </c:pt>
                <c:pt idx="4">
                  <c:v>-0.29999999999930099</c:v>
                </c:pt>
                <c:pt idx="5">
                  <c:v>-0.39999999999906799</c:v>
                </c:pt>
                <c:pt idx="6">
                  <c:v>-0.59999999999860198</c:v>
                </c:pt>
                <c:pt idx="7">
                  <c:v>-0.69999999999836904</c:v>
                </c:pt>
                <c:pt idx="8">
                  <c:v>-0.999999999999446</c:v>
                </c:pt>
                <c:pt idx="9">
                  <c:v>-1.1999999999989801</c:v>
                </c:pt>
                <c:pt idx="10">
                  <c:v>-1.0999999999992101</c:v>
                </c:pt>
                <c:pt idx="11">
                  <c:v>-1.59999999999982</c:v>
                </c:pt>
                <c:pt idx="12">
                  <c:v>-1.7999999999993599</c:v>
                </c:pt>
                <c:pt idx="13">
                  <c:v>-1.49999999999828</c:v>
                </c:pt>
                <c:pt idx="14">
                  <c:v>-2.1999999999984299</c:v>
                </c:pt>
                <c:pt idx="15">
                  <c:v>-2.3999999999997401</c:v>
                </c:pt>
                <c:pt idx="16">
                  <c:v>-2.4999999999995</c:v>
                </c:pt>
                <c:pt idx="17">
                  <c:v>-2.7999999999987999</c:v>
                </c:pt>
                <c:pt idx="18">
                  <c:v>-2.99999999999834</c:v>
                </c:pt>
                <c:pt idx="19">
                  <c:v>-3.1999999999996498</c:v>
                </c:pt>
                <c:pt idx="20">
                  <c:v>-3.5999999999987198</c:v>
                </c:pt>
                <c:pt idx="21">
                  <c:v>-3.3999999999991801</c:v>
                </c:pt>
                <c:pt idx="22">
                  <c:v>-3.4999999999989502</c:v>
                </c:pt>
                <c:pt idx="23">
                  <c:v>-3.5999999999987198</c:v>
                </c:pt>
                <c:pt idx="24">
                  <c:v>-3.80000000000003</c:v>
                </c:pt>
                <c:pt idx="25">
                  <c:v>0.40000000000084401</c:v>
                </c:pt>
              </c:numCache>
            </c:numRef>
          </c:val>
        </c:ser>
        <c:ser>
          <c:idx val="1"/>
          <c:order val="1"/>
          <c:tx>
            <c:strRef>
              <c:f>'zk80+592'!$Y$4:$AA$4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'zk80+592'!$S$6:$S$30</c:f>
              <c:numCache>
                <c:formatCode>m"月"d"日";@</c:formatCode>
                <c:ptCount val="2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'zk80+592'!$Z$6:$Z$35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-0.20000000000130999</c:v>
                </c:pt>
                <c:pt idx="2">
                  <c:v>-0.30000000000107702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-1.0000000000012199</c:v>
                </c:pt>
                <c:pt idx="6">
                  <c:v>-0.90000000000145497</c:v>
                </c:pt>
                <c:pt idx="7">
                  <c:v>-1.4000000000002899</c:v>
                </c:pt>
                <c:pt idx="8">
                  <c:v>-1.6000000000015999</c:v>
                </c:pt>
                <c:pt idx="9">
                  <c:v>-1.70000000000137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-2.10000000000043</c:v>
                </c:pt>
                <c:pt idx="13">
                  <c:v>-2.6000000000010499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-2.9000000000003499</c:v>
                </c:pt>
                <c:pt idx="17">
                  <c:v>-3.40000000000096</c:v>
                </c:pt>
                <c:pt idx="18">
                  <c:v>-3.30000000000119</c:v>
                </c:pt>
                <c:pt idx="19">
                  <c:v>-3.2000000000014199</c:v>
                </c:pt>
                <c:pt idx="20">
                  <c:v>-3.0000000000001101</c:v>
                </c:pt>
                <c:pt idx="21">
                  <c:v>-3.0999999999998802</c:v>
                </c:pt>
                <c:pt idx="22">
                  <c:v>-3.30000000000119</c:v>
                </c:pt>
                <c:pt idx="23">
                  <c:v>-3.0000000000001101</c:v>
                </c:pt>
                <c:pt idx="24">
                  <c:v>-2.9000000000003499</c:v>
                </c:pt>
                <c:pt idx="25">
                  <c:v>-2.1000000000395098</c:v>
                </c:pt>
              </c:numCache>
            </c:numRef>
          </c:val>
        </c:ser>
        <c:ser>
          <c:idx val="2"/>
          <c:order val="2"/>
          <c:tx>
            <c:strRef>
              <c:f>'zk80+592'!$AC$4:$AE$4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'zk80+592'!$S$6:$S$30</c:f>
              <c:numCache>
                <c:formatCode>m"月"d"日";@</c:formatCode>
                <c:ptCount val="2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'zk80+592'!$AD$6:$AD$39</c:f>
              <c:numCache>
                <c:formatCode>0.00_ </c:formatCode>
                <c:ptCount val="34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-0.999999999999446</c:v>
                </c:pt>
                <c:pt idx="8">
                  <c:v>-1.2999999999987499</c:v>
                </c:pt>
                <c:pt idx="9">
                  <c:v>-1.50000000000006</c:v>
                </c:pt>
                <c:pt idx="10">
                  <c:v>-1.39999999999851</c:v>
                </c:pt>
                <c:pt idx="11">
                  <c:v>-1.8999999999991199</c:v>
                </c:pt>
                <c:pt idx="12">
                  <c:v>-2.0999999999986598</c:v>
                </c:pt>
                <c:pt idx="13">
                  <c:v>-2.2000000000002</c:v>
                </c:pt>
                <c:pt idx="14">
                  <c:v>-2.49999999998884</c:v>
                </c:pt>
                <c:pt idx="15">
                  <c:v>-2.6999999999901498</c:v>
                </c:pt>
                <c:pt idx="16">
                  <c:v>-2.7999999999987999</c:v>
                </c:pt>
                <c:pt idx="17">
                  <c:v>-3.0999999999892198</c:v>
                </c:pt>
                <c:pt idx="18">
                  <c:v>-2.8999999999985699</c:v>
                </c:pt>
                <c:pt idx="19">
                  <c:v>-2.7000000000096902</c:v>
                </c:pt>
                <c:pt idx="20">
                  <c:v>-3.0000000000001101</c:v>
                </c:pt>
                <c:pt idx="21">
                  <c:v>-2.5000000000190399</c:v>
                </c:pt>
                <c:pt idx="22">
                  <c:v>-2.59999999999927</c:v>
                </c:pt>
                <c:pt idx="23">
                  <c:v>-2.3000000000301699</c:v>
                </c:pt>
                <c:pt idx="24">
                  <c:v>-2.1000000000395098</c:v>
                </c:pt>
              </c:numCache>
            </c:numRef>
          </c:val>
        </c:ser>
        <c:dLbls/>
        <c:marker val="1"/>
        <c:axId val="399993088"/>
        <c:axId val="399995648"/>
      </c:lineChart>
      <c:lineChart>
        <c:grouping val="standard"/>
        <c:ser>
          <c:idx val="3"/>
          <c:order val="3"/>
          <c:tx>
            <c:strRef>
              <c:f>'zk80+592'!$AG$3:$AG$5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'zk80+592'!$S$6:$S$29</c:f>
              <c:numCache>
                <c:formatCode>m"月"d"日";@</c:formatCode>
                <c:ptCount val="24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</c:numCache>
            </c:numRef>
          </c:cat>
          <c:val>
            <c:numRef>
              <c:f>'zk80+592'!$AG$6:$AG$33</c:f>
              <c:numCache>
                <c:formatCode>0.0_ </c:formatCode>
                <c:ptCount val="28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61</c:v>
                </c:pt>
                <c:pt idx="21">
                  <c:v>64</c:v>
                </c:pt>
                <c:pt idx="22">
                  <c:v>64</c:v>
                </c:pt>
                <c:pt idx="23">
                  <c:v>67</c:v>
                </c:pt>
                <c:pt idx="24">
                  <c:v>70</c:v>
                </c:pt>
              </c:numCache>
            </c:numRef>
          </c:val>
        </c:ser>
        <c:dLbls/>
        <c:marker val="1"/>
        <c:axId val="399997568"/>
        <c:axId val="400023936"/>
      </c:lineChart>
      <c:dateAx>
        <c:axId val="3999930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995648"/>
        <c:crossesAt val="-50"/>
        <c:auto val="1"/>
        <c:lblOffset val="100"/>
        <c:baseTimeUnit val="days"/>
        <c:majorUnit val="5"/>
        <c:majorTimeUnit val="days"/>
      </c:dateAx>
      <c:valAx>
        <c:axId val="399995648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993088"/>
        <c:crosses val="autoZero"/>
        <c:crossBetween val="midCat"/>
        <c:majorUnit val="1.4"/>
        <c:minorUnit val="0.1"/>
      </c:valAx>
      <c:dateAx>
        <c:axId val="39999756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0023936"/>
        <c:crosses val="autoZero"/>
        <c:auto val="1"/>
        <c:lblOffset val="100"/>
        <c:baseTimeUnit val="days"/>
      </c:dateAx>
      <c:valAx>
        <c:axId val="40002393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99756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80+592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'zk80+592'!$C$4:$G$4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'zk80+592'!$A$6:$A$40</c:f>
              <c:numCache>
                <c:formatCode>m"月"d"日";@</c:formatCode>
                <c:ptCount val="3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'zk80+592'!$G$6:$G$36</c:f>
              <c:numCache>
                <c:formatCode>0.00_ </c:formatCode>
                <c:ptCount val="31"/>
                <c:pt idx="0">
                  <c:v>0</c:v>
                </c:pt>
                <c:pt idx="1">
                  <c:v>0.30000000003838101</c:v>
                </c:pt>
                <c:pt idx="2">
                  <c:v>-0.20000000006348301</c:v>
                </c:pt>
                <c:pt idx="3">
                  <c:v>-0.29999999992469401</c:v>
                </c:pt>
                <c:pt idx="4">
                  <c:v>-9.9999999974897905E-2</c:v>
                </c:pt>
                <c:pt idx="5">
                  <c:v>-0.10000000008858501</c:v>
                </c:pt>
                <c:pt idx="6">
                  <c:v>-1.36363636329406E-2</c:v>
                </c:pt>
                <c:pt idx="7">
                  <c:v>-0.20000000006348301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-0.20000000006348301</c:v>
                </c:pt>
                <c:pt idx="12">
                  <c:v>-0.199999999949796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4.9999999987449001E-2</c:v>
                </c:pt>
                <c:pt idx="17">
                  <c:v>-0.24999999999408801</c:v>
                </c:pt>
                <c:pt idx="18">
                  <c:v>-6.66666666878276E-2</c:v>
                </c:pt>
                <c:pt idx="19">
                  <c:v>-9.9999999974897905E-2</c:v>
                </c:pt>
                <c:pt idx="20">
                  <c:v>4.9999999987449001E-2</c:v>
                </c:pt>
                <c:pt idx="21">
                  <c:v>-0.149999999962347</c:v>
                </c:pt>
                <c:pt idx="22">
                  <c:v>-0.15000000001919001</c:v>
                </c:pt>
                <c:pt idx="23">
                  <c:v>9.9999999974897905E-2</c:v>
                </c:pt>
                <c:pt idx="24">
                  <c:v>-6.6666666649931997E-2</c:v>
                </c:pt>
                <c:pt idx="25">
                  <c:v>-0.80000000002655702</c:v>
                </c:pt>
              </c:numCache>
            </c:numRef>
          </c:val>
        </c:ser>
        <c:ser>
          <c:idx val="1"/>
          <c:order val="1"/>
          <c:tx>
            <c:strRef>
              <c:f>'zk80+592'!$H$4:$L$4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'zk80+592'!$A$6:$A$40</c:f>
              <c:numCache>
                <c:formatCode>m"月"d"日";@</c:formatCode>
                <c:ptCount val="3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'zk80+592'!$L$6:$L$37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-0.199999999949796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-4.5454545443135404E-3</c:v>
                </c:pt>
                <c:pt idx="7">
                  <c:v>-0.30000000003838101</c:v>
                </c:pt>
                <c:pt idx="8">
                  <c:v>-0.199999999949796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-0.40000000001327901</c:v>
                </c:pt>
                <c:pt idx="14">
                  <c:v>0</c:v>
                </c:pt>
                <c:pt idx="15">
                  <c:v>-9.9999999974897905E-2</c:v>
                </c:pt>
                <c:pt idx="16">
                  <c:v>-0.100000000031741</c:v>
                </c:pt>
                <c:pt idx="17">
                  <c:v>5.0000000044292399E-2</c:v>
                </c:pt>
                <c:pt idx="18">
                  <c:v>-6.66666666878276E-2</c:v>
                </c:pt>
                <c:pt idx="19">
                  <c:v>-9.9999999974897905E-2</c:v>
                </c:pt>
                <c:pt idx="20">
                  <c:v>-0.100000000031741</c:v>
                </c:pt>
                <c:pt idx="21">
                  <c:v>0</c:v>
                </c:pt>
                <c:pt idx="22">
                  <c:v>-0.149999999962347</c:v>
                </c:pt>
                <c:pt idx="23">
                  <c:v>9.9999999974897905E-2</c:v>
                </c:pt>
                <c:pt idx="24">
                  <c:v>-6.66666666878276E-2</c:v>
                </c:pt>
              </c:numCache>
            </c:numRef>
          </c:val>
        </c:ser>
        <c:ser>
          <c:idx val="2"/>
          <c:order val="2"/>
          <c:tx>
            <c:strRef>
              <c:f>'zk80+592'!$M$4:$Q$4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'zk80+592'!$A$6:$A$40</c:f>
              <c:numCache>
                <c:formatCode>m"月"d"日";@</c:formatCode>
                <c:ptCount val="35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'zk80+592'!$Q$6:$Q$33</c:f>
              <c:numCache>
                <c:formatCode>0.00_ </c:formatCode>
                <c:ptCount val="28"/>
                <c:pt idx="0">
                  <c:v>0</c:v>
                </c:pt>
                <c:pt idx="1">
                  <c:v>-9.9999999974897905E-2</c:v>
                </c:pt>
                <c:pt idx="2">
                  <c:v>0.20000000006348301</c:v>
                </c:pt>
                <c:pt idx="3">
                  <c:v>-0.40000000001327901</c:v>
                </c:pt>
                <c:pt idx="4">
                  <c:v>-9.9999999974897905E-2</c:v>
                </c:pt>
                <c:pt idx="5">
                  <c:v>9.9999999974897905E-2</c:v>
                </c:pt>
                <c:pt idx="6">
                  <c:v>-1.36363636381082E-2</c:v>
                </c:pt>
                <c:pt idx="7">
                  <c:v>-9.9999999974897905E-2</c:v>
                </c:pt>
                <c:pt idx="8">
                  <c:v>-9.9999999974897905E-2</c:v>
                </c:pt>
                <c:pt idx="9">
                  <c:v>0.29999999992469401</c:v>
                </c:pt>
                <c:pt idx="10">
                  <c:v>-0.49999999998817701</c:v>
                </c:pt>
                <c:pt idx="11">
                  <c:v>-9.9999999974897905E-2</c:v>
                </c:pt>
                <c:pt idx="12">
                  <c:v>-9.9999999974897905E-2</c:v>
                </c:pt>
                <c:pt idx="13">
                  <c:v>0.49999999998817701</c:v>
                </c:pt>
                <c:pt idx="14">
                  <c:v>-0.70000000005165897</c:v>
                </c:pt>
                <c:pt idx="15">
                  <c:v>-4.9999999987449001E-2</c:v>
                </c:pt>
                <c:pt idx="16">
                  <c:v>-4.9999999987449001E-2</c:v>
                </c:pt>
                <c:pt idx="17">
                  <c:v>-0.20000000000663901</c:v>
                </c:pt>
                <c:pt idx="18">
                  <c:v>-6.6666666649931997E-2</c:v>
                </c:pt>
                <c:pt idx="19">
                  <c:v>-0.100000000031741</c:v>
                </c:pt>
                <c:pt idx="20">
                  <c:v>0.15000000001919001</c:v>
                </c:pt>
                <c:pt idx="21">
                  <c:v>-0.24999999999408801</c:v>
                </c:pt>
                <c:pt idx="22">
                  <c:v>-0.15000000001919001</c:v>
                </c:pt>
                <c:pt idx="23">
                  <c:v>9.9999999974897905E-2</c:v>
                </c:pt>
                <c:pt idx="24">
                  <c:v>-6.6666666649931997E-2</c:v>
                </c:pt>
              </c:numCache>
            </c:numRef>
          </c:val>
        </c:ser>
        <c:dLbls/>
        <c:marker val="1"/>
        <c:axId val="399918976"/>
        <c:axId val="399946112"/>
      </c:lineChart>
      <c:dateAx>
        <c:axId val="3999189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946112"/>
        <c:crossesAt val="-50"/>
        <c:auto val="1"/>
        <c:lblOffset val="100"/>
        <c:baseTimeUnit val="days"/>
        <c:majorUnit val="5"/>
        <c:majorTimeUnit val="days"/>
      </c:dateAx>
      <c:valAx>
        <c:axId val="39994611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9991897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80+592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'zk80+592'!$U$4:$W$4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'zk80+592'!$S$6:$S$43</c:f>
              <c:numCache>
                <c:formatCode>m"月"d"日";@</c:formatCode>
                <c:ptCount val="38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'zk80+592'!$W$6:$W$34</c:f>
              <c:numCache>
                <c:formatCode>0.00_ </c:formatCode>
                <c:ptCount val="29"/>
                <c:pt idx="0">
                  <c:v>0</c:v>
                </c:pt>
                <c:pt idx="1">
                  <c:v>-0.40000000000084401</c:v>
                </c:pt>
                <c:pt idx="2">
                  <c:v>0.19999999999953399</c:v>
                </c:pt>
                <c:pt idx="3">
                  <c:v>0.20000000000130999</c:v>
                </c:pt>
                <c:pt idx="4">
                  <c:v>0.29999999999930099</c:v>
                </c:pt>
                <c:pt idx="5">
                  <c:v>9.99999999997669E-2</c:v>
                </c:pt>
                <c:pt idx="6">
                  <c:v>9.0909090908879008E-3</c:v>
                </c:pt>
                <c:pt idx="7">
                  <c:v>9.99999999997669E-2</c:v>
                </c:pt>
                <c:pt idx="8">
                  <c:v>0.30000000000107702</c:v>
                </c:pt>
                <c:pt idx="9">
                  <c:v>0.19999999999953399</c:v>
                </c:pt>
                <c:pt idx="10">
                  <c:v>-9.99999999997669E-2</c:v>
                </c:pt>
                <c:pt idx="11">
                  <c:v>0.50000000000061096</c:v>
                </c:pt>
                <c:pt idx="12">
                  <c:v>0.19999999999953399</c:v>
                </c:pt>
                <c:pt idx="13">
                  <c:v>-0.30000000000107702</c:v>
                </c:pt>
                <c:pt idx="14">
                  <c:v>0.70000000000014495</c:v>
                </c:pt>
                <c:pt idx="15">
                  <c:v>0.100000000000655</c:v>
                </c:pt>
                <c:pt idx="16">
                  <c:v>4.9999999999883499E-2</c:v>
                </c:pt>
                <c:pt idx="17">
                  <c:v>0.14999999999965</c:v>
                </c:pt>
                <c:pt idx="18">
                  <c:v>6.6666666666511304E-2</c:v>
                </c:pt>
                <c:pt idx="19">
                  <c:v>0.100000000000655</c:v>
                </c:pt>
                <c:pt idx="20">
                  <c:v>0.19999999999953399</c:v>
                </c:pt>
                <c:pt idx="21">
                  <c:v>-9.99999999997669E-2</c:v>
                </c:pt>
                <c:pt idx="22">
                  <c:v>4.9999999999883499E-2</c:v>
                </c:pt>
                <c:pt idx="23">
                  <c:v>9.99999999997669E-2</c:v>
                </c:pt>
                <c:pt idx="24">
                  <c:v>6.66666666671034E-2</c:v>
                </c:pt>
                <c:pt idx="25">
                  <c:v>0.79999999995905602</c:v>
                </c:pt>
              </c:numCache>
            </c:numRef>
          </c:val>
        </c:ser>
        <c:ser>
          <c:idx val="1"/>
          <c:order val="1"/>
          <c:tx>
            <c:strRef>
              <c:f>'zk80+592'!$Y$4:$AA$4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'zk80+592'!$S$6:$S$43</c:f>
              <c:numCache>
                <c:formatCode>m"月"d"日";@</c:formatCode>
                <c:ptCount val="38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-0.20000000000130999</c:v>
                </c:pt>
                <c:pt idx="6">
                  <c:v>4.5454545454439504E-3</c:v>
                </c:pt>
                <c:pt idx="7">
                  <c:v>-0.49999999999883499</c:v>
                </c:pt>
                <c:pt idx="8">
                  <c:v>-0.20000000000130999</c:v>
                </c:pt>
                <c:pt idx="9">
                  <c:v>-9.99999999997669E-2</c:v>
                </c:pt>
                <c:pt idx="10">
                  <c:v>-0.29999999999930099</c:v>
                </c:pt>
                <c:pt idx="11">
                  <c:v>-0.19999999999953399</c:v>
                </c:pt>
                <c:pt idx="12">
                  <c:v>9.99999999997669E-2</c:v>
                </c:pt>
                <c:pt idx="13">
                  <c:v>-0.50000000000061096</c:v>
                </c:pt>
                <c:pt idx="14">
                  <c:v>-0.19999999999953399</c:v>
                </c:pt>
                <c:pt idx="15">
                  <c:v>-9.99999999997669E-2</c:v>
                </c:pt>
                <c:pt idx="16">
                  <c:v>4.9999999999883499E-2</c:v>
                </c:pt>
                <c:pt idx="17">
                  <c:v>-0.25000000000030598</c:v>
                </c:pt>
                <c:pt idx="18">
                  <c:v>3.3333333333255603E-2</c:v>
                </c:pt>
                <c:pt idx="19">
                  <c:v>4.9999999999883499E-2</c:v>
                </c:pt>
                <c:pt idx="20">
                  <c:v>0.100000000000655</c:v>
                </c:pt>
                <c:pt idx="21">
                  <c:v>-4.9999999999883499E-2</c:v>
                </c:pt>
                <c:pt idx="22">
                  <c:v>-0.100000000000655</c:v>
                </c:pt>
                <c:pt idx="23">
                  <c:v>0.30000000000107702</c:v>
                </c:pt>
                <c:pt idx="24">
                  <c:v>3.3333333333255603E-2</c:v>
                </c:pt>
                <c:pt idx="25">
                  <c:v>5.7142857139932501E-2</c:v>
                </c:pt>
              </c:numCache>
            </c:numRef>
          </c:val>
        </c:ser>
        <c:ser>
          <c:idx val="2"/>
          <c:order val="2"/>
          <c:tx>
            <c:strRef>
              <c:f>'zk80+592'!$AC$4:$AE$4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'zk80+592'!$S$6:$S$43</c:f>
              <c:numCache>
                <c:formatCode>m"月"d"日";@</c:formatCode>
                <c:ptCount val="38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'zk80+592'!$AE$6:$AE$40</c:f>
              <c:numCache>
                <c:formatCode>0.00_ </c:formatCode>
                <c:ptCount val="35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-0.50000000000061096</c:v>
                </c:pt>
                <c:pt idx="6">
                  <c:v>-9.0909090908879008E-3</c:v>
                </c:pt>
                <c:pt idx="7">
                  <c:v>-9.99999999997669E-2</c:v>
                </c:pt>
                <c:pt idx="8">
                  <c:v>-0.29999999999930099</c:v>
                </c:pt>
                <c:pt idx="9">
                  <c:v>-0.20000000000130999</c:v>
                </c:pt>
                <c:pt idx="10">
                  <c:v>0.10000000000154299</c:v>
                </c:pt>
                <c:pt idx="11">
                  <c:v>-0.50000000000061096</c:v>
                </c:pt>
                <c:pt idx="12">
                  <c:v>-0.19999999999953399</c:v>
                </c:pt>
                <c:pt idx="13">
                  <c:v>-0.10000000000154299</c:v>
                </c:pt>
                <c:pt idx="14">
                  <c:v>-0.29999999998864302</c:v>
                </c:pt>
                <c:pt idx="15">
                  <c:v>-0.100000000000655</c:v>
                </c:pt>
                <c:pt idx="16">
                  <c:v>-5.0000000004324398E-2</c:v>
                </c:pt>
                <c:pt idx="17">
                  <c:v>-0.14999999999520999</c:v>
                </c:pt>
                <c:pt idx="18">
                  <c:v>6.66666666635507E-2</c:v>
                </c:pt>
                <c:pt idx="19">
                  <c:v>9.9999999994437899E-2</c:v>
                </c:pt>
                <c:pt idx="20">
                  <c:v>-0.14999999999520999</c:v>
                </c:pt>
                <c:pt idx="21">
                  <c:v>0.24999999999053599</c:v>
                </c:pt>
                <c:pt idx="22">
                  <c:v>-4.9999999990113501E-2</c:v>
                </c:pt>
                <c:pt idx="23">
                  <c:v>0.29999999996910298</c:v>
                </c:pt>
                <c:pt idx="24">
                  <c:v>6.66666666635507E-2</c:v>
                </c:pt>
              </c:numCache>
            </c:numRef>
          </c:val>
        </c:ser>
        <c:dLbls/>
        <c:marker val="1"/>
        <c:axId val="400169600"/>
        <c:axId val="400196736"/>
      </c:lineChart>
      <c:dateAx>
        <c:axId val="4001696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196736"/>
        <c:crossesAt val="-50"/>
        <c:auto val="1"/>
        <c:lblOffset val="100"/>
        <c:baseTimeUnit val="days"/>
        <c:majorUnit val="5"/>
        <c:majorTimeUnit val="days"/>
      </c:dateAx>
      <c:valAx>
        <c:axId val="40019673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16960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k80+592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'zk80+592'!$C$4:$G$4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'zk80+592'!$A$6:$A$36</c:f>
              <c:numCache>
                <c:formatCode>m"月"d"日";@</c:formatCode>
                <c:ptCount val="31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'zk80+592'!$F$6:$F$24</c:f>
              <c:numCache>
                <c:formatCode>0.00_ </c:formatCode>
                <c:ptCount val="19"/>
                <c:pt idx="0">
                  <c:v>0</c:v>
                </c:pt>
                <c:pt idx="1">
                  <c:v>0.30000000003838101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-0.29999999992469401</c:v>
                </c:pt>
                <c:pt idx="5">
                  <c:v>-0.40000000001327901</c:v>
                </c:pt>
                <c:pt idx="6">
                  <c:v>-0.69999999993797202</c:v>
                </c:pt>
                <c:pt idx="7">
                  <c:v>-0.90000000000145497</c:v>
                </c:pt>
                <c:pt idx="8">
                  <c:v>-1.09999999995125</c:v>
                </c:pt>
                <c:pt idx="9">
                  <c:v>-0.99999999997635303</c:v>
                </c:pt>
                <c:pt idx="10">
                  <c:v>-1.4999999999645299</c:v>
                </c:pt>
                <c:pt idx="11">
                  <c:v>-1.70000000002801</c:v>
                </c:pt>
                <c:pt idx="12">
                  <c:v>-1.8999999999778101</c:v>
                </c:pt>
                <c:pt idx="13">
                  <c:v>-1.9999999999527101</c:v>
                </c:pt>
                <c:pt idx="14">
                  <c:v>-2.2999999999910901</c:v>
                </c:pt>
                <c:pt idx="15">
                  <c:v>-2.4999999999408802</c:v>
                </c:pt>
                <c:pt idx="16">
                  <c:v>-2.39999999996598</c:v>
                </c:pt>
                <c:pt idx="17">
                  <c:v>-2.8999999999541601</c:v>
                </c:pt>
                <c:pt idx="18">
                  <c:v>-3.1000000000176402</c:v>
                </c:pt>
              </c:numCache>
            </c:numRef>
          </c:val>
        </c:ser>
        <c:ser>
          <c:idx val="1"/>
          <c:order val="1"/>
          <c:tx>
            <c:strRef>
              <c:f>'zk80+592'!$H$4:$L$4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'zk80+592'!$A$6:$A$36</c:f>
              <c:numCache>
                <c:formatCode>m"月"d"日";@</c:formatCode>
                <c:ptCount val="31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'zk80+592'!$K$6:$K$32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-0.199999999949796</c:v>
                </c:pt>
                <c:pt idx="2">
                  <c:v>-0.39999999989959201</c:v>
                </c:pt>
                <c:pt idx="3">
                  <c:v>-0.29999999992469401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-1.09999999995125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-1.4999999999645299</c:v>
                </c:pt>
                <c:pt idx="10">
                  <c:v>-1.9999999999527101</c:v>
                </c:pt>
                <c:pt idx="11">
                  <c:v>-2.1999999999024999</c:v>
                </c:pt>
                <c:pt idx="12">
                  <c:v>-2.39999999996598</c:v>
                </c:pt>
                <c:pt idx="13">
                  <c:v>-2.79999999997926</c:v>
                </c:pt>
                <c:pt idx="14">
                  <c:v>-2.79999999997926</c:v>
                </c:pt>
                <c:pt idx="15">
                  <c:v>-2.9999999999290599</c:v>
                </c:pt>
                <c:pt idx="16">
                  <c:v>-3.1999999999925399</c:v>
                </c:pt>
                <c:pt idx="17">
                  <c:v>-3.09999999990396</c:v>
                </c:pt>
                <c:pt idx="18">
                  <c:v>-3.2999999999674401</c:v>
                </c:pt>
                <c:pt idx="19">
                  <c:v>-3.49999999991724</c:v>
                </c:pt>
                <c:pt idx="20">
                  <c:v>-3.69999999998072</c:v>
                </c:pt>
                <c:pt idx="21">
                  <c:v>-3.69999999998072</c:v>
                </c:pt>
                <c:pt idx="22">
                  <c:v>-3.9999999999054099</c:v>
                </c:pt>
                <c:pt idx="23">
                  <c:v>-3.8999999999305102</c:v>
                </c:pt>
                <c:pt idx="24">
                  <c:v>-4.099999999994</c:v>
                </c:pt>
                <c:pt idx="25">
                  <c:v>-5.7142857144754103E-2</c:v>
                </c:pt>
              </c:numCache>
            </c:numRef>
          </c:val>
        </c:ser>
        <c:ser>
          <c:idx val="2"/>
          <c:order val="2"/>
          <c:tx>
            <c:strRef>
              <c:f>'zk80+592'!$M$4:$Q$4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'zk80+592'!$A$6:$A$36</c:f>
              <c:numCache>
                <c:formatCode>m"月"d"日";@</c:formatCode>
                <c:ptCount val="31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  <c:pt idx="19">
                  <c:v>44979</c:v>
                </c:pt>
                <c:pt idx="20">
                  <c:v>44981</c:v>
                </c:pt>
                <c:pt idx="21">
                  <c:v>44983</c:v>
                </c:pt>
                <c:pt idx="22">
                  <c:v>44985</c:v>
                </c:pt>
                <c:pt idx="23">
                  <c:v>44986</c:v>
                </c:pt>
                <c:pt idx="24">
                  <c:v>44989</c:v>
                </c:pt>
              </c:numCache>
            </c:numRef>
          </c:cat>
          <c:val>
            <c:numRef>
              <c:f>'zk80+592'!$P$6:$P$30</c:f>
              <c:numCache>
                <c:formatCode>0.00_ </c:formatCode>
                <c:ptCount val="25"/>
                <c:pt idx="0">
                  <c:v>0</c:v>
                </c:pt>
                <c:pt idx="1">
                  <c:v>-9.9999999974897905E-2</c:v>
                </c:pt>
                <c:pt idx="2">
                  <c:v>0.10000000008858501</c:v>
                </c:pt>
                <c:pt idx="3">
                  <c:v>-0.29999999992469401</c:v>
                </c:pt>
                <c:pt idx="4">
                  <c:v>-0.39999999989959201</c:v>
                </c:pt>
                <c:pt idx="5">
                  <c:v>-0.29999999992469401</c:v>
                </c:pt>
                <c:pt idx="6">
                  <c:v>-0.59999999996307496</c:v>
                </c:pt>
                <c:pt idx="7">
                  <c:v>-0.69999999993797202</c:v>
                </c:pt>
                <c:pt idx="8">
                  <c:v>-0.79999999991286996</c:v>
                </c:pt>
                <c:pt idx="9">
                  <c:v>-0.49999999998817701</c:v>
                </c:pt>
                <c:pt idx="10">
                  <c:v>-0.99999999997635303</c:v>
                </c:pt>
                <c:pt idx="11">
                  <c:v>-1.09999999995125</c:v>
                </c:pt>
                <c:pt idx="12">
                  <c:v>-1.1999999999261499</c:v>
                </c:pt>
                <c:pt idx="13">
                  <c:v>-0.69999999993797202</c:v>
                </c:pt>
                <c:pt idx="14">
                  <c:v>-1.39999999998963</c:v>
                </c:pt>
                <c:pt idx="15">
                  <c:v>-1.4999999999645299</c:v>
                </c:pt>
                <c:pt idx="16">
                  <c:v>-1.5999999999394301</c:v>
                </c:pt>
                <c:pt idx="17">
                  <c:v>-1.9999999999527101</c:v>
                </c:pt>
                <c:pt idx="18">
                  <c:v>-2.1999999999024999</c:v>
                </c:pt>
                <c:pt idx="19">
                  <c:v>-2.39999999996598</c:v>
                </c:pt>
                <c:pt idx="20">
                  <c:v>-2.0999999999275998</c:v>
                </c:pt>
                <c:pt idx="21">
                  <c:v>-2.5999999999157799</c:v>
                </c:pt>
                <c:pt idx="22">
                  <c:v>-2.8999999999541601</c:v>
                </c:pt>
                <c:pt idx="23">
                  <c:v>-2.79999999997926</c:v>
                </c:pt>
                <c:pt idx="24">
                  <c:v>-2.9999999999290599</c:v>
                </c:pt>
              </c:numCache>
            </c:numRef>
          </c:val>
        </c:ser>
        <c:dLbls/>
        <c:marker val="1"/>
        <c:axId val="400152832"/>
        <c:axId val="400233216"/>
      </c:lineChart>
      <c:lineChart>
        <c:grouping val="standard"/>
        <c:ser>
          <c:idx val="3"/>
          <c:order val="3"/>
          <c:tx>
            <c:strRef>
              <c:f>'zk80+592'!$AG$3:$AG$5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'zk80+592'!$A$6:$A$24</c:f>
              <c:numCache>
                <c:formatCode>m"月"d"日";@</c:formatCode>
                <c:ptCount val="19"/>
                <c:pt idx="0">
                  <c:v>44933</c:v>
                </c:pt>
                <c:pt idx="1">
                  <c:v>44934</c:v>
                </c:pt>
                <c:pt idx="2">
                  <c:v>44935</c:v>
                </c:pt>
                <c:pt idx="3">
                  <c:v>44936</c:v>
                </c:pt>
                <c:pt idx="4">
                  <c:v>44937</c:v>
                </c:pt>
                <c:pt idx="5">
                  <c:v>44938</c:v>
                </c:pt>
                <c:pt idx="6">
                  <c:v>44960</c:v>
                </c:pt>
                <c:pt idx="7">
                  <c:v>44961</c:v>
                </c:pt>
                <c:pt idx="8">
                  <c:v>44962</c:v>
                </c:pt>
                <c:pt idx="9">
                  <c:v>44963</c:v>
                </c:pt>
                <c:pt idx="10">
                  <c:v>44964</c:v>
                </c:pt>
                <c:pt idx="11">
                  <c:v>44965</c:v>
                </c:pt>
                <c:pt idx="12">
                  <c:v>44966</c:v>
                </c:pt>
                <c:pt idx="13">
                  <c:v>44967</c:v>
                </c:pt>
                <c:pt idx="14">
                  <c:v>44968</c:v>
                </c:pt>
                <c:pt idx="15">
                  <c:v>44970</c:v>
                </c:pt>
                <c:pt idx="16">
                  <c:v>44972</c:v>
                </c:pt>
                <c:pt idx="17">
                  <c:v>44974</c:v>
                </c:pt>
                <c:pt idx="18">
                  <c:v>44977</c:v>
                </c:pt>
              </c:numCache>
            </c:numRef>
          </c:cat>
          <c:val>
            <c:numRef>
              <c:f>'zk80+592'!$AG$6:$AG$33</c:f>
              <c:numCache>
                <c:formatCode>0.0_ </c:formatCode>
                <c:ptCount val="28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43</c:v>
                </c:pt>
                <c:pt idx="14">
                  <c:v>46</c:v>
                </c:pt>
                <c:pt idx="15">
                  <c:v>49</c:v>
                </c:pt>
                <c:pt idx="16">
                  <c:v>52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61</c:v>
                </c:pt>
                <c:pt idx="21">
                  <c:v>64</c:v>
                </c:pt>
                <c:pt idx="22">
                  <c:v>64</c:v>
                </c:pt>
                <c:pt idx="23">
                  <c:v>67</c:v>
                </c:pt>
                <c:pt idx="24">
                  <c:v>70</c:v>
                </c:pt>
              </c:numCache>
            </c:numRef>
          </c:val>
        </c:ser>
        <c:dLbls/>
        <c:marker val="1"/>
        <c:axId val="400235136"/>
        <c:axId val="400236928"/>
      </c:lineChart>
      <c:dateAx>
        <c:axId val="4001528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233216"/>
        <c:crossesAt val="-50"/>
        <c:auto val="1"/>
        <c:lblOffset val="100"/>
        <c:baseTimeUnit val="days"/>
        <c:majorUnit val="5"/>
        <c:majorTimeUnit val="days"/>
      </c:dateAx>
      <c:valAx>
        <c:axId val="400233216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152832"/>
        <c:crosses val="autoZero"/>
        <c:crossBetween val="midCat"/>
        <c:majorUnit val="1.2"/>
        <c:minorUnit val="0.5"/>
      </c:valAx>
      <c:dateAx>
        <c:axId val="40023513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0236928"/>
        <c:crosses val="autoZero"/>
        <c:auto val="1"/>
        <c:lblOffset val="100"/>
        <c:baseTimeUnit val="days"/>
      </c:dateAx>
      <c:valAx>
        <c:axId val="400236928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23513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'zk80+620'!$U$4:$W$4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'zk80+620'!$S$6:$S$30</c:f>
              <c:numCache>
                <c:formatCode>m"月"d"日";@</c:formatCode>
                <c:ptCount val="25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'zk80+620'!$V$6:$V$35</c:f>
              <c:numCache>
                <c:formatCode>0.00_ </c:formatCode>
                <c:ptCount val="30"/>
                <c:pt idx="0">
                  <c:v>0</c:v>
                </c:pt>
                <c:pt idx="1">
                  <c:v>0.40000000000084401</c:v>
                </c:pt>
                <c:pt idx="2">
                  <c:v>0.20000000000130999</c:v>
                </c:pt>
                <c:pt idx="3">
                  <c:v>0</c:v>
                </c:pt>
                <c:pt idx="4">
                  <c:v>-0.29999999999930099</c:v>
                </c:pt>
                <c:pt idx="5">
                  <c:v>-0.39999999999906799</c:v>
                </c:pt>
                <c:pt idx="6">
                  <c:v>-0.59999999999860198</c:v>
                </c:pt>
                <c:pt idx="7">
                  <c:v>-0.69999999999836904</c:v>
                </c:pt>
                <c:pt idx="8">
                  <c:v>-0.999999999999446</c:v>
                </c:pt>
                <c:pt idx="9">
                  <c:v>-1.1999999999989801</c:v>
                </c:pt>
                <c:pt idx="10">
                  <c:v>-1.0999999999992101</c:v>
                </c:pt>
                <c:pt idx="11">
                  <c:v>-1.59999999999982</c:v>
                </c:pt>
                <c:pt idx="12">
                  <c:v>-1.7999999999993599</c:v>
                </c:pt>
                <c:pt idx="13">
                  <c:v>-1.49999999999828</c:v>
                </c:pt>
                <c:pt idx="14">
                  <c:v>-2.1999999999984299</c:v>
                </c:pt>
                <c:pt idx="15">
                  <c:v>-2.3999999999997401</c:v>
                </c:pt>
                <c:pt idx="16">
                  <c:v>-2.2999999999999701</c:v>
                </c:pt>
                <c:pt idx="17">
                  <c:v>-2.7999999999987999</c:v>
                </c:pt>
                <c:pt idx="18">
                  <c:v>-2.99999999999834</c:v>
                </c:pt>
                <c:pt idx="19">
                  <c:v>-2.6999999999990401</c:v>
                </c:pt>
                <c:pt idx="20">
                  <c:v>-2.8999999999985699</c:v>
                </c:pt>
                <c:pt idx="21">
                  <c:v>-3.0999999999998802</c:v>
                </c:pt>
                <c:pt idx="22">
                  <c:v>-3.2999999999994101</c:v>
                </c:pt>
                <c:pt idx="23">
                  <c:v>-3.3999999999991801</c:v>
                </c:pt>
                <c:pt idx="24">
                  <c:v>-3.2999999999994101</c:v>
                </c:pt>
                <c:pt idx="25">
                  <c:v>-0.70000000000014495</c:v>
                </c:pt>
              </c:numCache>
            </c:numRef>
          </c:val>
        </c:ser>
        <c:ser>
          <c:idx val="1"/>
          <c:order val="1"/>
          <c:tx>
            <c:strRef>
              <c:f>'zk80+620'!$Y$4:$AA$4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'zk80+620'!$S$6:$S$30</c:f>
              <c:numCache>
                <c:formatCode>m"月"d"日";@</c:formatCode>
                <c:ptCount val="25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'zk80+620'!$Z$6:$Z$36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-1.1999999999989801</c:v>
                </c:pt>
                <c:pt idx="7">
                  <c:v>-1.4000000000002899</c:v>
                </c:pt>
                <c:pt idx="8">
                  <c:v>-1.50000000000006</c:v>
                </c:pt>
                <c:pt idx="9">
                  <c:v>-1.7999999999993599</c:v>
                </c:pt>
                <c:pt idx="10">
                  <c:v>-1.99999999999889</c:v>
                </c:pt>
                <c:pt idx="11">
                  <c:v>-2.2999999999999701</c:v>
                </c:pt>
                <c:pt idx="12">
                  <c:v>-2.3999999999997401</c:v>
                </c:pt>
                <c:pt idx="13">
                  <c:v>-2.59999999999927</c:v>
                </c:pt>
                <c:pt idx="14">
                  <c:v>-2.4999999999995</c:v>
                </c:pt>
                <c:pt idx="15">
                  <c:v>-3.0000000000001101</c:v>
                </c:pt>
                <c:pt idx="16">
                  <c:v>-3.6000000000004899</c:v>
                </c:pt>
                <c:pt idx="17">
                  <c:v>-3.0999999999998802</c:v>
                </c:pt>
                <c:pt idx="18">
                  <c:v>-3.1999999999996498</c:v>
                </c:pt>
                <c:pt idx="19">
                  <c:v>-3.6000000000004899</c:v>
                </c:pt>
                <c:pt idx="20">
                  <c:v>-3.3999999999991801</c:v>
                </c:pt>
                <c:pt idx="21">
                  <c:v>-3.4999999999989502</c:v>
                </c:pt>
                <c:pt idx="22">
                  <c:v>-3.80000000000003</c:v>
                </c:pt>
                <c:pt idx="23">
                  <c:v>-3.8999999999997899</c:v>
                </c:pt>
                <c:pt idx="24">
                  <c:v>-3.70000000000026</c:v>
                </c:pt>
                <c:pt idx="25">
                  <c:v>-3.70000000000026</c:v>
                </c:pt>
              </c:numCache>
            </c:numRef>
          </c:val>
        </c:ser>
        <c:ser>
          <c:idx val="2"/>
          <c:order val="2"/>
          <c:tx>
            <c:strRef>
              <c:f>'zk80+620'!$AC$4:$AE$4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'zk80+620'!$S$6:$S$30</c:f>
              <c:numCache>
                <c:formatCode>m"月"d"日";@</c:formatCode>
                <c:ptCount val="25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'zk80+620'!$AD$6:$AD$40</c:f>
              <c:numCache>
                <c:formatCode>0.00_ </c:formatCode>
                <c:ptCount val="35"/>
                <c:pt idx="0">
                  <c:v>0</c:v>
                </c:pt>
                <c:pt idx="1">
                  <c:v>9.99999999997669E-2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-0.70000000000014495</c:v>
                </c:pt>
                <c:pt idx="6">
                  <c:v>-0.89999999999967895</c:v>
                </c:pt>
                <c:pt idx="7">
                  <c:v>-0.999999999999446</c:v>
                </c:pt>
                <c:pt idx="8">
                  <c:v>-1.3000000000005201</c:v>
                </c:pt>
                <c:pt idx="9">
                  <c:v>-1.50000000000006</c:v>
                </c:pt>
                <c:pt idx="10">
                  <c:v>-1.4000000000002899</c:v>
                </c:pt>
                <c:pt idx="11">
                  <c:v>-1.8999999999991199</c:v>
                </c:pt>
                <c:pt idx="12">
                  <c:v>-2.10000000000043</c:v>
                </c:pt>
                <c:pt idx="13">
                  <c:v>-2.2999999999999701</c:v>
                </c:pt>
                <c:pt idx="14">
                  <c:v>-2.3999999999997401</c:v>
                </c:pt>
                <c:pt idx="15">
                  <c:v>-2.8000000000005798</c:v>
                </c:pt>
                <c:pt idx="16">
                  <c:v>-3.0000000000001101</c:v>
                </c:pt>
                <c:pt idx="17">
                  <c:v>-3.1999999999996498</c:v>
                </c:pt>
                <c:pt idx="18">
                  <c:v>-3.0000000000001101</c:v>
                </c:pt>
                <c:pt idx="19">
                  <c:v>-3.1999999999996498</c:v>
                </c:pt>
                <c:pt idx="20">
                  <c:v>-2.59999999999927</c:v>
                </c:pt>
                <c:pt idx="21">
                  <c:v>-3.0999999999998802</c:v>
                </c:pt>
                <c:pt idx="22">
                  <c:v>-3.2999999999994101</c:v>
                </c:pt>
                <c:pt idx="23">
                  <c:v>-3.80000000000003</c:v>
                </c:pt>
                <c:pt idx="24">
                  <c:v>-3.70000000000026</c:v>
                </c:pt>
              </c:numCache>
            </c:numRef>
          </c:val>
        </c:ser>
        <c:dLbls/>
        <c:marker val="1"/>
        <c:axId val="400459264"/>
        <c:axId val="400490496"/>
      </c:lineChart>
      <c:lineChart>
        <c:grouping val="standard"/>
        <c:ser>
          <c:idx val="3"/>
          <c:order val="3"/>
          <c:tx>
            <c:strRef>
              <c:f>'zk80+620'!$AG$3:$AG$5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'zk80+620'!$S$6:$S$30</c:f>
              <c:numCache>
                <c:formatCode>m"月"d"日";@</c:formatCode>
                <c:ptCount val="25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'zk80+620'!$AG$6:$AG$34</c:f>
              <c:numCache>
                <c:formatCode>0.0_ </c:formatCode>
                <c:ptCount val="29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59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65</c:v>
                </c:pt>
                <c:pt idx="24">
                  <c:v>68</c:v>
                </c:pt>
              </c:numCache>
            </c:numRef>
          </c:val>
        </c:ser>
        <c:dLbls/>
        <c:marker val="1"/>
        <c:axId val="400492416"/>
        <c:axId val="400493952"/>
      </c:lineChart>
      <c:dateAx>
        <c:axId val="4004592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490496"/>
        <c:crossesAt val="-50"/>
        <c:auto val="1"/>
        <c:lblOffset val="100"/>
        <c:baseTimeUnit val="days"/>
        <c:majorUnit val="3"/>
        <c:majorTimeUnit val="days"/>
      </c:dateAx>
      <c:valAx>
        <c:axId val="400490496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459264"/>
        <c:crosses val="autoZero"/>
        <c:crossBetween val="midCat"/>
        <c:majorUnit val="1.4"/>
        <c:minorUnit val="0.1"/>
      </c:valAx>
      <c:dateAx>
        <c:axId val="4004924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0493952"/>
        <c:crosses val="autoZero"/>
        <c:auto val="1"/>
        <c:lblOffset val="100"/>
        <c:baseTimeUnit val="days"/>
      </c:dateAx>
      <c:valAx>
        <c:axId val="400493952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49241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'zk80+620'!$C$4:$G$4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'zk80+620'!$A$6:$A$41</c:f>
              <c:numCache>
                <c:formatCode>m"月"d"日";@</c:formatCode>
                <c:ptCount val="36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'zk80+620'!$G$6:$G$37</c:f>
              <c:numCache>
                <c:formatCode>0.00_ </c:formatCode>
                <c:ptCount val="32"/>
                <c:pt idx="0">
                  <c:v>0</c:v>
                </c:pt>
                <c:pt idx="1">
                  <c:v>0.40000000001327901</c:v>
                </c:pt>
                <c:pt idx="2">
                  <c:v>-0.49999999998817701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0</c:v>
                </c:pt>
                <c:pt idx="10">
                  <c:v>-0.39999999989959201</c:v>
                </c:pt>
                <c:pt idx="11">
                  <c:v>-0.20000000006348301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-0.24999999999408801</c:v>
                </c:pt>
                <c:pt idx="19">
                  <c:v>-9.9999999974897905E-2</c:v>
                </c:pt>
                <c:pt idx="20">
                  <c:v>0.15000000001919001</c:v>
                </c:pt>
                <c:pt idx="21">
                  <c:v>-5.0000000044292399E-2</c:v>
                </c:pt>
                <c:pt idx="22">
                  <c:v>-9.9999999974897905E-2</c:v>
                </c:pt>
                <c:pt idx="23">
                  <c:v>4.9999999987449001E-2</c:v>
                </c:pt>
                <c:pt idx="24">
                  <c:v>1.42857142821283E-2</c:v>
                </c:pt>
                <c:pt idx="25">
                  <c:v>-0.69999999993797202</c:v>
                </c:pt>
              </c:numCache>
            </c:numRef>
          </c:val>
        </c:ser>
        <c:ser>
          <c:idx val="1"/>
          <c:order val="1"/>
          <c:tx>
            <c:strRef>
              <c:f>'zk80+620'!$H$4:$L$4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'zk80+620'!$A$6:$A$41</c:f>
              <c:numCache>
                <c:formatCode>m"月"d"日";@</c:formatCode>
                <c:ptCount val="36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'zk80+620'!$L$6:$L$38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-0.20000000006348301</c:v>
                </c:pt>
                <c:pt idx="5">
                  <c:v>-0.199999999949796</c:v>
                </c:pt>
                <c:pt idx="6">
                  <c:v>-9.9999999974897905E-2</c:v>
                </c:pt>
                <c:pt idx="7">
                  <c:v>-0.30000000003838101</c:v>
                </c:pt>
                <c:pt idx="8">
                  <c:v>-0.199999999949796</c:v>
                </c:pt>
                <c:pt idx="9">
                  <c:v>-0.20000000006348301</c:v>
                </c:pt>
                <c:pt idx="10">
                  <c:v>0.30000000003838101</c:v>
                </c:pt>
                <c:pt idx="11">
                  <c:v>-0.70000000005165897</c:v>
                </c:pt>
                <c:pt idx="12">
                  <c:v>-0.199999999949796</c:v>
                </c:pt>
                <c:pt idx="13">
                  <c:v>-0.199999999949796</c:v>
                </c:pt>
                <c:pt idx="14">
                  <c:v>-0.10000000008858501</c:v>
                </c:pt>
                <c:pt idx="15">
                  <c:v>-0.149999999962347</c:v>
                </c:pt>
                <c:pt idx="16">
                  <c:v>-0.15000000001919001</c:v>
                </c:pt>
                <c:pt idx="17">
                  <c:v>-0.15000000001919001</c:v>
                </c:pt>
                <c:pt idx="18">
                  <c:v>5.0000000044292399E-2</c:v>
                </c:pt>
                <c:pt idx="19">
                  <c:v>4.9999999987449001E-2</c:v>
                </c:pt>
                <c:pt idx="20">
                  <c:v>-0.40000000001327901</c:v>
                </c:pt>
                <c:pt idx="21">
                  <c:v>4.9999999987449001E-2</c:v>
                </c:pt>
                <c:pt idx="22">
                  <c:v>0.20000000000663901</c:v>
                </c:pt>
                <c:pt idx="23">
                  <c:v>-0.34999999996898601</c:v>
                </c:pt>
                <c:pt idx="24">
                  <c:v>2.8571428564256599E-2</c:v>
                </c:pt>
              </c:numCache>
            </c:numRef>
          </c:val>
        </c:ser>
        <c:ser>
          <c:idx val="2"/>
          <c:order val="2"/>
          <c:tx>
            <c:strRef>
              <c:f>'zk80+620'!$M$4:$Q$4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'zk80+620'!$A$6:$A$41</c:f>
              <c:numCache>
                <c:formatCode>m"月"d"日";@</c:formatCode>
                <c:ptCount val="36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'zk80+620'!$Q$6:$Q$34</c:f>
              <c:numCache>
                <c:formatCode>0.00_ </c:formatCode>
                <c:ptCount val="29"/>
                <c:pt idx="0">
                  <c:v>0</c:v>
                </c:pt>
                <c:pt idx="1">
                  <c:v>-0.30000000003838101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-0.199999999949796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9.9999999974897905E-2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-0.199999999949796</c:v>
                </c:pt>
                <c:pt idx="15">
                  <c:v>-0.100000000031741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-0.15000000001919001</c:v>
                </c:pt>
                <c:pt idx="20">
                  <c:v>5.0000000044292399E-2</c:v>
                </c:pt>
                <c:pt idx="21">
                  <c:v>4.9999999987449001E-2</c:v>
                </c:pt>
                <c:pt idx="22">
                  <c:v>-0.20000000000663901</c:v>
                </c:pt>
                <c:pt idx="23">
                  <c:v>4.9999999987449001E-2</c:v>
                </c:pt>
                <c:pt idx="24">
                  <c:v>4.2857142862625798E-2</c:v>
                </c:pt>
              </c:numCache>
            </c:numRef>
          </c:val>
        </c:ser>
        <c:dLbls/>
        <c:marker val="1"/>
        <c:axId val="400553472"/>
        <c:axId val="400568320"/>
      </c:lineChart>
      <c:dateAx>
        <c:axId val="40055347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568320"/>
        <c:crossesAt val="-50"/>
        <c:auto val="1"/>
        <c:lblOffset val="100"/>
        <c:baseTimeUnit val="days"/>
        <c:majorUnit val="4"/>
        <c:majorTimeUnit val="days"/>
      </c:dateAx>
      <c:valAx>
        <c:axId val="40056832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553472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'zk80+620'!$U$4:$W$4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'zk80+620'!$S$6:$S$44</c:f>
              <c:numCache>
                <c:formatCode>m"月"d"日";@</c:formatCode>
                <c:ptCount val="39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'zk80+620'!$W$6:$W$35</c:f>
              <c:numCache>
                <c:formatCode>0.00_ </c:formatCode>
                <c:ptCount val="30"/>
                <c:pt idx="0">
                  <c:v>0</c:v>
                </c:pt>
                <c:pt idx="1">
                  <c:v>-0.40000000000084401</c:v>
                </c:pt>
                <c:pt idx="2">
                  <c:v>0.19999999999953399</c:v>
                </c:pt>
                <c:pt idx="3">
                  <c:v>0.20000000000130999</c:v>
                </c:pt>
                <c:pt idx="4">
                  <c:v>0.29999999999930099</c:v>
                </c:pt>
                <c:pt idx="5">
                  <c:v>9.99999999997669E-2</c:v>
                </c:pt>
                <c:pt idx="6">
                  <c:v>0.19999999999953399</c:v>
                </c:pt>
                <c:pt idx="7">
                  <c:v>9.99999999997669E-2</c:v>
                </c:pt>
                <c:pt idx="8">
                  <c:v>0.30000000000107702</c:v>
                </c:pt>
                <c:pt idx="9">
                  <c:v>0.19999999999953399</c:v>
                </c:pt>
                <c:pt idx="10">
                  <c:v>-9.99999999997669E-2</c:v>
                </c:pt>
                <c:pt idx="11">
                  <c:v>0.50000000000061096</c:v>
                </c:pt>
                <c:pt idx="12">
                  <c:v>0.19999999999953399</c:v>
                </c:pt>
                <c:pt idx="13">
                  <c:v>-0.30000000000107702</c:v>
                </c:pt>
                <c:pt idx="14">
                  <c:v>0.70000000000014495</c:v>
                </c:pt>
                <c:pt idx="15">
                  <c:v>0.100000000000655</c:v>
                </c:pt>
                <c:pt idx="16">
                  <c:v>-4.9999999999883499E-2</c:v>
                </c:pt>
                <c:pt idx="17">
                  <c:v>0.24999999999941699</c:v>
                </c:pt>
                <c:pt idx="18">
                  <c:v>9.99999999997669E-2</c:v>
                </c:pt>
                <c:pt idx="19">
                  <c:v>-0.14999999999965</c:v>
                </c:pt>
                <c:pt idx="20">
                  <c:v>9.99999999997669E-2</c:v>
                </c:pt>
                <c:pt idx="21">
                  <c:v>0.100000000000655</c:v>
                </c:pt>
                <c:pt idx="22">
                  <c:v>9.99999999997669E-2</c:v>
                </c:pt>
                <c:pt idx="23">
                  <c:v>4.9999999999883499E-2</c:v>
                </c:pt>
                <c:pt idx="24">
                  <c:v>-1.4285714285680999E-2</c:v>
                </c:pt>
                <c:pt idx="25">
                  <c:v>-0.89999999999967895</c:v>
                </c:pt>
              </c:numCache>
            </c:numRef>
          </c:val>
        </c:ser>
        <c:ser>
          <c:idx val="1"/>
          <c:order val="1"/>
          <c:tx>
            <c:strRef>
              <c:f>'zk80+620'!$Y$4:$AA$4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'zk80+620'!$S$6:$S$44</c:f>
              <c:numCache>
                <c:formatCode>m"月"d"日";@</c:formatCode>
                <c:ptCount val="39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'zk80+620'!$AA$6:$AA$34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-0.30000000000107702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-0.20000000000130999</c:v>
                </c:pt>
                <c:pt idx="8">
                  <c:v>-9.99999999997669E-2</c:v>
                </c:pt>
                <c:pt idx="9">
                  <c:v>-0.29999999999930099</c:v>
                </c:pt>
                <c:pt idx="10">
                  <c:v>-0.19999999999953399</c:v>
                </c:pt>
                <c:pt idx="11">
                  <c:v>-0.30000000000107702</c:v>
                </c:pt>
                <c:pt idx="12">
                  <c:v>-9.99999999997669E-2</c:v>
                </c:pt>
                <c:pt idx="13">
                  <c:v>-0.19999999999953399</c:v>
                </c:pt>
                <c:pt idx="14">
                  <c:v>9.99999999997669E-2</c:v>
                </c:pt>
                <c:pt idx="15">
                  <c:v>-0.25000000000030598</c:v>
                </c:pt>
                <c:pt idx="16">
                  <c:v>-0.300000000000189</c:v>
                </c:pt>
                <c:pt idx="17">
                  <c:v>0.25000000000030598</c:v>
                </c:pt>
                <c:pt idx="18">
                  <c:v>-4.9999999999883499E-2</c:v>
                </c:pt>
                <c:pt idx="19">
                  <c:v>-0.20000000000042201</c:v>
                </c:pt>
                <c:pt idx="20">
                  <c:v>0.100000000000655</c:v>
                </c:pt>
                <c:pt idx="21">
                  <c:v>-4.9999999999883499E-2</c:v>
                </c:pt>
                <c:pt idx="22">
                  <c:v>-0.15000000000053901</c:v>
                </c:pt>
                <c:pt idx="23">
                  <c:v>-4.9999999999883499E-2</c:v>
                </c:pt>
                <c:pt idx="24">
                  <c:v>2.8571428571361999E-2</c:v>
                </c:pt>
                <c:pt idx="25">
                  <c:v>-3.74999999999866E-2</c:v>
                </c:pt>
              </c:numCache>
            </c:numRef>
          </c:val>
        </c:ser>
        <c:ser>
          <c:idx val="2"/>
          <c:order val="2"/>
          <c:tx>
            <c:strRef>
              <c:f>'zk80+620'!$AC$4:$AE$4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'zk80+620'!$S$6:$S$44</c:f>
              <c:numCache>
                <c:formatCode>m"月"d"日";@</c:formatCode>
                <c:ptCount val="39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'zk80+620'!$AE$6:$AE$41</c:f>
              <c:numCache>
                <c:formatCode>0.00_ </c:formatCode>
                <c:ptCount val="36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-0.30000000000107702</c:v>
                </c:pt>
                <c:pt idx="6">
                  <c:v>-0.19999999999953399</c:v>
                </c:pt>
                <c:pt idx="7">
                  <c:v>-9.99999999997669E-2</c:v>
                </c:pt>
                <c:pt idx="8">
                  <c:v>-0.30000000000107702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-0.49999999999883499</c:v>
                </c:pt>
                <c:pt idx="12">
                  <c:v>-0.20000000000130999</c:v>
                </c:pt>
                <c:pt idx="13">
                  <c:v>-0.19999999999953399</c:v>
                </c:pt>
                <c:pt idx="14">
                  <c:v>-9.99999999997669E-2</c:v>
                </c:pt>
                <c:pt idx="15">
                  <c:v>-0.20000000000042201</c:v>
                </c:pt>
                <c:pt idx="16">
                  <c:v>-9.99999999997669E-2</c:v>
                </c:pt>
                <c:pt idx="17">
                  <c:v>-9.99999999997669E-2</c:v>
                </c:pt>
                <c:pt idx="18">
                  <c:v>9.99999999997669E-2</c:v>
                </c:pt>
                <c:pt idx="19">
                  <c:v>-9.99999999997669E-2</c:v>
                </c:pt>
                <c:pt idx="20">
                  <c:v>0.300000000000189</c:v>
                </c:pt>
                <c:pt idx="21">
                  <c:v>-0.25000000000030598</c:v>
                </c:pt>
                <c:pt idx="22">
                  <c:v>-9.99999999997669E-2</c:v>
                </c:pt>
                <c:pt idx="23">
                  <c:v>-0.25000000000030598</c:v>
                </c:pt>
                <c:pt idx="24">
                  <c:v>1.4285714285680999E-2</c:v>
                </c:pt>
              </c:numCache>
            </c:numRef>
          </c:val>
        </c:ser>
        <c:dLbls/>
        <c:marker val="1"/>
        <c:axId val="400701696"/>
        <c:axId val="400708352"/>
      </c:lineChart>
      <c:dateAx>
        <c:axId val="40070169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708352"/>
        <c:crossesAt val="-50"/>
        <c:auto val="1"/>
        <c:lblOffset val="100"/>
        <c:baseTimeUnit val="days"/>
        <c:majorUnit val="3"/>
        <c:majorTimeUnit val="days"/>
      </c:dateAx>
      <c:valAx>
        <c:axId val="40070835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70169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k80+620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'zk80+620'!$C$4:$G$4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'zk80+620'!$A$6:$A$37</c:f>
              <c:numCache>
                <c:formatCode>m"月"d"日";@</c:formatCode>
                <c:ptCount val="32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'zk80+620'!$F$6:$F$24</c:f>
              <c:numCache>
                <c:formatCode>0.00_ </c:formatCode>
                <c:ptCount val="19"/>
                <c:pt idx="0">
                  <c:v>0</c:v>
                </c:pt>
                <c:pt idx="1">
                  <c:v>0.40000000001327901</c:v>
                </c:pt>
                <c:pt idx="2">
                  <c:v>-9.9999999974897905E-2</c:v>
                </c:pt>
                <c:pt idx="3">
                  <c:v>0</c:v>
                </c:pt>
                <c:pt idx="4">
                  <c:v>-0.49999999998817701</c:v>
                </c:pt>
                <c:pt idx="5">
                  <c:v>-0.69999999993797202</c:v>
                </c:pt>
                <c:pt idx="6">
                  <c:v>-0.99999999997635303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-1.30000000001473</c:v>
                </c:pt>
                <c:pt idx="10">
                  <c:v>-1.69999999991433</c:v>
                </c:pt>
                <c:pt idx="11">
                  <c:v>-1.8999999999778101</c:v>
                </c:pt>
                <c:pt idx="12">
                  <c:v>-1.9999999999527101</c:v>
                </c:pt>
                <c:pt idx="13">
                  <c:v>-2.2999999999910901</c:v>
                </c:pt>
                <c:pt idx="14">
                  <c:v>-2.4999999999408802</c:v>
                </c:pt>
                <c:pt idx="15">
                  <c:v>-2.70000000000437</c:v>
                </c:pt>
                <c:pt idx="16">
                  <c:v>-2.8999999999541601</c:v>
                </c:pt>
                <c:pt idx="17">
                  <c:v>-3.1000000000176402</c:v>
                </c:pt>
                <c:pt idx="18">
                  <c:v>-3.6000000000058199</c:v>
                </c:pt>
              </c:numCache>
            </c:numRef>
          </c:val>
        </c:ser>
        <c:ser>
          <c:idx val="1"/>
          <c:order val="1"/>
          <c:tx>
            <c:strRef>
              <c:f>'zk80+620'!$H$4:$L$4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'zk80+620'!$A$6:$A$37</c:f>
              <c:numCache>
                <c:formatCode>m"月"d"日";@</c:formatCode>
                <c:ptCount val="32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'zk80+620'!$K$6:$K$33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-0.199999999949796</c:v>
                </c:pt>
                <c:pt idx="2">
                  <c:v>-0.29999999992469401</c:v>
                </c:pt>
                <c:pt idx="3">
                  <c:v>-0.59999999996307496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-1.09999999995125</c:v>
                </c:pt>
                <c:pt idx="7">
                  <c:v>-1.39999999998963</c:v>
                </c:pt>
                <c:pt idx="8">
                  <c:v>-1.5999999999394301</c:v>
                </c:pt>
                <c:pt idx="9">
                  <c:v>-1.8000000000029099</c:v>
                </c:pt>
                <c:pt idx="10">
                  <c:v>-1.4999999999645299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-2.5999999999157799</c:v>
                </c:pt>
                <c:pt idx="14">
                  <c:v>-2.70000000000437</c:v>
                </c:pt>
                <c:pt idx="15">
                  <c:v>-2.9999999999290599</c:v>
                </c:pt>
                <c:pt idx="16">
                  <c:v>-3.2999999999674401</c:v>
                </c:pt>
                <c:pt idx="17">
                  <c:v>-3.6000000000058199</c:v>
                </c:pt>
                <c:pt idx="18">
                  <c:v>-3.49999999991724</c:v>
                </c:pt>
                <c:pt idx="19">
                  <c:v>-3.3999999999423398</c:v>
                </c:pt>
                <c:pt idx="20">
                  <c:v>-4.1999999999688997</c:v>
                </c:pt>
                <c:pt idx="21">
                  <c:v>-4.099999999994</c:v>
                </c:pt>
                <c:pt idx="22">
                  <c:v>-3.69999999998072</c:v>
                </c:pt>
                <c:pt idx="23">
                  <c:v>-4.3999999999186903</c:v>
                </c:pt>
                <c:pt idx="24">
                  <c:v>-4.1999999999688997</c:v>
                </c:pt>
                <c:pt idx="25">
                  <c:v>-2.91666666640822E-2</c:v>
                </c:pt>
              </c:numCache>
            </c:numRef>
          </c:val>
        </c:ser>
        <c:ser>
          <c:idx val="2"/>
          <c:order val="2"/>
          <c:tx>
            <c:strRef>
              <c:f>'zk80+620'!$M$4:$Q$4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'zk80+620'!$A$6:$A$37</c:f>
              <c:numCache>
                <c:formatCode>m"月"d"日";@</c:formatCode>
                <c:ptCount val="32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  <c:pt idx="19">
                  <c:v>44984</c:v>
                </c:pt>
                <c:pt idx="20">
                  <c:v>44986</c:v>
                </c:pt>
                <c:pt idx="21">
                  <c:v>44988</c:v>
                </c:pt>
                <c:pt idx="22">
                  <c:v>44990</c:v>
                </c:pt>
                <c:pt idx="23">
                  <c:v>44992</c:v>
                </c:pt>
                <c:pt idx="24">
                  <c:v>44999</c:v>
                </c:pt>
              </c:numCache>
            </c:numRef>
          </c:cat>
          <c:val>
            <c:numRef>
              <c:f>'zk80+620'!$P$6:$P$31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-0.30000000003838101</c:v>
                </c:pt>
                <c:pt idx="2">
                  <c:v>-0.40000000001327901</c:v>
                </c:pt>
                <c:pt idx="3">
                  <c:v>-0.70000000005165897</c:v>
                </c:pt>
                <c:pt idx="4">
                  <c:v>-0.90000000000145497</c:v>
                </c:pt>
                <c:pt idx="5">
                  <c:v>-0.80000000002655702</c:v>
                </c:pt>
                <c:pt idx="6">
                  <c:v>-1.30000000001473</c:v>
                </c:pt>
                <c:pt idx="7">
                  <c:v>-1.4999999999645299</c:v>
                </c:pt>
                <c:pt idx="8">
                  <c:v>-1.39999999998963</c:v>
                </c:pt>
                <c:pt idx="9">
                  <c:v>-1.8999999999778101</c:v>
                </c:pt>
                <c:pt idx="10">
                  <c:v>-2.1000000000412902</c:v>
                </c:pt>
                <c:pt idx="11">
                  <c:v>-2.2999999999910901</c:v>
                </c:pt>
                <c:pt idx="12">
                  <c:v>-2.39999999996598</c:v>
                </c:pt>
                <c:pt idx="13">
                  <c:v>-2.70000000000437</c:v>
                </c:pt>
                <c:pt idx="14">
                  <c:v>-2.8999999999541601</c:v>
                </c:pt>
                <c:pt idx="15">
                  <c:v>-3.1000000000176402</c:v>
                </c:pt>
                <c:pt idx="16">
                  <c:v>-3.2999999999674401</c:v>
                </c:pt>
                <c:pt idx="17">
                  <c:v>-3.3999999999423398</c:v>
                </c:pt>
                <c:pt idx="18">
                  <c:v>-3.69999999998072</c:v>
                </c:pt>
                <c:pt idx="19">
                  <c:v>-4.0000000000191003</c:v>
                </c:pt>
                <c:pt idx="20">
                  <c:v>-3.8999999999305102</c:v>
                </c:pt>
                <c:pt idx="21">
                  <c:v>-3.7999999999556202</c:v>
                </c:pt>
                <c:pt idx="22">
                  <c:v>-4.1999999999688997</c:v>
                </c:pt>
                <c:pt idx="23">
                  <c:v>-4.099999999994</c:v>
                </c:pt>
                <c:pt idx="24">
                  <c:v>-3.7999999999556202</c:v>
                </c:pt>
              </c:numCache>
            </c:numRef>
          </c:val>
        </c:ser>
        <c:dLbls/>
        <c:marker val="1"/>
        <c:axId val="400848768"/>
        <c:axId val="400859520"/>
      </c:lineChart>
      <c:lineChart>
        <c:grouping val="standard"/>
        <c:ser>
          <c:idx val="3"/>
          <c:order val="3"/>
          <c:tx>
            <c:strRef>
              <c:f>'zk80+620'!$AG$3:$AG$5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'zk80+620'!$A$6:$A$24</c:f>
              <c:numCache>
                <c:formatCode>m"月"d"日";@</c:formatCode>
                <c:ptCount val="19"/>
                <c:pt idx="0">
                  <c:v>44960</c:v>
                </c:pt>
                <c:pt idx="1">
                  <c:v>44961</c:v>
                </c:pt>
                <c:pt idx="2">
                  <c:v>44962</c:v>
                </c:pt>
                <c:pt idx="3">
                  <c:v>44963</c:v>
                </c:pt>
                <c:pt idx="4">
                  <c:v>44964</c:v>
                </c:pt>
                <c:pt idx="5">
                  <c:v>44965</c:v>
                </c:pt>
                <c:pt idx="6">
                  <c:v>44966</c:v>
                </c:pt>
                <c:pt idx="7">
                  <c:v>44967</c:v>
                </c:pt>
                <c:pt idx="8">
                  <c:v>44968</c:v>
                </c:pt>
                <c:pt idx="9">
                  <c:v>44969</c:v>
                </c:pt>
                <c:pt idx="10">
                  <c:v>44970</c:v>
                </c:pt>
                <c:pt idx="11">
                  <c:v>44971</c:v>
                </c:pt>
                <c:pt idx="12">
                  <c:v>44972</c:v>
                </c:pt>
                <c:pt idx="13">
                  <c:v>44973</c:v>
                </c:pt>
                <c:pt idx="14">
                  <c:v>44974</c:v>
                </c:pt>
                <c:pt idx="15">
                  <c:v>44976</c:v>
                </c:pt>
                <c:pt idx="16">
                  <c:v>44978</c:v>
                </c:pt>
                <c:pt idx="17">
                  <c:v>44980</c:v>
                </c:pt>
                <c:pt idx="18">
                  <c:v>44982</c:v>
                </c:pt>
              </c:numCache>
            </c:numRef>
          </c:cat>
          <c:val>
            <c:numRef>
              <c:f>'zk80+620'!$AG$6:$AG$34</c:f>
              <c:numCache>
                <c:formatCode>0.0_ </c:formatCode>
                <c:ptCount val="29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59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65</c:v>
                </c:pt>
                <c:pt idx="24">
                  <c:v>68</c:v>
                </c:pt>
              </c:numCache>
            </c:numRef>
          </c:val>
        </c:ser>
        <c:dLbls/>
        <c:marker val="1"/>
        <c:axId val="400861440"/>
        <c:axId val="400871424"/>
      </c:lineChart>
      <c:dateAx>
        <c:axId val="4008487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859520"/>
        <c:crossesAt val="-50"/>
        <c:auto val="1"/>
        <c:lblOffset val="100"/>
        <c:baseTimeUnit val="days"/>
        <c:majorUnit val="4"/>
        <c:majorTimeUnit val="days"/>
      </c:dateAx>
      <c:valAx>
        <c:axId val="400859520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848768"/>
        <c:crosses val="autoZero"/>
        <c:crossBetween val="midCat"/>
        <c:majorUnit val="1.2"/>
        <c:minorUnit val="0.5"/>
      </c:valAx>
      <c:dateAx>
        <c:axId val="4008614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0871424"/>
        <c:crosses val="autoZero"/>
        <c:auto val="1"/>
        <c:lblOffset val="100"/>
        <c:baseTimeUnit val="days"/>
      </c:dateAx>
      <c:valAx>
        <c:axId val="40087142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86144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631005243841401"/>
          <c:y val="0.22301304863582402"/>
          <c:w val="0.79482438908972797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'zk80+635'!$U$4:$W$4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'zk80+635'!$S$6:$S$41</c:f>
              <c:numCache>
                <c:formatCode>m"月"d"日";@</c:formatCode>
                <c:ptCount val="36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'zk80+635'!$V$6:$V$40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-0.29999999999930099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-1.3000000000005201</c:v>
                </c:pt>
                <c:pt idx="7">
                  <c:v>-1.4000000000002899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-2.0000000000006701</c:v>
                </c:pt>
                <c:pt idx="11">
                  <c:v>-2.1999999999895401</c:v>
                </c:pt>
                <c:pt idx="12">
                  <c:v>-2.4999999999995</c:v>
                </c:pt>
                <c:pt idx="13">
                  <c:v>-2.8000000000094598</c:v>
                </c:pt>
                <c:pt idx="14">
                  <c:v>-3.0000000000001101</c:v>
                </c:pt>
                <c:pt idx="15">
                  <c:v>-3.40000000002938</c:v>
                </c:pt>
                <c:pt idx="16">
                  <c:v>-3.7000000000393398</c:v>
                </c:pt>
                <c:pt idx="17">
                  <c:v>-3.6000000000004899</c:v>
                </c:pt>
                <c:pt idx="18">
                  <c:v>-3.9999999999995599</c:v>
                </c:pt>
                <c:pt idx="19">
                  <c:v>-4.3000000000006402</c:v>
                </c:pt>
                <c:pt idx="20">
                  <c:v>-4.2000000000008697</c:v>
                </c:pt>
                <c:pt idx="21">
                  <c:v>-4.3000000000006402</c:v>
                </c:pt>
                <c:pt idx="22">
                  <c:v>-4.60000000007099</c:v>
                </c:pt>
                <c:pt idx="23">
                  <c:v>-4.4000000000004</c:v>
                </c:pt>
                <c:pt idx="24">
                  <c:v>-4.7999999999994696</c:v>
                </c:pt>
                <c:pt idx="25">
                  <c:v>-5.1000000000005503</c:v>
                </c:pt>
                <c:pt idx="26">
                  <c:v>-4.9000000000010102</c:v>
                </c:pt>
                <c:pt idx="27">
                  <c:v>-4.6999999999997</c:v>
                </c:pt>
                <c:pt idx="28">
                  <c:v>-5.0000000000007798</c:v>
                </c:pt>
                <c:pt idx="29">
                  <c:v>-4.6999999999997</c:v>
                </c:pt>
                <c:pt idx="30">
                  <c:v>-4.5999999999999401</c:v>
                </c:pt>
                <c:pt idx="31">
                  <c:v>-4.5000000000001696</c:v>
                </c:pt>
                <c:pt idx="32">
                  <c:v>0.19999999999953399</c:v>
                </c:pt>
              </c:numCache>
            </c:numRef>
          </c:val>
        </c:ser>
        <c:ser>
          <c:idx val="1"/>
          <c:order val="1"/>
          <c:tx>
            <c:strRef>
              <c:f>'zk80+635'!$Y$4:$AA$4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'zk80+635'!$S$6:$S$39</c:f>
              <c:numCache>
                <c:formatCode>m"月"d"日";@</c:formatCode>
                <c:ptCount val="34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'zk80+635'!$Z$6:$Z$41</c:f>
              <c:numCache>
                <c:formatCode>0.00_ </c:formatCode>
                <c:ptCount val="36"/>
                <c:pt idx="0">
                  <c:v>0</c:v>
                </c:pt>
                <c:pt idx="1">
                  <c:v>-0.39999999999906799</c:v>
                </c:pt>
                <c:pt idx="2">
                  <c:v>-0.59999999999860198</c:v>
                </c:pt>
                <c:pt idx="3">
                  <c:v>-0.799999999999912</c:v>
                </c:pt>
                <c:pt idx="4">
                  <c:v>-0.89999999999967895</c:v>
                </c:pt>
                <c:pt idx="5">
                  <c:v>-1.1999999999989801</c:v>
                </c:pt>
                <c:pt idx="6">
                  <c:v>-1.39999999999851</c:v>
                </c:pt>
                <c:pt idx="7">
                  <c:v>-1.2999999999987499</c:v>
                </c:pt>
                <c:pt idx="8">
                  <c:v>-1.7999999999993599</c:v>
                </c:pt>
                <c:pt idx="9">
                  <c:v>-1.99999999999889</c:v>
                </c:pt>
                <c:pt idx="10">
                  <c:v>-1.8999999999991199</c:v>
                </c:pt>
                <c:pt idx="11">
                  <c:v>-2.3999999999997401</c:v>
                </c:pt>
                <c:pt idx="12">
                  <c:v>-2.59999999999927</c:v>
                </c:pt>
                <c:pt idx="13">
                  <c:v>-2.7999999999987999</c:v>
                </c:pt>
                <c:pt idx="14">
                  <c:v>-2.8999999999985699</c:v>
                </c:pt>
                <c:pt idx="15">
                  <c:v>-3.1999999999996498</c:v>
                </c:pt>
                <c:pt idx="16">
                  <c:v>-3.0999999999998802</c:v>
                </c:pt>
                <c:pt idx="17">
                  <c:v>-3.5999999999987198</c:v>
                </c:pt>
                <c:pt idx="18">
                  <c:v>-3.6999999999984801</c:v>
                </c:pt>
                <c:pt idx="19">
                  <c:v>-3.80000000000003</c:v>
                </c:pt>
                <c:pt idx="20">
                  <c:v>-3.9999999999995599</c:v>
                </c:pt>
                <c:pt idx="21">
                  <c:v>-4.09999999999933</c:v>
                </c:pt>
                <c:pt idx="22">
                  <c:v>-3.8999999999997899</c:v>
                </c:pt>
                <c:pt idx="23">
                  <c:v>-3.9999999999995599</c:v>
                </c:pt>
                <c:pt idx="24">
                  <c:v>-4.1999999999990898</c:v>
                </c:pt>
                <c:pt idx="25">
                  <c:v>-3.80000000000003</c:v>
                </c:pt>
                <c:pt idx="26">
                  <c:v>-4.2999999999988603</c:v>
                </c:pt>
                <c:pt idx="27">
                  <c:v>-4.09999999999933</c:v>
                </c:pt>
                <c:pt idx="28">
                  <c:v>-4.09999999999933</c:v>
                </c:pt>
                <c:pt idx="29">
                  <c:v>-4.1999999999990898</c:v>
                </c:pt>
                <c:pt idx="30">
                  <c:v>-3.9999999999995599</c:v>
                </c:pt>
                <c:pt idx="31">
                  <c:v>-3.8999999999997899</c:v>
                </c:pt>
                <c:pt idx="32">
                  <c:v>-3.0999999999998802</c:v>
                </c:pt>
              </c:numCache>
            </c:numRef>
          </c:val>
        </c:ser>
        <c:ser>
          <c:idx val="2"/>
          <c:order val="2"/>
          <c:tx>
            <c:strRef>
              <c:f>'zk80+635'!$AC$4:$AE$4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'zk80+635'!$S$6:$S$38</c:f>
              <c:numCache>
                <c:formatCode>m"月"d"日";@</c:formatCode>
                <c:ptCount val="33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'zk80+635'!$AD$6:$AD$45</c:f>
              <c:numCache>
                <c:formatCode>0.00_ </c:formatCode>
                <c:ptCount val="40"/>
                <c:pt idx="0">
                  <c:v>0</c:v>
                </c:pt>
                <c:pt idx="1">
                  <c:v>-9.99999999997669E-2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-0.39999999999906799</c:v>
                </c:pt>
                <c:pt idx="5">
                  <c:v>-0.89999999999967895</c:v>
                </c:pt>
                <c:pt idx="6">
                  <c:v>-1.0999999999992101</c:v>
                </c:pt>
                <c:pt idx="7">
                  <c:v>-0.999999999999446</c:v>
                </c:pt>
                <c:pt idx="8">
                  <c:v>-1.50000000000006</c:v>
                </c:pt>
                <c:pt idx="9">
                  <c:v>-1.6999999999995901</c:v>
                </c:pt>
                <c:pt idx="10">
                  <c:v>-2.2999999999999701</c:v>
                </c:pt>
                <c:pt idx="11">
                  <c:v>-2.1999999999984299</c:v>
                </c:pt>
                <c:pt idx="12">
                  <c:v>-2.3999999999997401</c:v>
                </c:pt>
                <c:pt idx="13">
                  <c:v>-2.59999999999927</c:v>
                </c:pt>
                <c:pt idx="14">
                  <c:v>-2.99999999999834</c:v>
                </c:pt>
                <c:pt idx="15">
                  <c:v>-2.99999999999834</c:v>
                </c:pt>
                <c:pt idx="16">
                  <c:v>-3.1999999999996498</c:v>
                </c:pt>
                <c:pt idx="17">
                  <c:v>-3.2999999999994101</c:v>
                </c:pt>
                <c:pt idx="18">
                  <c:v>-3.0999999999998802</c:v>
                </c:pt>
                <c:pt idx="19">
                  <c:v>-3.5999999999987198</c:v>
                </c:pt>
                <c:pt idx="20">
                  <c:v>-3.9999999999995599</c:v>
                </c:pt>
                <c:pt idx="21">
                  <c:v>-3.8999999999997899</c:v>
                </c:pt>
                <c:pt idx="22">
                  <c:v>-3.80000000000003</c:v>
                </c:pt>
                <c:pt idx="23">
                  <c:v>-3.6999999999984801</c:v>
                </c:pt>
                <c:pt idx="24">
                  <c:v>-3.9999999999995599</c:v>
                </c:pt>
                <c:pt idx="25">
                  <c:v>-3.6999999999984801</c:v>
                </c:pt>
                <c:pt idx="26">
                  <c:v>-3.3999999999991801</c:v>
                </c:pt>
                <c:pt idx="27">
                  <c:v>-2.8999999999985699</c:v>
                </c:pt>
                <c:pt idx="28">
                  <c:v>-3.2999999999994101</c:v>
                </c:pt>
                <c:pt idx="29">
                  <c:v>-3.1999999999996498</c:v>
                </c:pt>
                <c:pt idx="30">
                  <c:v>-2.6999999999990401</c:v>
                </c:pt>
                <c:pt idx="31">
                  <c:v>-3.0999999999998802</c:v>
                </c:pt>
              </c:numCache>
            </c:numRef>
          </c:val>
        </c:ser>
        <c:dLbls/>
        <c:marker val="1"/>
        <c:axId val="400630912"/>
        <c:axId val="400633216"/>
      </c:lineChart>
      <c:lineChart>
        <c:grouping val="standard"/>
        <c:ser>
          <c:idx val="3"/>
          <c:order val="3"/>
          <c:tx>
            <c:strRef>
              <c:f>'zk80+635'!$AG$3:$AG$5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'zk80+635'!$S$6:$S$33</c:f>
              <c:numCache>
                <c:formatCode>m"月"d"日";@</c:formatCode>
                <c:ptCount val="28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</c:numCache>
            </c:numRef>
          </c:cat>
          <c:val>
            <c:numRef>
              <c:f>'zk80+635'!$AG$6:$AG$39</c:f>
              <c:numCache>
                <c:formatCode>0.0_ </c:formatCode>
                <c:ptCount val="34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53</c:v>
                </c:pt>
                <c:pt idx="18">
                  <c:v>56</c:v>
                </c:pt>
                <c:pt idx="19">
                  <c:v>59</c:v>
                </c:pt>
                <c:pt idx="20">
                  <c:v>65</c:v>
                </c:pt>
                <c:pt idx="21">
                  <c:v>71</c:v>
                </c:pt>
                <c:pt idx="22">
                  <c:v>77</c:v>
                </c:pt>
                <c:pt idx="23">
                  <c:v>83</c:v>
                </c:pt>
                <c:pt idx="24">
                  <c:v>89</c:v>
                </c:pt>
                <c:pt idx="25">
                  <c:v>95</c:v>
                </c:pt>
                <c:pt idx="26">
                  <c:v>101</c:v>
                </c:pt>
                <c:pt idx="27">
                  <c:v>107</c:v>
                </c:pt>
                <c:pt idx="28">
                  <c:v>113</c:v>
                </c:pt>
                <c:pt idx="29">
                  <c:v>119</c:v>
                </c:pt>
                <c:pt idx="30">
                  <c:v>125</c:v>
                </c:pt>
                <c:pt idx="31">
                  <c:v>131</c:v>
                </c:pt>
              </c:numCache>
            </c:numRef>
          </c:val>
        </c:ser>
        <c:dLbls/>
        <c:marker val="1"/>
        <c:axId val="400639488"/>
        <c:axId val="400641024"/>
      </c:lineChart>
      <c:dateAx>
        <c:axId val="4006309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633216"/>
        <c:crossesAt val="-50"/>
        <c:auto val="1"/>
        <c:lblOffset val="100"/>
        <c:baseTimeUnit val="days"/>
        <c:majorUnit val="5"/>
        <c:majorTimeUnit val="days"/>
      </c:dateAx>
      <c:valAx>
        <c:axId val="400633216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630912"/>
        <c:crosses val="autoZero"/>
        <c:crossBetween val="midCat"/>
        <c:majorUnit val="1.6"/>
        <c:minorUnit val="0.1"/>
      </c:valAx>
      <c:dateAx>
        <c:axId val="40063948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0641024"/>
        <c:crosses val="autoZero"/>
        <c:auto val="1"/>
        <c:lblOffset val="100"/>
        <c:baseTimeUnit val="days"/>
      </c:dateAx>
      <c:valAx>
        <c:axId val="400641024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639488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967372892821394"/>
          <c:y val="0.24496261889997803"/>
          <c:w val="0.806124739562194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'zk80+635'!$C$4:$G$4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'zk80+635'!$A$6:$A$46</c:f>
              <c:numCache>
                <c:formatCode>m"月"d"日";@</c:formatCode>
                <c:ptCount val="41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'zk80+635'!$G$6:$G$42</c:f>
              <c:numCache>
                <c:formatCode>0.00_ </c:formatCode>
                <c:ptCount val="37"/>
                <c:pt idx="0">
                  <c:v>0</c:v>
                </c:pt>
                <c:pt idx="1">
                  <c:v>0.199999999949796</c:v>
                </c:pt>
                <c:pt idx="2">
                  <c:v>0</c:v>
                </c:pt>
                <c:pt idx="3">
                  <c:v>-0.40000000001327901</c:v>
                </c:pt>
                <c:pt idx="4">
                  <c:v>-0.29999999992469401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0</c:v>
                </c:pt>
                <c:pt idx="11">
                  <c:v>-0.40000000001327901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-9.9999999974897905E-2</c:v>
                </c:pt>
                <c:pt idx="15">
                  <c:v>-0.15000000001919001</c:v>
                </c:pt>
                <c:pt idx="16">
                  <c:v>-9.9999999974897905E-2</c:v>
                </c:pt>
                <c:pt idx="17">
                  <c:v>4.9999999987449001E-2</c:v>
                </c:pt>
                <c:pt idx="18">
                  <c:v>-0.100000000031741</c:v>
                </c:pt>
                <c:pt idx="19">
                  <c:v>-0.149999999962347</c:v>
                </c:pt>
                <c:pt idx="20">
                  <c:v>-5.0000000044292399E-2</c:v>
                </c:pt>
                <c:pt idx="21">
                  <c:v>-4.9999999987449001E-2</c:v>
                </c:pt>
                <c:pt idx="22">
                  <c:v>4.9999999987449001E-2</c:v>
                </c:pt>
                <c:pt idx="23">
                  <c:v>-9.9999999974897905E-2</c:v>
                </c:pt>
                <c:pt idx="24">
                  <c:v>-4.9999999987449001E-2</c:v>
                </c:pt>
                <c:pt idx="25">
                  <c:v>-4.9999999987449001E-2</c:v>
                </c:pt>
                <c:pt idx="26">
                  <c:v>0.149999999962347</c:v>
                </c:pt>
                <c:pt idx="27">
                  <c:v>-0.20000000000663901</c:v>
                </c:pt>
                <c:pt idx="28">
                  <c:v>0.100000000031741</c:v>
                </c:pt>
                <c:pt idx="29">
                  <c:v>-0.15000000001919001</c:v>
                </c:pt>
                <c:pt idx="30">
                  <c:v>-4.9999999987449001E-2</c:v>
                </c:pt>
                <c:pt idx="31">
                  <c:v>-3.33333333439138E-2</c:v>
                </c:pt>
                <c:pt idx="32">
                  <c:v>0.20000000006348301</c:v>
                </c:pt>
              </c:numCache>
            </c:numRef>
          </c:val>
        </c:ser>
        <c:ser>
          <c:idx val="1"/>
          <c:order val="1"/>
          <c:tx>
            <c:strRef>
              <c:f>'zk80+635'!$H$4:$L$4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'zk80+635'!$A$6:$A$46</c:f>
              <c:numCache>
                <c:formatCode>m"月"d"日";@</c:formatCode>
                <c:ptCount val="41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'zk80+635'!$L$6:$L$43</c:f>
              <c:numCache>
                <c:formatCode>0.00_ </c:formatCode>
                <c:ptCount val="38"/>
                <c:pt idx="0">
                  <c:v>0</c:v>
                </c:pt>
                <c:pt idx="1">
                  <c:v>-0.20000000006348301</c:v>
                </c:pt>
                <c:pt idx="2">
                  <c:v>9.9999999974897905E-2</c:v>
                </c:pt>
                <c:pt idx="3">
                  <c:v>-0.49999999998817701</c:v>
                </c:pt>
                <c:pt idx="4">
                  <c:v>-0.199999999949796</c:v>
                </c:pt>
                <c:pt idx="5">
                  <c:v>-0.30000000003838101</c:v>
                </c:pt>
                <c:pt idx="6">
                  <c:v>-9.9999999974897905E-2</c:v>
                </c:pt>
                <c:pt idx="7">
                  <c:v>-0.20000000006348301</c:v>
                </c:pt>
                <c:pt idx="8">
                  <c:v>0.10000000008858501</c:v>
                </c:pt>
                <c:pt idx="9">
                  <c:v>-0.49999999998817701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-0.30000000003838101</c:v>
                </c:pt>
                <c:pt idx="13">
                  <c:v>-0.30000000003838101</c:v>
                </c:pt>
                <c:pt idx="14">
                  <c:v>-9.9999999974897905E-2</c:v>
                </c:pt>
                <c:pt idx="15">
                  <c:v>-0.24999999999408801</c:v>
                </c:pt>
                <c:pt idx="16">
                  <c:v>-0.15000000001919001</c:v>
                </c:pt>
                <c:pt idx="17">
                  <c:v>0.20000000000663901</c:v>
                </c:pt>
                <c:pt idx="18">
                  <c:v>-9.9999999974897905E-2</c:v>
                </c:pt>
                <c:pt idx="19">
                  <c:v>-0.40000000001327901</c:v>
                </c:pt>
                <c:pt idx="20">
                  <c:v>0.15000000001919001</c:v>
                </c:pt>
                <c:pt idx="21">
                  <c:v>-0.100000000031741</c:v>
                </c:pt>
                <c:pt idx="22">
                  <c:v>-0.20000000000663901</c:v>
                </c:pt>
                <c:pt idx="23">
                  <c:v>-0.149999999962347</c:v>
                </c:pt>
                <c:pt idx="24">
                  <c:v>-5.0000000044292399E-2</c:v>
                </c:pt>
                <c:pt idx="25">
                  <c:v>-0.199999999949796</c:v>
                </c:pt>
                <c:pt idx="26">
                  <c:v>0.149999999962347</c:v>
                </c:pt>
                <c:pt idx="27">
                  <c:v>0.24999999999408801</c:v>
                </c:pt>
                <c:pt idx="28">
                  <c:v>-9.9999999974897905E-2</c:v>
                </c:pt>
                <c:pt idx="29">
                  <c:v>4.9999999987449001E-2</c:v>
                </c:pt>
                <c:pt idx="30">
                  <c:v>0.24999999999408801</c:v>
                </c:pt>
                <c:pt idx="31">
                  <c:v>6.6666666668879798E-2</c:v>
                </c:pt>
              </c:numCache>
            </c:numRef>
          </c:val>
        </c:ser>
        <c:ser>
          <c:idx val="2"/>
          <c:order val="2"/>
          <c:tx>
            <c:strRef>
              <c:f>'zk80+635'!$M$4:$Q$4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'zk80+635'!$A$6:$A$46</c:f>
              <c:numCache>
                <c:formatCode>m"月"d"日";@</c:formatCode>
                <c:ptCount val="41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'zk80+635'!$Q$6:$Q$39</c:f>
              <c:numCache>
                <c:formatCode>0.00_ </c:formatCode>
                <c:ptCount val="34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-0.199999999949796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-0.20000000006348301</c:v>
                </c:pt>
                <c:pt idx="9">
                  <c:v>9.9999999974897905E-2</c:v>
                </c:pt>
                <c:pt idx="10">
                  <c:v>-0.49999999998817701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-0.10000000008858501</c:v>
                </c:pt>
                <c:pt idx="14">
                  <c:v>-9.9999999974897905E-2</c:v>
                </c:pt>
                <c:pt idx="15">
                  <c:v>-4.9999999987449001E-2</c:v>
                </c:pt>
                <c:pt idx="16">
                  <c:v>-4.9999999987449001E-2</c:v>
                </c:pt>
                <c:pt idx="17">
                  <c:v>-0.100000000031741</c:v>
                </c:pt>
                <c:pt idx="18">
                  <c:v>-9.9999999974897905E-2</c:v>
                </c:pt>
                <c:pt idx="19">
                  <c:v>9.9999999974897905E-2</c:v>
                </c:pt>
                <c:pt idx="20">
                  <c:v>5.0000000044292399E-2</c:v>
                </c:pt>
                <c:pt idx="21">
                  <c:v>-0.20000000000663901</c:v>
                </c:pt>
                <c:pt idx="22">
                  <c:v>9.9999999974897905E-2</c:v>
                </c:pt>
                <c:pt idx="23">
                  <c:v>-0.15000000001919001</c:v>
                </c:pt>
                <c:pt idx="24">
                  <c:v>0.100000000031741</c:v>
                </c:pt>
                <c:pt idx="25">
                  <c:v>0.15000000001919001</c:v>
                </c:pt>
                <c:pt idx="26">
                  <c:v>4.9999999987449001E-2</c:v>
                </c:pt>
                <c:pt idx="27">
                  <c:v>-0.15000000001919001</c:v>
                </c:pt>
                <c:pt idx="28">
                  <c:v>-4.9999999987449001E-2</c:v>
                </c:pt>
                <c:pt idx="29">
                  <c:v>4.9999999987449001E-2</c:v>
                </c:pt>
                <c:pt idx="30">
                  <c:v>4.9999999987449001E-2</c:v>
                </c:pt>
                <c:pt idx="31">
                  <c:v>1.6666666681430801E-2</c:v>
                </c:pt>
              </c:numCache>
            </c:numRef>
          </c:val>
        </c:ser>
        <c:dLbls/>
        <c:marker val="1"/>
        <c:axId val="401094528"/>
        <c:axId val="401101568"/>
      </c:lineChart>
      <c:dateAx>
        <c:axId val="40109452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101568"/>
        <c:crossesAt val="-50"/>
        <c:auto val="1"/>
        <c:lblOffset val="100"/>
        <c:baseTimeUnit val="days"/>
        <c:majorUnit val="5"/>
        <c:majorTimeUnit val="days"/>
      </c:dateAx>
      <c:valAx>
        <c:axId val="40110156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09452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4684608085961104"/>
          <c:y val="0.232226624538175"/>
          <c:w val="0.78895247249023503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'zk80+635'!$U$4:$W$4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'zk80+635'!$S$6:$S$49</c:f>
              <c:numCache>
                <c:formatCode>m"月"d"日";@</c:formatCode>
                <c:ptCount val="44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'zk80+635'!$W$6:$W$40</c:f>
              <c:numCache>
                <c:formatCode>0.00_ </c:formatCode>
                <c:ptCount val="35"/>
                <c:pt idx="0">
                  <c:v>0</c:v>
                </c:pt>
                <c:pt idx="1">
                  <c:v>0.19999999999953399</c:v>
                </c:pt>
                <c:pt idx="2">
                  <c:v>0.20000000000130999</c:v>
                </c:pt>
                <c:pt idx="3">
                  <c:v>-0.10000000000154299</c:v>
                </c:pt>
                <c:pt idx="4">
                  <c:v>0.50000000000061096</c:v>
                </c:pt>
                <c:pt idx="5">
                  <c:v>0.19999999999953399</c:v>
                </c:pt>
                <c:pt idx="6">
                  <c:v>0.30000000000107702</c:v>
                </c:pt>
                <c:pt idx="7">
                  <c:v>9.99999999997669E-2</c:v>
                </c:pt>
                <c:pt idx="8">
                  <c:v>0.19999999999953399</c:v>
                </c:pt>
                <c:pt idx="9">
                  <c:v>-9.99999999997669E-2</c:v>
                </c:pt>
                <c:pt idx="10">
                  <c:v>0.50000000000061096</c:v>
                </c:pt>
                <c:pt idx="11">
                  <c:v>0.19999999998887599</c:v>
                </c:pt>
                <c:pt idx="12">
                  <c:v>0.30000000000995902</c:v>
                </c:pt>
                <c:pt idx="13">
                  <c:v>0.30000000000995902</c:v>
                </c:pt>
                <c:pt idx="14">
                  <c:v>0.19999999999065199</c:v>
                </c:pt>
                <c:pt idx="15">
                  <c:v>0.200000000014633</c:v>
                </c:pt>
                <c:pt idx="16">
                  <c:v>0.15000000000497901</c:v>
                </c:pt>
                <c:pt idx="17">
                  <c:v>-5.0000000019423403E-2</c:v>
                </c:pt>
                <c:pt idx="18">
                  <c:v>0.19999999999953399</c:v>
                </c:pt>
                <c:pt idx="19">
                  <c:v>0.15000000000053901</c:v>
                </c:pt>
                <c:pt idx="20">
                  <c:v>-4.9999999999883499E-2</c:v>
                </c:pt>
                <c:pt idx="21">
                  <c:v>4.9999999999883499E-2</c:v>
                </c:pt>
                <c:pt idx="22">
                  <c:v>0.15000000003517799</c:v>
                </c:pt>
                <c:pt idx="23">
                  <c:v>-0.100000000035294</c:v>
                </c:pt>
                <c:pt idx="24">
                  <c:v>0.19999999999953399</c:v>
                </c:pt>
                <c:pt idx="25">
                  <c:v>0.15000000000053901</c:v>
                </c:pt>
                <c:pt idx="26">
                  <c:v>-9.99999999997669E-2</c:v>
                </c:pt>
                <c:pt idx="27">
                  <c:v>-0.100000000000655</c:v>
                </c:pt>
                <c:pt idx="28">
                  <c:v>0.15000000000053901</c:v>
                </c:pt>
                <c:pt idx="29">
                  <c:v>-0.15000000000053901</c:v>
                </c:pt>
                <c:pt idx="30">
                  <c:v>-4.9999999999883499E-2</c:v>
                </c:pt>
                <c:pt idx="31">
                  <c:v>-1.6666666666627802E-2</c:v>
                </c:pt>
                <c:pt idx="32">
                  <c:v>-0.20000000000130999</c:v>
                </c:pt>
              </c:numCache>
            </c:numRef>
          </c:val>
        </c:ser>
        <c:ser>
          <c:idx val="1"/>
          <c:order val="1"/>
          <c:tx>
            <c:strRef>
              <c:f>'zk80+635'!$Y$4:$AA$4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'zk80+635'!$S$6:$S$49</c:f>
              <c:numCache>
                <c:formatCode>m"月"d"日";@</c:formatCode>
                <c:ptCount val="44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'zk80+635'!$AA$6:$AA$39</c:f>
              <c:numCache>
                <c:formatCode>0.00_ </c:formatCode>
                <c:ptCount val="34"/>
                <c:pt idx="0">
                  <c:v>0</c:v>
                </c:pt>
                <c:pt idx="1">
                  <c:v>-0.39999999999906799</c:v>
                </c:pt>
                <c:pt idx="2">
                  <c:v>-0.19999999999953399</c:v>
                </c:pt>
                <c:pt idx="3">
                  <c:v>-0.20000000000130999</c:v>
                </c:pt>
                <c:pt idx="4">
                  <c:v>-9.99999999997669E-2</c:v>
                </c:pt>
                <c:pt idx="5">
                  <c:v>-0.29999999999930099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9.99999999997669E-2</c:v>
                </c:pt>
                <c:pt idx="11">
                  <c:v>-0.50000000000061096</c:v>
                </c:pt>
                <c:pt idx="12">
                  <c:v>-0.19999999999953399</c:v>
                </c:pt>
                <c:pt idx="13">
                  <c:v>-0.19999999999953399</c:v>
                </c:pt>
                <c:pt idx="14">
                  <c:v>-9.99999999997669E-2</c:v>
                </c:pt>
                <c:pt idx="15">
                  <c:v>-0.15000000000053901</c:v>
                </c:pt>
                <c:pt idx="16">
                  <c:v>4.9999999999883499E-2</c:v>
                </c:pt>
                <c:pt idx="17">
                  <c:v>-0.24999999999941699</c:v>
                </c:pt>
                <c:pt idx="18">
                  <c:v>-4.9999999999883499E-2</c:v>
                </c:pt>
                <c:pt idx="19">
                  <c:v>-5.0000000000771601E-2</c:v>
                </c:pt>
                <c:pt idx="20">
                  <c:v>-9.99999999997669E-2</c:v>
                </c:pt>
                <c:pt idx="21">
                  <c:v>-4.9999999999883499E-2</c:v>
                </c:pt>
                <c:pt idx="22">
                  <c:v>9.99999999997669E-2</c:v>
                </c:pt>
                <c:pt idx="23">
                  <c:v>-4.9999999999883499E-2</c:v>
                </c:pt>
                <c:pt idx="24">
                  <c:v>-9.99999999997669E-2</c:v>
                </c:pt>
                <c:pt idx="25">
                  <c:v>0.19999999999953399</c:v>
                </c:pt>
                <c:pt idx="26">
                  <c:v>-0.24999999999941699</c:v>
                </c:pt>
                <c:pt idx="27">
                  <c:v>9.99999999997669E-2</c:v>
                </c:pt>
                <c:pt idx="28">
                  <c:v>0</c:v>
                </c:pt>
                <c:pt idx="29">
                  <c:v>-4.9999999999883499E-2</c:v>
                </c:pt>
                <c:pt idx="30">
                  <c:v>9.99999999997669E-2</c:v>
                </c:pt>
                <c:pt idx="31">
                  <c:v>1.6666666666627802E-2</c:v>
                </c:pt>
                <c:pt idx="32">
                  <c:v>-1.6666666666775899E-2</c:v>
                </c:pt>
              </c:numCache>
            </c:numRef>
          </c:val>
        </c:ser>
        <c:ser>
          <c:idx val="2"/>
          <c:order val="2"/>
          <c:tx>
            <c:strRef>
              <c:f>'zk80+635'!$AC$4:$AE$4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'zk80+635'!$S$6:$S$49</c:f>
              <c:numCache>
                <c:formatCode>m"月"d"日";@</c:formatCode>
                <c:ptCount val="44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'zk80+635'!$AE$6:$AE$46</c:f>
              <c:numCache>
                <c:formatCode>0.00_ </c:formatCode>
                <c:ptCount val="41"/>
                <c:pt idx="0">
                  <c:v>0</c:v>
                </c:pt>
                <c:pt idx="1">
                  <c:v>-9.99999999997669E-2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9.99999999997669E-2</c:v>
                </c:pt>
                <c:pt idx="5">
                  <c:v>-0.50000000000061096</c:v>
                </c:pt>
                <c:pt idx="6">
                  <c:v>-0.19999999999953399</c:v>
                </c:pt>
                <c:pt idx="7">
                  <c:v>9.99999999997669E-2</c:v>
                </c:pt>
                <c:pt idx="8">
                  <c:v>-0.50000000000061096</c:v>
                </c:pt>
                <c:pt idx="9">
                  <c:v>-0.19999999999953399</c:v>
                </c:pt>
                <c:pt idx="10">
                  <c:v>-0.60000000000037801</c:v>
                </c:pt>
                <c:pt idx="11">
                  <c:v>0.10000000000154299</c:v>
                </c:pt>
                <c:pt idx="12">
                  <c:v>-0.20000000000130999</c:v>
                </c:pt>
                <c:pt idx="13">
                  <c:v>-0.19999999999953399</c:v>
                </c:pt>
                <c:pt idx="14">
                  <c:v>-0.39999999999906799</c:v>
                </c:pt>
                <c:pt idx="15">
                  <c:v>0</c:v>
                </c:pt>
                <c:pt idx="16">
                  <c:v>-0.100000000000655</c:v>
                </c:pt>
                <c:pt idx="17">
                  <c:v>-4.9999999999883499E-2</c:v>
                </c:pt>
                <c:pt idx="18">
                  <c:v>9.99999999997669E-2</c:v>
                </c:pt>
                <c:pt idx="19">
                  <c:v>-0.24999999999941699</c:v>
                </c:pt>
                <c:pt idx="20">
                  <c:v>-0.20000000000042201</c:v>
                </c:pt>
                <c:pt idx="21">
                  <c:v>4.9999999999883499E-2</c:v>
                </c:pt>
                <c:pt idx="22">
                  <c:v>4.9999999999883499E-2</c:v>
                </c:pt>
                <c:pt idx="23">
                  <c:v>5.0000000000771601E-2</c:v>
                </c:pt>
                <c:pt idx="24">
                  <c:v>-0.15000000000053901</c:v>
                </c:pt>
                <c:pt idx="25">
                  <c:v>0.15000000000053901</c:v>
                </c:pt>
                <c:pt idx="26">
                  <c:v>0.14999999999965</c:v>
                </c:pt>
                <c:pt idx="27">
                  <c:v>0.25000000000030598</c:v>
                </c:pt>
                <c:pt idx="28">
                  <c:v>-0.20000000000042201</c:v>
                </c:pt>
                <c:pt idx="29">
                  <c:v>4.9999999999883499E-2</c:v>
                </c:pt>
                <c:pt idx="30">
                  <c:v>0.25000000000030598</c:v>
                </c:pt>
                <c:pt idx="31">
                  <c:v>-6.66666666668074E-2</c:v>
                </c:pt>
              </c:numCache>
            </c:numRef>
          </c:val>
        </c:ser>
        <c:dLbls/>
        <c:marker val="1"/>
        <c:axId val="401158144"/>
        <c:axId val="401161216"/>
      </c:lineChart>
      <c:dateAx>
        <c:axId val="40115814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161216"/>
        <c:crossesAt val="-50"/>
        <c:auto val="1"/>
        <c:lblOffset val="100"/>
        <c:baseTimeUnit val="days"/>
        <c:majorUnit val="5"/>
        <c:majorTimeUnit val="days"/>
      </c:dateAx>
      <c:valAx>
        <c:axId val="40116121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15814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k80+635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4011260862330899"/>
          <c:y val="0.232226624538175"/>
          <c:w val="0.7622959706723782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'zk80+635'!$C$4:$G$4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'zk80+635'!$A$6:$A$42</c:f>
              <c:numCache>
                <c:formatCode>m"月"d"日";@</c:formatCode>
                <c:ptCount val="37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'zk80+635'!$F$6:$F$37</c:f>
              <c:numCache>
                <c:formatCode>0.00_ </c:formatCode>
                <c:ptCount val="32"/>
                <c:pt idx="0">
                  <c:v>0</c:v>
                </c:pt>
                <c:pt idx="1">
                  <c:v>0.199999999949796</c:v>
                </c:pt>
                <c:pt idx="2">
                  <c:v>0.199999999949796</c:v>
                </c:pt>
                <c:pt idx="3">
                  <c:v>-0.20000000006348301</c:v>
                </c:pt>
                <c:pt idx="4">
                  <c:v>-0.49999999998817701</c:v>
                </c:pt>
                <c:pt idx="5">
                  <c:v>-0.70000000005165897</c:v>
                </c:pt>
                <c:pt idx="6">
                  <c:v>-0.90000000000145497</c:v>
                </c:pt>
                <c:pt idx="7">
                  <c:v>-0.80000000002655702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-1.4999999999645299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-2.39999999996598</c:v>
                </c:pt>
                <c:pt idx="15">
                  <c:v>-2.70000000000437</c:v>
                </c:pt>
                <c:pt idx="16">
                  <c:v>-2.8999999999541601</c:v>
                </c:pt>
                <c:pt idx="17">
                  <c:v>-2.79999999997926</c:v>
                </c:pt>
                <c:pt idx="18">
                  <c:v>-3.0000000000427498</c:v>
                </c:pt>
                <c:pt idx="19">
                  <c:v>-3.2999999999674401</c:v>
                </c:pt>
                <c:pt idx="20">
                  <c:v>-3.40000000005602</c:v>
                </c:pt>
                <c:pt idx="21">
                  <c:v>-3.5000000000309202</c:v>
                </c:pt>
                <c:pt idx="22">
                  <c:v>-3.40000000005602</c:v>
                </c:pt>
                <c:pt idx="23">
                  <c:v>-3.6000000000058199</c:v>
                </c:pt>
                <c:pt idx="24">
                  <c:v>-3.69999999998072</c:v>
                </c:pt>
                <c:pt idx="25">
                  <c:v>-3.7999999999556202</c:v>
                </c:pt>
                <c:pt idx="26">
                  <c:v>-3.5000000000309202</c:v>
                </c:pt>
                <c:pt idx="27">
                  <c:v>-3.9000000000442001</c:v>
                </c:pt>
                <c:pt idx="28">
                  <c:v>-3.69999999998072</c:v>
                </c:pt>
                <c:pt idx="29">
                  <c:v>-4.0000000000191003</c:v>
                </c:pt>
                <c:pt idx="30">
                  <c:v>-4.099999999994</c:v>
                </c:pt>
                <c:pt idx="31">
                  <c:v>-4.3000000000574801</c:v>
                </c:pt>
              </c:numCache>
            </c:numRef>
          </c:val>
        </c:ser>
        <c:ser>
          <c:idx val="1"/>
          <c:order val="1"/>
          <c:tx>
            <c:strRef>
              <c:f>'zk80+635'!$H$4:$L$4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'zk80+635'!$A$6:$A$42</c:f>
              <c:numCache>
                <c:formatCode>m"月"d"日";@</c:formatCode>
                <c:ptCount val="37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'zk80+635'!$K$6:$K$38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-0.20000000006348301</c:v>
                </c:pt>
                <c:pt idx="2">
                  <c:v>-0.10000000008858501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-1.1000000000649399</c:v>
                </c:pt>
                <c:pt idx="6">
                  <c:v>-1.2000000000398401</c:v>
                </c:pt>
                <c:pt idx="7">
                  <c:v>-1.4000000001033199</c:v>
                </c:pt>
                <c:pt idx="8">
                  <c:v>-1.30000000001473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-2.5000000000545701</c:v>
                </c:pt>
                <c:pt idx="13">
                  <c:v>-2.8000000000929499</c:v>
                </c:pt>
                <c:pt idx="14">
                  <c:v>-2.9000000000678501</c:v>
                </c:pt>
                <c:pt idx="15">
                  <c:v>-3.40000000005602</c:v>
                </c:pt>
                <c:pt idx="16">
                  <c:v>-3.70000000009441</c:v>
                </c:pt>
                <c:pt idx="17">
                  <c:v>-3.30000000008113</c:v>
                </c:pt>
                <c:pt idx="18">
                  <c:v>-3.5000000000309202</c:v>
                </c:pt>
                <c:pt idx="19">
                  <c:v>-4.3000000000574801</c:v>
                </c:pt>
                <c:pt idx="20">
                  <c:v>-4.0000000000191003</c:v>
                </c:pt>
                <c:pt idx="21">
                  <c:v>-4.2000000000825803</c:v>
                </c:pt>
                <c:pt idx="22">
                  <c:v>-4.6000000000958599</c:v>
                </c:pt>
                <c:pt idx="23">
                  <c:v>-4.9000000000205501</c:v>
                </c:pt>
                <c:pt idx="24">
                  <c:v>-5.0000000001091403</c:v>
                </c:pt>
                <c:pt idx="25">
                  <c:v>-5.4000000000087303</c:v>
                </c:pt>
                <c:pt idx="26">
                  <c:v>-5.10000000008404</c:v>
                </c:pt>
                <c:pt idx="27">
                  <c:v>-4.6000000000958599</c:v>
                </c:pt>
                <c:pt idx="28">
                  <c:v>-4.8000000000456602</c:v>
                </c:pt>
                <c:pt idx="29">
                  <c:v>-4.7000000000707596</c:v>
                </c:pt>
                <c:pt idx="30">
                  <c:v>-4.2000000000825803</c:v>
                </c:pt>
                <c:pt idx="31">
                  <c:v>-3.8000000000692999</c:v>
                </c:pt>
                <c:pt idx="32">
                  <c:v>1.66666666719569E-2</c:v>
                </c:pt>
              </c:numCache>
            </c:numRef>
          </c:val>
        </c:ser>
        <c:ser>
          <c:idx val="2"/>
          <c:order val="2"/>
          <c:tx>
            <c:strRef>
              <c:f>'zk80+635'!$M$4:$Q$4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'zk80+635'!$A$6:$A$42</c:f>
              <c:numCache>
                <c:formatCode>m"月"d"日";@</c:formatCode>
                <c:ptCount val="37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  <c:pt idx="20">
                  <c:v>44991</c:v>
                </c:pt>
                <c:pt idx="21">
                  <c:v>44993</c:v>
                </c:pt>
                <c:pt idx="22">
                  <c:v>44995</c:v>
                </c:pt>
                <c:pt idx="23">
                  <c:v>44997</c:v>
                </c:pt>
                <c:pt idx="24">
                  <c:v>44999</c:v>
                </c:pt>
                <c:pt idx="25">
                  <c:v>45001</c:v>
                </c:pt>
                <c:pt idx="26">
                  <c:v>45003</c:v>
                </c:pt>
                <c:pt idx="27">
                  <c:v>45005</c:v>
                </c:pt>
                <c:pt idx="28">
                  <c:v>45007</c:v>
                </c:pt>
                <c:pt idx="29">
                  <c:v>45009</c:v>
                </c:pt>
                <c:pt idx="30">
                  <c:v>45011</c:v>
                </c:pt>
                <c:pt idx="31">
                  <c:v>45017</c:v>
                </c:pt>
              </c:numCache>
            </c:numRef>
          </c:cat>
          <c:val>
            <c:numRef>
              <c:f>'zk80+635'!$P$6:$P$38</c:f>
              <c:numCache>
                <c:formatCode>0.00_ </c:formatCode>
                <c:ptCount val="33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-0.49999999998817701</c:v>
                </c:pt>
                <c:pt idx="5">
                  <c:v>-0.59999999996307496</c:v>
                </c:pt>
                <c:pt idx="6">
                  <c:v>-0.90000000000145497</c:v>
                </c:pt>
                <c:pt idx="7">
                  <c:v>-1.09999999995125</c:v>
                </c:pt>
                <c:pt idx="8">
                  <c:v>-1.30000000001473</c:v>
                </c:pt>
                <c:pt idx="9">
                  <c:v>-1.2000000000398401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-1.9999999999527101</c:v>
                </c:pt>
                <c:pt idx="13">
                  <c:v>-2.1000000000412902</c:v>
                </c:pt>
                <c:pt idx="14">
                  <c:v>-2.2000000000161899</c:v>
                </c:pt>
                <c:pt idx="15">
                  <c:v>-2.2999999999910901</c:v>
                </c:pt>
                <c:pt idx="16">
                  <c:v>-2.39999999996598</c:v>
                </c:pt>
                <c:pt idx="17">
                  <c:v>-2.6000000000294698</c:v>
                </c:pt>
                <c:pt idx="18">
                  <c:v>-2.79999999997926</c:v>
                </c:pt>
                <c:pt idx="19">
                  <c:v>-2.6000000000294698</c:v>
                </c:pt>
                <c:pt idx="20">
                  <c:v>-2.4999999999408802</c:v>
                </c:pt>
                <c:pt idx="21">
                  <c:v>-2.8999999999541601</c:v>
                </c:pt>
                <c:pt idx="22">
                  <c:v>-2.70000000000437</c:v>
                </c:pt>
                <c:pt idx="23">
                  <c:v>-3.0000000000427498</c:v>
                </c:pt>
                <c:pt idx="24">
                  <c:v>-2.79999999997926</c:v>
                </c:pt>
                <c:pt idx="25">
                  <c:v>-2.4999999999408802</c:v>
                </c:pt>
                <c:pt idx="26">
                  <c:v>-2.39999999996598</c:v>
                </c:pt>
                <c:pt idx="27">
                  <c:v>-2.70000000000437</c:v>
                </c:pt>
                <c:pt idx="28">
                  <c:v>-2.79999999997926</c:v>
                </c:pt>
                <c:pt idx="29">
                  <c:v>-2.70000000000437</c:v>
                </c:pt>
                <c:pt idx="30">
                  <c:v>-2.6000000000294698</c:v>
                </c:pt>
                <c:pt idx="31">
                  <c:v>-2.4999999999408802</c:v>
                </c:pt>
              </c:numCache>
            </c:numRef>
          </c:val>
        </c:ser>
        <c:dLbls/>
        <c:marker val="1"/>
        <c:axId val="401269120"/>
        <c:axId val="401271424"/>
      </c:lineChart>
      <c:lineChart>
        <c:grouping val="standard"/>
        <c:ser>
          <c:idx val="3"/>
          <c:order val="3"/>
          <c:tx>
            <c:strRef>
              <c:f>'zk80+635'!$AG$3:$AG$5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'zk80+635'!$A$6:$A$25</c:f>
              <c:numCache>
                <c:formatCode>m"月"d"日";@</c:formatCode>
                <c:ptCount val="20"/>
                <c:pt idx="0">
                  <c:v>44965</c:v>
                </c:pt>
                <c:pt idx="1">
                  <c:v>44966</c:v>
                </c:pt>
                <c:pt idx="2">
                  <c:v>44967</c:v>
                </c:pt>
                <c:pt idx="3">
                  <c:v>44968</c:v>
                </c:pt>
                <c:pt idx="4">
                  <c:v>44969</c:v>
                </c:pt>
                <c:pt idx="5">
                  <c:v>44970</c:v>
                </c:pt>
                <c:pt idx="6">
                  <c:v>44971</c:v>
                </c:pt>
                <c:pt idx="7">
                  <c:v>44972</c:v>
                </c:pt>
                <c:pt idx="8">
                  <c:v>44973</c:v>
                </c:pt>
                <c:pt idx="9">
                  <c:v>44974</c:v>
                </c:pt>
                <c:pt idx="10">
                  <c:v>44975</c:v>
                </c:pt>
                <c:pt idx="11">
                  <c:v>44976</c:v>
                </c:pt>
                <c:pt idx="12">
                  <c:v>44977</c:v>
                </c:pt>
                <c:pt idx="13">
                  <c:v>44978</c:v>
                </c:pt>
                <c:pt idx="14">
                  <c:v>44979</c:v>
                </c:pt>
                <c:pt idx="15">
                  <c:v>44981</c:v>
                </c:pt>
                <c:pt idx="16">
                  <c:v>44983</c:v>
                </c:pt>
                <c:pt idx="17">
                  <c:v>44985</c:v>
                </c:pt>
                <c:pt idx="18">
                  <c:v>44987</c:v>
                </c:pt>
                <c:pt idx="19">
                  <c:v>44989</c:v>
                </c:pt>
              </c:numCache>
            </c:numRef>
          </c:cat>
          <c:val>
            <c:numRef>
              <c:f>'zk80+635'!$AG$6:$AG$39</c:f>
              <c:numCache>
                <c:formatCode>0.0_ </c:formatCode>
                <c:ptCount val="34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53</c:v>
                </c:pt>
                <c:pt idx="18">
                  <c:v>56</c:v>
                </c:pt>
                <c:pt idx="19">
                  <c:v>59</c:v>
                </c:pt>
                <c:pt idx="20">
                  <c:v>65</c:v>
                </c:pt>
                <c:pt idx="21">
                  <c:v>71</c:v>
                </c:pt>
                <c:pt idx="22">
                  <c:v>77</c:v>
                </c:pt>
                <c:pt idx="23">
                  <c:v>83</c:v>
                </c:pt>
                <c:pt idx="24">
                  <c:v>89</c:v>
                </c:pt>
                <c:pt idx="25">
                  <c:v>95</c:v>
                </c:pt>
                <c:pt idx="26">
                  <c:v>101</c:v>
                </c:pt>
                <c:pt idx="27">
                  <c:v>107</c:v>
                </c:pt>
                <c:pt idx="28">
                  <c:v>113</c:v>
                </c:pt>
                <c:pt idx="29">
                  <c:v>119</c:v>
                </c:pt>
                <c:pt idx="30">
                  <c:v>125</c:v>
                </c:pt>
                <c:pt idx="31">
                  <c:v>131</c:v>
                </c:pt>
              </c:numCache>
            </c:numRef>
          </c:val>
        </c:ser>
        <c:dLbls/>
        <c:marker val="1"/>
        <c:axId val="401015552"/>
        <c:axId val="401017088"/>
      </c:lineChart>
      <c:dateAx>
        <c:axId val="4012691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271424"/>
        <c:crossesAt val="-50"/>
        <c:auto val="1"/>
        <c:lblOffset val="100"/>
        <c:baseTimeUnit val="days"/>
        <c:majorUnit val="5"/>
        <c:majorTimeUnit val="days"/>
      </c:dateAx>
      <c:valAx>
        <c:axId val="401271424"/>
        <c:scaling>
          <c:orientation val="minMax"/>
          <c:max val="1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269120"/>
        <c:crosses val="autoZero"/>
        <c:crossBetween val="midCat"/>
        <c:majorUnit val="1.4"/>
        <c:minorUnit val="0.5"/>
      </c:valAx>
      <c:dateAx>
        <c:axId val="40101555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1017088"/>
        <c:crosses val="autoZero"/>
        <c:auto val="1"/>
        <c:lblOffset val="100"/>
        <c:baseTimeUnit val="days"/>
      </c:dateAx>
      <c:valAx>
        <c:axId val="40101708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01555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'zk80+651'!$U$4:$W$4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'zk80+651'!$S$6:$S$35</c:f>
              <c:numCache>
                <c:formatCode>m"月"d"日";@</c:formatCode>
                <c:ptCount val="30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'zk80+651'!$V$6:$V$38</c:f>
              <c:numCache>
                <c:formatCode>0.00_ </c:formatCode>
                <c:ptCount val="33"/>
                <c:pt idx="0">
                  <c:v>0</c:v>
                </c:pt>
                <c:pt idx="1">
                  <c:v>-0.29999999999930099</c:v>
                </c:pt>
                <c:pt idx="2">
                  <c:v>-0.49999999999883499</c:v>
                </c:pt>
                <c:pt idx="3">
                  <c:v>-0.39999999999906799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-1.0999999999992101</c:v>
                </c:pt>
                <c:pt idx="7">
                  <c:v>-1.1999999999989801</c:v>
                </c:pt>
                <c:pt idx="8">
                  <c:v>-0.999999999999446</c:v>
                </c:pt>
                <c:pt idx="9">
                  <c:v>-1.39999999999851</c:v>
                </c:pt>
                <c:pt idx="10">
                  <c:v>-1.50000000000006</c:v>
                </c:pt>
                <c:pt idx="11">
                  <c:v>-1.1999999999989801</c:v>
                </c:pt>
                <c:pt idx="12">
                  <c:v>-1.6999999999995901</c:v>
                </c:pt>
                <c:pt idx="13">
                  <c:v>-1.7999999999993599</c:v>
                </c:pt>
                <c:pt idx="14">
                  <c:v>-1.8999999999991199</c:v>
                </c:pt>
                <c:pt idx="15">
                  <c:v>-1.59999999999982</c:v>
                </c:pt>
                <c:pt idx="16">
                  <c:v>-2.0999999999986598</c:v>
                </c:pt>
                <c:pt idx="17">
                  <c:v>-2.1999999999984299</c:v>
                </c:pt>
                <c:pt idx="18">
                  <c:v>-2.2999999999999701</c:v>
                </c:pt>
                <c:pt idx="19">
                  <c:v>-2.1999999999984299</c:v>
                </c:pt>
                <c:pt idx="20">
                  <c:v>-2.2999999999999701</c:v>
                </c:pt>
                <c:pt idx="21">
                  <c:v>-2.4999999999995</c:v>
                </c:pt>
                <c:pt idx="22">
                  <c:v>-2.59999999999927</c:v>
                </c:pt>
                <c:pt idx="23">
                  <c:v>-2.1999999999984299</c:v>
                </c:pt>
                <c:pt idx="24">
                  <c:v>-2.2999999999999701</c:v>
                </c:pt>
                <c:pt idx="25">
                  <c:v>-2.4999999999995</c:v>
                </c:pt>
                <c:pt idx="26">
                  <c:v>-1.99999999999889</c:v>
                </c:pt>
                <c:pt idx="27">
                  <c:v>-2.0999999999986598</c:v>
                </c:pt>
                <c:pt idx="28">
                  <c:v>-1.7999999999993599</c:v>
                </c:pt>
                <c:pt idx="29">
                  <c:v>-1.8999999999991199</c:v>
                </c:pt>
                <c:pt idx="30">
                  <c:v>0.40000000000084401</c:v>
                </c:pt>
              </c:numCache>
            </c:numRef>
          </c:val>
        </c:ser>
        <c:ser>
          <c:idx val="1"/>
          <c:order val="1"/>
          <c:tx>
            <c:strRef>
              <c:f>'zk80+651'!$Y$4:$AA$4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'zk80+651'!$S$6:$S$35</c:f>
              <c:numCache>
                <c:formatCode>m"月"d"日";@</c:formatCode>
                <c:ptCount val="30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'zk80+651'!$Z$6:$Z$39</c:f>
              <c:numCache>
                <c:formatCode>0.00_ </c:formatCode>
                <c:ptCount val="34"/>
                <c:pt idx="0">
                  <c:v>0</c:v>
                </c:pt>
                <c:pt idx="1">
                  <c:v>-0.59999999999860198</c:v>
                </c:pt>
                <c:pt idx="2">
                  <c:v>-0.49999999999883499</c:v>
                </c:pt>
                <c:pt idx="3">
                  <c:v>-0.799999999999912</c:v>
                </c:pt>
                <c:pt idx="4">
                  <c:v>-0.999999999999446</c:v>
                </c:pt>
                <c:pt idx="5">
                  <c:v>-1.1999999999989801</c:v>
                </c:pt>
                <c:pt idx="6">
                  <c:v>-1.2999999999987499</c:v>
                </c:pt>
                <c:pt idx="7">
                  <c:v>-1.7999999999993599</c:v>
                </c:pt>
                <c:pt idx="8">
                  <c:v>-2.0999999999986598</c:v>
                </c:pt>
                <c:pt idx="9">
                  <c:v>-2.3999999999997401</c:v>
                </c:pt>
                <c:pt idx="10">
                  <c:v>-2.4999999999995</c:v>
                </c:pt>
                <c:pt idx="11">
                  <c:v>-3.0000000000001101</c:v>
                </c:pt>
                <c:pt idx="12">
                  <c:v>-3.2999999999994101</c:v>
                </c:pt>
                <c:pt idx="13">
                  <c:v>-3.3999999999991801</c:v>
                </c:pt>
                <c:pt idx="14">
                  <c:v>-3.8999999999997899</c:v>
                </c:pt>
                <c:pt idx="15">
                  <c:v>-4.5000000000001696</c:v>
                </c:pt>
                <c:pt idx="16">
                  <c:v>-4.5000000000001696</c:v>
                </c:pt>
                <c:pt idx="17">
                  <c:v>-4.7999999999994696</c:v>
                </c:pt>
                <c:pt idx="18">
                  <c:v>-5.0999999999987704</c:v>
                </c:pt>
                <c:pt idx="19">
                  <c:v>-5.2000000000003199</c:v>
                </c:pt>
                <c:pt idx="20">
                  <c:v>-5.4999999999996199</c:v>
                </c:pt>
                <c:pt idx="21">
                  <c:v>-5.6999999999991502</c:v>
                </c:pt>
                <c:pt idx="22">
                  <c:v>-5.3999999999998503</c:v>
                </c:pt>
                <c:pt idx="23">
                  <c:v>-5.2000000000003199</c:v>
                </c:pt>
                <c:pt idx="24">
                  <c:v>-5.4999999999996199</c:v>
                </c:pt>
                <c:pt idx="25">
                  <c:v>-5.6999999999991502</c:v>
                </c:pt>
                <c:pt idx="26">
                  <c:v>-5.3999999999998503</c:v>
                </c:pt>
                <c:pt idx="27">
                  <c:v>-5.3000000000000798</c:v>
                </c:pt>
                <c:pt idx="28">
                  <c:v>-4.9999999999990097</c:v>
                </c:pt>
                <c:pt idx="29">
                  <c:v>-5.0999999999987704</c:v>
                </c:pt>
                <c:pt idx="30">
                  <c:v>-3.30000000000119</c:v>
                </c:pt>
              </c:numCache>
            </c:numRef>
          </c:val>
        </c:ser>
        <c:ser>
          <c:idx val="2"/>
          <c:order val="2"/>
          <c:tx>
            <c:strRef>
              <c:f>'zk80+651'!$AC$4:$AE$4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'zk80+651'!$S$6:$S$35</c:f>
              <c:numCache>
                <c:formatCode>m"月"d"日";@</c:formatCode>
                <c:ptCount val="30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'zk80+651'!$AD$6:$AD$43</c:f>
              <c:numCache>
                <c:formatCode>0.00_ </c:formatCode>
                <c:ptCount val="38"/>
                <c:pt idx="0">
                  <c:v>0</c:v>
                </c:pt>
                <c:pt idx="1">
                  <c:v>-0.30000000000107702</c:v>
                </c:pt>
                <c:pt idx="2">
                  <c:v>-0.50000000000061096</c:v>
                </c:pt>
                <c:pt idx="3">
                  <c:v>-0.60000000000037801</c:v>
                </c:pt>
                <c:pt idx="4">
                  <c:v>-1.0000000000012199</c:v>
                </c:pt>
                <c:pt idx="5">
                  <c:v>-0.90000000000145497</c:v>
                </c:pt>
                <c:pt idx="6">
                  <c:v>-1.10000000000099</c:v>
                </c:pt>
                <c:pt idx="7">
                  <c:v>-1.3000000000005201</c:v>
                </c:pt>
                <c:pt idx="8">
                  <c:v>-1.4000000000002899</c:v>
                </c:pt>
                <c:pt idx="9">
                  <c:v>-1.70000000000137</c:v>
                </c:pt>
                <c:pt idx="10">
                  <c:v>-1.9000000000009001</c:v>
                </c:pt>
                <c:pt idx="11">
                  <c:v>-2.0000000000006701</c:v>
                </c:pt>
                <c:pt idx="12">
                  <c:v>-2.2999999999999701</c:v>
                </c:pt>
                <c:pt idx="13">
                  <c:v>-2.5000000000012799</c:v>
                </c:pt>
                <c:pt idx="14">
                  <c:v>-2.0000000000006701</c:v>
                </c:pt>
                <c:pt idx="15">
                  <c:v>-2.9000000000003499</c:v>
                </c:pt>
                <c:pt idx="16">
                  <c:v>-3.0999999999998802</c:v>
                </c:pt>
                <c:pt idx="17">
                  <c:v>-3.30000000000119</c:v>
                </c:pt>
                <c:pt idx="18">
                  <c:v>-3.0000000000001101</c:v>
                </c:pt>
                <c:pt idx="19">
                  <c:v>-3.70000000000026</c:v>
                </c:pt>
                <c:pt idx="20">
                  <c:v>-4.1000000000011001</c:v>
                </c:pt>
                <c:pt idx="21">
                  <c:v>-3.8999999999997899</c:v>
                </c:pt>
                <c:pt idx="22">
                  <c:v>-4.3000000000006402</c:v>
                </c:pt>
                <c:pt idx="23">
                  <c:v>-4.2000000000008697</c:v>
                </c:pt>
                <c:pt idx="24">
                  <c:v>-3.70000000000026</c:v>
                </c:pt>
                <c:pt idx="25">
                  <c:v>-4.0000000000013403</c:v>
                </c:pt>
                <c:pt idx="26">
                  <c:v>-4.1000000000011001</c:v>
                </c:pt>
                <c:pt idx="27">
                  <c:v>-3.5000000000007199</c:v>
                </c:pt>
                <c:pt idx="28">
                  <c:v>-3.80000000000003</c:v>
                </c:pt>
                <c:pt idx="29">
                  <c:v>-3.30000000000119</c:v>
                </c:pt>
              </c:numCache>
            </c:numRef>
          </c:val>
        </c:ser>
        <c:dLbls/>
        <c:marker val="1"/>
        <c:axId val="401313152"/>
        <c:axId val="401319808"/>
      </c:lineChart>
      <c:lineChart>
        <c:grouping val="standard"/>
        <c:ser>
          <c:idx val="3"/>
          <c:order val="3"/>
          <c:tx>
            <c:strRef>
              <c:f>'zk80+651'!$AG$3:$AG$5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'zk80+651'!$S$6:$S$30</c:f>
              <c:numCache>
                <c:formatCode>m"月"d"日";@</c:formatCode>
                <c:ptCount val="25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</c:numCache>
            </c:numRef>
          </c:cat>
          <c:val>
            <c:numRef>
              <c:f>'zk80+651'!$AG$6:$AG$37</c:f>
              <c:numCache>
                <c:formatCode>0.0_ </c:formatCode>
                <c:ptCount val="32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62</c:v>
                </c:pt>
                <c:pt idx="20">
                  <c:v>67</c:v>
                </c:pt>
                <c:pt idx="21">
                  <c:v>73</c:v>
                </c:pt>
                <c:pt idx="22">
                  <c:v>79</c:v>
                </c:pt>
                <c:pt idx="23">
                  <c:v>85</c:v>
                </c:pt>
                <c:pt idx="24">
                  <c:v>91</c:v>
                </c:pt>
                <c:pt idx="25">
                  <c:v>97</c:v>
                </c:pt>
                <c:pt idx="26">
                  <c:v>103</c:v>
                </c:pt>
                <c:pt idx="27">
                  <c:v>109</c:v>
                </c:pt>
                <c:pt idx="28">
                  <c:v>115</c:v>
                </c:pt>
                <c:pt idx="29">
                  <c:v>127</c:v>
                </c:pt>
              </c:numCache>
            </c:numRef>
          </c:val>
        </c:ser>
        <c:dLbls/>
        <c:marker val="1"/>
        <c:axId val="401342464"/>
        <c:axId val="401344000"/>
      </c:lineChart>
      <c:dateAx>
        <c:axId val="40131315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319808"/>
        <c:crossesAt val="-50"/>
        <c:auto val="1"/>
        <c:lblOffset val="100"/>
        <c:baseTimeUnit val="days"/>
        <c:majorUnit val="4"/>
        <c:majorTimeUnit val="days"/>
      </c:dateAx>
      <c:valAx>
        <c:axId val="401319808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313152"/>
        <c:crosses val="autoZero"/>
        <c:crossBetween val="midCat"/>
        <c:majorUnit val="1.6"/>
        <c:minorUnit val="0.1"/>
      </c:valAx>
      <c:dateAx>
        <c:axId val="40134246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1344000"/>
        <c:crosses val="autoZero"/>
        <c:auto val="1"/>
        <c:lblOffset val="100"/>
        <c:baseTimeUnit val="days"/>
      </c:dateAx>
      <c:valAx>
        <c:axId val="40134400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34246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'zk80+651'!$C$4:$G$4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'zk80+651'!$A$6:$A$44</c:f>
              <c:numCache>
                <c:formatCode>m"月"d"日";@</c:formatCode>
                <c:ptCount val="39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'zk80+651'!$G$6:$G$40</c:f>
              <c:numCache>
                <c:formatCode>0.00_ </c:formatCode>
                <c:ptCount val="35"/>
                <c:pt idx="0">
                  <c:v>0</c:v>
                </c:pt>
                <c:pt idx="1">
                  <c:v>0.20000000006348301</c:v>
                </c:pt>
                <c:pt idx="2">
                  <c:v>-0.49999999998817701</c:v>
                </c:pt>
                <c:pt idx="3">
                  <c:v>-0.20000000006348301</c:v>
                </c:pt>
                <c:pt idx="4">
                  <c:v>-0.40000000001327901</c:v>
                </c:pt>
                <c:pt idx="5">
                  <c:v>0.10000000008858501</c:v>
                </c:pt>
                <c:pt idx="6">
                  <c:v>-0.20000000006348301</c:v>
                </c:pt>
                <c:pt idx="7">
                  <c:v>-0.199999999949796</c:v>
                </c:pt>
                <c:pt idx="8">
                  <c:v>-0.30000000003838101</c:v>
                </c:pt>
                <c:pt idx="9">
                  <c:v>-9.9999999974897905E-2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-9.9999999974897905E-2</c:v>
                </c:pt>
                <c:pt idx="17">
                  <c:v>-0.100000000031741</c:v>
                </c:pt>
                <c:pt idx="18">
                  <c:v>5.0000000044292399E-2</c:v>
                </c:pt>
                <c:pt idx="19">
                  <c:v>-0.24999999999408801</c:v>
                </c:pt>
                <c:pt idx="20">
                  <c:v>-0.15000000001919001</c:v>
                </c:pt>
                <c:pt idx="21">
                  <c:v>4.9999999987449001E-2</c:v>
                </c:pt>
                <c:pt idx="22">
                  <c:v>-0.20000000000663901</c:v>
                </c:pt>
                <c:pt idx="23">
                  <c:v>0.100000000031741</c:v>
                </c:pt>
                <c:pt idx="24">
                  <c:v>0.149999999962347</c:v>
                </c:pt>
                <c:pt idx="25">
                  <c:v>-9.9999999974897905E-2</c:v>
                </c:pt>
                <c:pt idx="26">
                  <c:v>0.20000000000663901</c:v>
                </c:pt>
                <c:pt idx="27">
                  <c:v>-4.9999999987449001E-2</c:v>
                </c:pt>
                <c:pt idx="28">
                  <c:v>9.9999999974897905E-2</c:v>
                </c:pt>
                <c:pt idx="29">
                  <c:v>-2.49999999937245E-2</c:v>
                </c:pt>
                <c:pt idx="30">
                  <c:v>0.40000000001327901</c:v>
                </c:pt>
              </c:numCache>
            </c:numRef>
          </c:val>
        </c:ser>
        <c:ser>
          <c:idx val="1"/>
          <c:order val="1"/>
          <c:tx>
            <c:strRef>
              <c:f>'zk80+651'!$H$4:$L$4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'zk80+651'!$A$6:$A$44</c:f>
              <c:numCache>
                <c:formatCode>m"月"d"日";@</c:formatCode>
                <c:ptCount val="39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'zk80+651'!$L$6:$L$41</c:f>
              <c:numCache>
                <c:formatCode>0.00_ </c:formatCode>
                <c:ptCount val="36"/>
                <c:pt idx="0">
                  <c:v>0</c:v>
                </c:pt>
                <c:pt idx="1">
                  <c:v>0.10000000008858501</c:v>
                </c:pt>
                <c:pt idx="2">
                  <c:v>-0.49999999998817701</c:v>
                </c:pt>
                <c:pt idx="3">
                  <c:v>-0.10000000008858501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0.10000000008858501</c:v>
                </c:pt>
                <c:pt idx="7">
                  <c:v>-0.49999999998817701</c:v>
                </c:pt>
                <c:pt idx="8">
                  <c:v>-0.20000000006348301</c:v>
                </c:pt>
                <c:pt idx="9">
                  <c:v>0</c:v>
                </c:pt>
                <c:pt idx="10">
                  <c:v>-0.40000000001327901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-0.20000000006348301</c:v>
                </c:pt>
                <c:pt idx="15">
                  <c:v>5.0000000044292399E-2</c:v>
                </c:pt>
                <c:pt idx="16">
                  <c:v>-0.24999999999408801</c:v>
                </c:pt>
                <c:pt idx="17">
                  <c:v>-0.100000000031741</c:v>
                </c:pt>
                <c:pt idx="18">
                  <c:v>0</c:v>
                </c:pt>
                <c:pt idx="19">
                  <c:v>-0.20000000000663901</c:v>
                </c:pt>
                <c:pt idx="20">
                  <c:v>4.9999999987449001E-2</c:v>
                </c:pt>
                <c:pt idx="21">
                  <c:v>-0.149999999962347</c:v>
                </c:pt>
                <c:pt idx="22">
                  <c:v>-0.20000000000663901</c:v>
                </c:pt>
                <c:pt idx="23">
                  <c:v>0.24999999999408801</c:v>
                </c:pt>
                <c:pt idx="24">
                  <c:v>4.9999999987449001E-2</c:v>
                </c:pt>
                <c:pt idx="25">
                  <c:v>-0.149999999962347</c:v>
                </c:pt>
                <c:pt idx="26">
                  <c:v>0.149999999962347</c:v>
                </c:pt>
                <c:pt idx="27">
                  <c:v>0.100000000031741</c:v>
                </c:pt>
                <c:pt idx="28">
                  <c:v>-5.0000000044292399E-2</c:v>
                </c:pt>
                <c:pt idx="29">
                  <c:v>7.5000000009595197E-2</c:v>
                </c:pt>
              </c:numCache>
            </c:numRef>
          </c:val>
        </c:ser>
        <c:ser>
          <c:idx val="2"/>
          <c:order val="2"/>
          <c:tx>
            <c:strRef>
              <c:f>'zk80+651'!$M$4:$Q$4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'zk80+651'!$A$6:$A$44</c:f>
              <c:numCache>
                <c:formatCode>m"月"d"日";@</c:formatCode>
                <c:ptCount val="39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'zk80+651'!$Q$6:$Q$37</c:f>
              <c:numCache>
                <c:formatCode>0.00_ </c:formatCode>
                <c:ptCount val="32"/>
                <c:pt idx="0">
                  <c:v>0</c:v>
                </c:pt>
                <c:pt idx="1">
                  <c:v>0.199999999949796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-0.49999999998817701</c:v>
                </c:pt>
                <c:pt idx="5">
                  <c:v>-0.199999999949796</c:v>
                </c:pt>
                <c:pt idx="6">
                  <c:v>-0.10000000008858501</c:v>
                </c:pt>
                <c:pt idx="7">
                  <c:v>-0.29999999992469401</c:v>
                </c:pt>
                <c:pt idx="8">
                  <c:v>-0.10000000008858501</c:v>
                </c:pt>
                <c:pt idx="9">
                  <c:v>-0.29999999992469401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-9.9999999974897905E-2</c:v>
                </c:pt>
                <c:pt idx="13">
                  <c:v>-0.30000000003838101</c:v>
                </c:pt>
                <c:pt idx="14">
                  <c:v>0</c:v>
                </c:pt>
                <c:pt idx="15">
                  <c:v>-0.20000000000663901</c:v>
                </c:pt>
                <c:pt idx="16">
                  <c:v>-9.9999999974897905E-2</c:v>
                </c:pt>
                <c:pt idx="17">
                  <c:v>-5.0000000044292399E-2</c:v>
                </c:pt>
                <c:pt idx="18">
                  <c:v>-0.149999999962347</c:v>
                </c:pt>
                <c:pt idx="19">
                  <c:v>-0.100000000031741</c:v>
                </c:pt>
                <c:pt idx="20">
                  <c:v>0.15000000001919001</c:v>
                </c:pt>
                <c:pt idx="21">
                  <c:v>-0.24999999999408801</c:v>
                </c:pt>
                <c:pt idx="22">
                  <c:v>-0.15000000001919001</c:v>
                </c:pt>
                <c:pt idx="23">
                  <c:v>0.100000000031741</c:v>
                </c:pt>
                <c:pt idx="24">
                  <c:v>0.149999999962347</c:v>
                </c:pt>
                <c:pt idx="25">
                  <c:v>-9.9999999974897905E-2</c:v>
                </c:pt>
                <c:pt idx="26">
                  <c:v>4.9999999987449001E-2</c:v>
                </c:pt>
                <c:pt idx="27">
                  <c:v>0.15000000001919001</c:v>
                </c:pt>
                <c:pt idx="28">
                  <c:v>-0.20000000000663901</c:v>
                </c:pt>
                <c:pt idx="29">
                  <c:v>0.14999999999076899</c:v>
                </c:pt>
              </c:numCache>
            </c:numRef>
          </c:val>
        </c:ser>
        <c:dLbls/>
        <c:marker val="1"/>
        <c:axId val="401358208"/>
        <c:axId val="401397632"/>
      </c:lineChart>
      <c:dateAx>
        <c:axId val="4013582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397632"/>
        <c:crossesAt val="-50"/>
        <c:auto val="1"/>
        <c:lblOffset val="100"/>
        <c:baseTimeUnit val="days"/>
        <c:majorUnit val="4"/>
        <c:majorTimeUnit val="days"/>
      </c:dateAx>
      <c:valAx>
        <c:axId val="40139763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35820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'zk80+651'!$U$4:$W$4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'zk80+651'!$S$6:$S$47</c:f>
              <c:numCache>
                <c:formatCode>m"月"d"日";@</c:formatCode>
                <c:ptCount val="42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'zk80+651'!$W$6:$W$38</c:f>
              <c:numCache>
                <c:formatCode>0.00_ </c:formatCode>
                <c:ptCount val="33"/>
                <c:pt idx="0">
                  <c:v>0</c:v>
                </c:pt>
                <c:pt idx="1">
                  <c:v>0.29999999999930099</c:v>
                </c:pt>
                <c:pt idx="2">
                  <c:v>0.19999999999953399</c:v>
                </c:pt>
                <c:pt idx="3">
                  <c:v>-9.99999999997669E-2</c:v>
                </c:pt>
                <c:pt idx="4">
                  <c:v>0.40000000000084401</c:v>
                </c:pt>
                <c:pt idx="5">
                  <c:v>0.19999999999953399</c:v>
                </c:pt>
                <c:pt idx="6">
                  <c:v>9.99999999997669E-2</c:v>
                </c:pt>
                <c:pt idx="7">
                  <c:v>9.99999999997669E-2</c:v>
                </c:pt>
                <c:pt idx="8">
                  <c:v>-0.19999999999953399</c:v>
                </c:pt>
                <c:pt idx="9">
                  <c:v>0.39999999999906799</c:v>
                </c:pt>
                <c:pt idx="10">
                  <c:v>0.10000000000154299</c:v>
                </c:pt>
                <c:pt idx="11">
                  <c:v>-0.30000000000107702</c:v>
                </c:pt>
                <c:pt idx="12">
                  <c:v>0.50000000000061096</c:v>
                </c:pt>
                <c:pt idx="13">
                  <c:v>9.99999999997669E-2</c:v>
                </c:pt>
                <c:pt idx="14">
                  <c:v>9.99999999997669E-2</c:v>
                </c:pt>
                <c:pt idx="15">
                  <c:v>-0.14999999999965</c:v>
                </c:pt>
                <c:pt idx="16">
                  <c:v>0.24999999999941699</c:v>
                </c:pt>
                <c:pt idx="17">
                  <c:v>4.9999999999883499E-2</c:v>
                </c:pt>
                <c:pt idx="18">
                  <c:v>5.0000000000771601E-2</c:v>
                </c:pt>
                <c:pt idx="19">
                  <c:v>-5.0000000000771601E-2</c:v>
                </c:pt>
                <c:pt idx="20">
                  <c:v>5.0000000000771601E-2</c:v>
                </c:pt>
                <c:pt idx="21">
                  <c:v>9.99999999997669E-2</c:v>
                </c:pt>
                <c:pt idx="22">
                  <c:v>4.9999999999883499E-2</c:v>
                </c:pt>
                <c:pt idx="23">
                  <c:v>-0.20000000000042201</c:v>
                </c:pt>
                <c:pt idx="24">
                  <c:v>5.0000000000771601E-2</c:v>
                </c:pt>
                <c:pt idx="25">
                  <c:v>9.99999999997669E-2</c:v>
                </c:pt>
                <c:pt idx="26">
                  <c:v>-0.25000000000030598</c:v>
                </c:pt>
                <c:pt idx="27">
                  <c:v>4.9999999999883499E-2</c:v>
                </c:pt>
                <c:pt idx="28">
                  <c:v>-0.14999999999965</c:v>
                </c:pt>
                <c:pt idx="29">
                  <c:v>2.4999999999941701E-2</c:v>
                </c:pt>
                <c:pt idx="30">
                  <c:v>0.39999999999906799</c:v>
                </c:pt>
              </c:numCache>
            </c:numRef>
          </c:val>
        </c:ser>
        <c:ser>
          <c:idx val="1"/>
          <c:order val="1"/>
          <c:tx>
            <c:strRef>
              <c:f>'zk80+651'!$Y$4:$AA$4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'zk80+651'!$S$6:$S$47</c:f>
              <c:numCache>
                <c:formatCode>m"月"d"日";@</c:formatCode>
                <c:ptCount val="42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'zk80+651'!$AA$6:$AA$37</c:f>
              <c:numCache>
                <c:formatCode>0.00_ </c:formatCode>
                <c:ptCount val="32"/>
                <c:pt idx="0">
                  <c:v>0</c:v>
                </c:pt>
                <c:pt idx="1">
                  <c:v>-0.59999999999860198</c:v>
                </c:pt>
                <c:pt idx="2">
                  <c:v>9.99999999997669E-2</c:v>
                </c:pt>
                <c:pt idx="3">
                  <c:v>-0.30000000000107702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-9.99999999997669E-2</c:v>
                </c:pt>
                <c:pt idx="7">
                  <c:v>-0.50000000000061096</c:v>
                </c:pt>
                <c:pt idx="8">
                  <c:v>-0.29999999999930099</c:v>
                </c:pt>
                <c:pt idx="9">
                  <c:v>-0.30000000000107702</c:v>
                </c:pt>
                <c:pt idx="10">
                  <c:v>-9.99999999997669E-2</c:v>
                </c:pt>
                <c:pt idx="11">
                  <c:v>-0.50000000000061096</c:v>
                </c:pt>
                <c:pt idx="12">
                  <c:v>-0.29999999999930099</c:v>
                </c:pt>
                <c:pt idx="13">
                  <c:v>-9.99999999997669E-2</c:v>
                </c:pt>
                <c:pt idx="14">
                  <c:v>-0.50000000000061096</c:v>
                </c:pt>
                <c:pt idx="15">
                  <c:v>-0.300000000000189</c:v>
                </c:pt>
                <c:pt idx="16">
                  <c:v>0</c:v>
                </c:pt>
                <c:pt idx="17">
                  <c:v>-0.14999999999965</c:v>
                </c:pt>
                <c:pt idx="18">
                  <c:v>-0.14999999999965</c:v>
                </c:pt>
                <c:pt idx="19">
                  <c:v>-5.0000000000771601E-2</c:v>
                </c:pt>
                <c:pt idx="20">
                  <c:v>-0.14999999999965</c:v>
                </c:pt>
                <c:pt idx="21">
                  <c:v>-9.99999999997669E-2</c:v>
                </c:pt>
                <c:pt idx="22">
                  <c:v>0.14999999999965</c:v>
                </c:pt>
                <c:pt idx="23">
                  <c:v>9.99999999997669E-2</c:v>
                </c:pt>
                <c:pt idx="24">
                  <c:v>-0.14999999999965</c:v>
                </c:pt>
                <c:pt idx="25">
                  <c:v>-9.99999999997669E-2</c:v>
                </c:pt>
                <c:pt idx="26">
                  <c:v>0.14999999999965</c:v>
                </c:pt>
                <c:pt idx="27">
                  <c:v>4.9999999999883499E-2</c:v>
                </c:pt>
                <c:pt idx="28">
                  <c:v>0.15000000000053901</c:v>
                </c:pt>
                <c:pt idx="29">
                  <c:v>-2.4999999999941701E-2</c:v>
                </c:pt>
                <c:pt idx="30">
                  <c:v>3.3333333333255603E-2</c:v>
                </c:pt>
              </c:numCache>
            </c:numRef>
          </c:val>
        </c:ser>
        <c:ser>
          <c:idx val="2"/>
          <c:order val="2"/>
          <c:tx>
            <c:strRef>
              <c:f>'zk80+651'!$AC$4:$AE$4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'zk80+651'!$S$6:$S$47</c:f>
              <c:numCache>
                <c:formatCode>m"月"d"日";@</c:formatCode>
                <c:ptCount val="42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'zk80+651'!$AE$6:$AE$44</c:f>
              <c:numCache>
                <c:formatCode>0.00_ </c:formatCode>
                <c:ptCount val="39"/>
                <c:pt idx="0">
                  <c:v>0</c:v>
                </c:pt>
                <c:pt idx="1">
                  <c:v>-0.30000000000107702</c:v>
                </c:pt>
                <c:pt idx="2">
                  <c:v>-0.19999999999953399</c:v>
                </c:pt>
                <c:pt idx="3">
                  <c:v>-9.99999999997669E-2</c:v>
                </c:pt>
                <c:pt idx="4">
                  <c:v>-0.40000000000084401</c:v>
                </c:pt>
                <c:pt idx="5">
                  <c:v>9.99999999997669E-2</c:v>
                </c:pt>
                <c:pt idx="6">
                  <c:v>-0.19999999999953399</c:v>
                </c:pt>
                <c:pt idx="7">
                  <c:v>-0.19999999999953399</c:v>
                </c:pt>
                <c:pt idx="8">
                  <c:v>-9.99999999997669E-2</c:v>
                </c:pt>
                <c:pt idx="9">
                  <c:v>-0.30000000000107702</c:v>
                </c:pt>
                <c:pt idx="10">
                  <c:v>-0.19999999999953399</c:v>
                </c:pt>
                <c:pt idx="11">
                  <c:v>-9.99999999997669E-2</c:v>
                </c:pt>
                <c:pt idx="12">
                  <c:v>-0.29999999999930099</c:v>
                </c:pt>
                <c:pt idx="13">
                  <c:v>-0.20000000000130999</c:v>
                </c:pt>
                <c:pt idx="14">
                  <c:v>0.50000000000061096</c:v>
                </c:pt>
                <c:pt idx="15">
                  <c:v>-0.44999999999983897</c:v>
                </c:pt>
                <c:pt idx="16">
                  <c:v>-9.99999999997669E-2</c:v>
                </c:pt>
                <c:pt idx="17">
                  <c:v>-0.100000000000655</c:v>
                </c:pt>
                <c:pt idx="18">
                  <c:v>0.15000000000053901</c:v>
                </c:pt>
                <c:pt idx="19">
                  <c:v>-0.35000000000007198</c:v>
                </c:pt>
                <c:pt idx="20">
                  <c:v>-0.20000000000042201</c:v>
                </c:pt>
                <c:pt idx="21">
                  <c:v>0.100000000000655</c:v>
                </c:pt>
                <c:pt idx="22">
                  <c:v>-0.20000000000042201</c:v>
                </c:pt>
                <c:pt idx="23">
                  <c:v>4.9999999999883499E-2</c:v>
                </c:pt>
                <c:pt idx="24">
                  <c:v>0.25000000000030598</c:v>
                </c:pt>
                <c:pt idx="25">
                  <c:v>-0.15000000000053901</c:v>
                </c:pt>
                <c:pt idx="26">
                  <c:v>-4.9999999999883499E-2</c:v>
                </c:pt>
                <c:pt idx="27">
                  <c:v>0.300000000000189</c:v>
                </c:pt>
                <c:pt idx="28">
                  <c:v>-0.14999999999965</c:v>
                </c:pt>
                <c:pt idx="29">
                  <c:v>0.124999999999709</c:v>
                </c:pt>
              </c:numCache>
            </c:numRef>
          </c:val>
        </c:ser>
        <c:dLbls/>
        <c:marker val="1"/>
        <c:axId val="401609856"/>
        <c:axId val="401620992"/>
      </c:lineChart>
      <c:dateAx>
        <c:axId val="4016098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620992"/>
        <c:crossesAt val="-50"/>
        <c:auto val="1"/>
        <c:lblOffset val="100"/>
        <c:baseTimeUnit val="days"/>
        <c:majorUnit val="4"/>
        <c:majorTimeUnit val="days"/>
      </c:dateAx>
      <c:valAx>
        <c:axId val="40162099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60985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k80+651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'zk80+651'!$C$4:$G$4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'zk80+651'!$A$6:$A$40</c:f>
              <c:numCache>
                <c:formatCode>m"月"d"日";@</c:formatCode>
                <c:ptCount val="35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'zk80+651'!$F$6:$F$35</c:f>
              <c:numCache>
                <c:formatCode>0.00_ </c:formatCode>
                <c:ptCount val="30"/>
                <c:pt idx="0">
                  <c:v>0</c:v>
                </c:pt>
                <c:pt idx="1">
                  <c:v>0.20000000006348301</c:v>
                </c:pt>
                <c:pt idx="2">
                  <c:v>-0.29999999992469401</c:v>
                </c:pt>
                <c:pt idx="3">
                  <c:v>-0.49999999998817701</c:v>
                </c:pt>
                <c:pt idx="4">
                  <c:v>-0.90000000000145497</c:v>
                </c:pt>
                <c:pt idx="5">
                  <c:v>-0.79999999991286996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-1.4999999999645299</c:v>
                </c:pt>
                <c:pt idx="9">
                  <c:v>-1.5999999999394301</c:v>
                </c:pt>
                <c:pt idx="10">
                  <c:v>-1.79999999988922</c:v>
                </c:pt>
                <c:pt idx="11">
                  <c:v>-1.69999999991433</c:v>
                </c:pt>
                <c:pt idx="12">
                  <c:v>-2.1999999999024999</c:v>
                </c:pt>
                <c:pt idx="13">
                  <c:v>-2.39999999996598</c:v>
                </c:pt>
                <c:pt idx="14">
                  <c:v>-2.2999999999910901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-3.1999999999925399</c:v>
                </c:pt>
                <c:pt idx="18">
                  <c:v>-3.09999999990396</c:v>
                </c:pt>
                <c:pt idx="19">
                  <c:v>-3.5999999998921299</c:v>
                </c:pt>
                <c:pt idx="20">
                  <c:v>-3.8999999999305102</c:v>
                </c:pt>
                <c:pt idx="21">
                  <c:v>-3.7999999999556202</c:v>
                </c:pt>
                <c:pt idx="22">
                  <c:v>-4.1999999999688997</c:v>
                </c:pt>
                <c:pt idx="23">
                  <c:v>-3.9999999999054099</c:v>
                </c:pt>
                <c:pt idx="24">
                  <c:v>-3.69999999998072</c:v>
                </c:pt>
                <c:pt idx="25">
                  <c:v>-3.8999999999305102</c:v>
                </c:pt>
                <c:pt idx="26">
                  <c:v>-3.49999999991724</c:v>
                </c:pt>
                <c:pt idx="27">
                  <c:v>-3.5999999998921299</c:v>
                </c:pt>
                <c:pt idx="28">
                  <c:v>-3.3999999999423398</c:v>
                </c:pt>
                <c:pt idx="29">
                  <c:v>-3.49999999991724</c:v>
                </c:pt>
              </c:numCache>
            </c:numRef>
          </c:val>
        </c:ser>
        <c:ser>
          <c:idx val="1"/>
          <c:order val="1"/>
          <c:tx>
            <c:strRef>
              <c:f>'zk80+651'!$H$4:$L$4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'zk80+651'!$A$6:$A$40</c:f>
              <c:numCache>
                <c:formatCode>m"月"d"日";@</c:formatCode>
                <c:ptCount val="35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'zk80+651'!$K$6:$K$36</c:f>
              <c:numCache>
                <c:formatCode>0.00_ </c:formatCode>
                <c:ptCount val="31"/>
                <c:pt idx="0">
                  <c:v>0</c:v>
                </c:pt>
                <c:pt idx="1">
                  <c:v>0.10000000008858501</c:v>
                </c:pt>
                <c:pt idx="2">
                  <c:v>-0.39999999989959201</c:v>
                </c:pt>
                <c:pt idx="3">
                  <c:v>-0.49999999998817701</c:v>
                </c:pt>
                <c:pt idx="4">
                  <c:v>-0.69999999993797202</c:v>
                </c:pt>
                <c:pt idx="5">
                  <c:v>-0.90000000000145497</c:v>
                </c:pt>
                <c:pt idx="6">
                  <c:v>-0.79999999991286996</c:v>
                </c:pt>
                <c:pt idx="7">
                  <c:v>-1.2999999999010501</c:v>
                </c:pt>
                <c:pt idx="8">
                  <c:v>-1.4999999999645299</c:v>
                </c:pt>
                <c:pt idx="9">
                  <c:v>-1.4999999999645299</c:v>
                </c:pt>
                <c:pt idx="10">
                  <c:v>-1.8999999999778101</c:v>
                </c:pt>
                <c:pt idx="11">
                  <c:v>-2.0999999999275998</c:v>
                </c:pt>
                <c:pt idx="12">
                  <c:v>-2.1999999999024999</c:v>
                </c:pt>
                <c:pt idx="13">
                  <c:v>-2.4999999999408802</c:v>
                </c:pt>
                <c:pt idx="14">
                  <c:v>-2.70000000000437</c:v>
                </c:pt>
                <c:pt idx="15">
                  <c:v>-2.5999999999157799</c:v>
                </c:pt>
                <c:pt idx="16">
                  <c:v>-3.09999999990396</c:v>
                </c:pt>
                <c:pt idx="17">
                  <c:v>-3.2999999999674401</c:v>
                </c:pt>
                <c:pt idx="18">
                  <c:v>-3.2999999999674401</c:v>
                </c:pt>
                <c:pt idx="19">
                  <c:v>-3.69999999998072</c:v>
                </c:pt>
                <c:pt idx="20">
                  <c:v>-3.6000000000058199</c:v>
                </c:pt>
                <c:pt idx="21">
                  <c:v>-3.8999999999305102</c:v>
                </c:pt>
                <c:pt idx="22">
                  <c:v>-4.2999999999437897</c:v>
                </c:pt>
                <c:pt idx="23">
                  <c:v>-3.7999999999556202</c:v>
                </c:pt>
                <c:pt idx="24">
                  <c:v>-3.69999999998072</c:v>
                </c:pt>
                <c:pt idx="25">
                  <c:v>-3.9999999999054099</c:v>
                </c:pt>
                <c:pt idx="26">
                  <c:v>-3.69999999998072</c:v>
                </c:pt>
                <c:pt idx="27">
                  <c:v>-3.49999999991724</c:v>
                </c:pt>
                <c:pt idx="28">
                  <c:v>-3.6000000000058199</c:v>
                </c:pt>
                <c:pt idx="29">
                  <c:v>-3.2999999999674401</c:v>
                </c:pt>
                <c:pt idx="30">
                  <c:v>3.3333333334439899E-2</c:v>
                </c:pt>
              </c:numCache>
            </c:numRef>
          </c:val>
        </c:ser>
        <c:ser>
          <c:idx val="2"/>
          <c:order val="2"/>
          <c:tx>
            <c:strRef>
              <c:f>'zk80+651'!$M$4:$Q$4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'zk80+651'!$A$6:$A$40</c:f>
              <c:numCache>
                <c:formatCode>m"月"d"日";@</c:formatCode>
                <c:ptCount val="35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  <c:pt idx="19">
                  <c:v>44995</c:v>
                </c:pt>
                <c:pt idx="20">
                  <c:v>44997</c:v>
                </c:pt>
                <c:pt idx="21">
                  <c:v>44999</c:v>
                </c:pt>
                <c:pt idx="22">
                  <c:v>45001</c:v>
                </c:pt>
                <c:pt idx="23">
                  <c:v>45003</c:v>
                </c:pt>
                <c:pt idx="24">
                  <c:v>45005</c:v>
                </c:pt>
                <c:pt idx="25">
                  <c:v>45007</c:v>
                </c:pt>
                <c:pt idx="26">
                  <c:v>45009</c:v>
                </c:pt>
                <c:pt idx="27">
                  <c:v>45011</c:v>
                </c:pt>
                <c:pt idx="28">
                  <c:v>45013</c:v>
                </c:pt>
                <c:pt idx="29">
                  <c:v>45017</c:v>
                </c:pt>
              </c:numCache>
            </c:numRef>
          </c:cat>
          <c:val>
            <c:numRef>
              <c:f>'zk80+651'!$P$6:$P$37</c:f>
              <c:numCache>
                <c:formatCode>0.00_ </c:formatCode>
                <c:ptCount val="32"/>
                <c:pt idx="0">
                  <c:v>0</c:v>
                </c:pt>
                <c:pt idx="1">
                  <c:v>0.199999999949796</c:v>
                </c:pt>
                <c:pt idx="2">
                  <c:v>-0.20000000006348301</c:v>
                </c:pt>
                <c:pt idx="3">
                  <c:v>-0.70000000005165897</c:v>
                </c:pt>
                <c:pt idx="4">
                  <c:v>-1.2000000000398401</c:v>
                </c:pt>
                <c:pt idx="5">
                  <c:v>-1.39999999998963</c:v>
                </c:pt>
                <c:pt idx="6">
                  <c:v>-1.5000000000782201</c:v>
                </c:pt>
                <c:pt idx="7">
                  <c:v>-1.8000000000029099</c:v>
                </c:pt>
                <c:pt idx="8">
                  <c:v>-1.9000000000915001</c:v>
                </c:pt>
                <c:pt idx="9">
                  <c:v>-2.2000000000161899</c:v>
                </c:pt>
                <c:pt idx="10">
                  <c:v>-2.40000000007967</c:v>
                </c:pt>
                <c:pt idx="11">
                  <c:v>-2.6000000000294698</c:v>
                </c:pt>
                <c:pt idx="12">
                  <c:v>-2.70000000000437</c:v>
                </c:pt>
                <c:pt idx="13">
                  <c:v>-3.0000000000427498</c:v>
                </c:pt>
                <c:pt idx="14">
                  <c:v>-3.0000000000427498</c:v>
                </c:pt>
                <c:pt idx="15">
                  <c:v>-3.40000000005602</c:v>
                </c:pt>
                <c:pt idx="16">
                  <c:v>-3.6000000000058199</c:v>
                </c:pt>
                <c:pt idx="17">
                  <c:v>-3.70000000009441</c:v>
                </c:pt>
                <c:pt idx="18">
                  <c:v>-4.0000000000191003</c:v>
                </c:pt>
                <c:pt idx="19">
                  <c:v>-4.2000000000825803</c:v>
                </c:pt>
                <c:pt idx="20">
                  <c:v>-3.9000000000442001</c:v>
                </c:pt>
                <c:pt idx="21">
                  <c:v>-4.4000000000323798</c:v>
                </c:pt>
                <c:pt idx="22">
                  <c:v>-4.7000000000707596</c:v>
                </c:pt>
                <c:pt idx="23">
                  <c:v>-4.5000000000072804</c:v>
                </c:pt>
                <c:pt idx="24">
                  <c:v>-4.2000000000825803</c:v>
                </c:pt>
                <c:pt idx="25">
                  <c:v>-4.4000000000323798</c:v>
                </c:pt>
                <c:pt idx="26">
                  <c:v>-4.3000000000574801</c:v>
                </c:pt>
                <c:pt idx="27">
                  <c:v>-4.0000000000191003</c:v>
                </c:pt>
                <c:pt idx="28">
                  <c:v>-4.4000000000323798</c:v>
                </c:pt>
                <c:pt idx="29">
                  <c:v>-3.8000000000692999</c:v>
                </c:pt>
              </c:numCache>
            </c:numRef>
          </c:val>
        </c:ser>
        <c:dLbls/>
        <c:marker val="1"/>
        <c:axId val="401683584"/>
        <c:axId val="401685888"/>
      </c:lineChart>
      <c:lineChart>
        <c:grouping val="standard"/>
        <c:ser>
          <c:idx val="3"/>
          <c:order val="3"/>
          <c:tx>
            <c:strRef>
              <c:f>'zk80+651'!$AG$3:$AG$5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'zk80+651'!$A$6:$A$24</c:f>
              <c:numCache>
                <c:formatCode>m"月"d"日";@</c:formatCode>
                <c:ptCount val="19"/>
                <c:pt idx="0">
                  <c:v>44971</c:v>
                </c:pt>
                <c:pt idx="1">
                  <c:v>44972</c:v>
                </c:pt>
                <c:pt idx="2">
                  <c:v>44973</c:v>
                </c:pt>
                <c:pt idx="3">
                  <c:v>44974</c:v>
                </c:pt>
                <c:pt idx="4">
                  <c:v>44975</c:v>
                </c:pt>
                <c:pt idx="5">
                  <c:v>44976</c:v>
                </c:pt>
                <c:pt idx="6">
                  <c:v>44977</c:v>
                </c:pt>
                <c:pt idx="7">
                  <c:v>44978</c:v>
                </c:pt>
                <c:pt idx="8">
                  <c:v>44979</c:v>
                </c:pt>
                <c:pt idx="9">
                  <c:v>44980</c:v>
                </c:pt>
                <c:pt idx="10">
                  <c:v>44981</c:v>
                </c:pt>
                <c:pt idx="11">
                  <c:v>44982</c:v>
                </c:pt>
                <c:pt idx="12">
                  <c:v>44983</c:v>
                </c:pt>
                <c:pt idx="13">
                  <c:v>44984</c:v>
                </c:pt>
                <c:pt idx="14">
                  <c:v>44985</c:v>
                </c:pt>
                <c:pt idx="15">
                  <c:v>44987</c:v>
                </c:pt>
                <c:pt idx="16">
                  <c:v>44989</c:v>
                </c:pt>
                <c:pt idx="17">
                  <c:v>44991</c:v>
                </c:pt>
                <c:pt idx="18">
                  <c:v>44993</c:v>
                </c:pt>
              </c:numCache>
            </c:numRef>
          </c:cat>
          <c:val>
            <c:numRef>
              <c:f>'zk80+651'!$AG$6:$AG$37</c:f>
              <c:numCache>
                <c:formatCode>0.0_ </c:formatCode>
                <c:ptCount val="32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62</c:v>
                </c:pt>
                <c:pt idx="20">
                  <c:v>67</c:v>
                </c:pt>
                <c:pt idx="21">
                  <c:v>73</c:v>
                </c:pt>
                <c:pt idx="22">
                  <c:v>79</c:v>
                </c:pt>
                <c:pt idx="23">
                  <c:v>85</c:v>
                </c:pt>
                <c:pt idx="24">
                  <c:v>91</c:v>
                </c:pt>
                <c:pt idx="25">
                  <c:v>97</c:v>
                </c:pt>
                <c:pt idx="26">
                  <c:v>103</c:v>
                </c:pt>
                <c:pt idx="27">
                  <c:v>109</c:v>
                </c:pt>
                <c:pt idx="28">
                  <c:v>115</c:v>
                </c:pt>
                <c:pt idx="29">
                  <c:v>127</c:v>
                </c:pt>
              </c:numCache>
            </c:numRef>
          </c:val>
        </c:ser>
        <c:dLbls/>
        <c:marker val="1"/>
        <c:axId val="401708544"/>
        <c:axId val="401710080"/>
      </c:lineChart>
      <c:dateAx>
        <c:axId val="40168358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685888"/>
        <c:crossesAt val="-50"/>
        <c:auto val="1"/>
        <c:lblOffset val="100"/>
        <c:baseTimeUnit val="days"/>
        <c:majorUnit val="4"/>
        <c:majorTimeUnit val="days"/>
      </c:dateAx>
      <c:valAx>
        <c:axId val="401685888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683584"/>
        <c:crosses val="autoZero"/>
        <c:crossBetween val="midCat"/>
        <c:majorUnit val="1.2"/>
        <c:minorUnit val="0.5"/>
      </c:valAx>
      <c:dateAx>
        <c:axId val="40170854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1710080"/>
        <c:crosses val="autoZero"/>
        <c:auto val="1"/>
        <c:lblOffset val="100"/>
        <c:baseTimeUnit val="days"/>
      </c:dateAx>
      <c:valAx>
        <c:axId val="401710080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70854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80+690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'zk80+690'!$U$4:$W$4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'zk80+690'!$S$6:$S$30</c:f>
              <c:numCache>
                <c:formatCode>m"月"d"日";@</c:formatCode>
                <c:ptCount val="2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'zk80+690'!$V$6:$V$34</c:f>
              <c:numCache>
                <c:formatCode>0.00_ </c:formatCode>
                <c:ptCount val="29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-0.29999999999930099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-1.20000000000076</c:v>
                </c:pt>
                <c:pt idx="7">
                  <c:v>-1.0999999999992101</c:v>
                </c:pt>
                <c:pt idx="8">
                  <c:v>-1.59999999999982</c:v>
                </c:pt>
                <c:pt idx="9">
                  <c:v>-1.7999999999993599</c:v>
                </c:pt>
                <c:pt idx="10">
                  <c:v>-1.6999999999995901</c:v>
                </c:pt>
                <c:pt idx="11">
                  <c:v>-2.1999999999895401</c:v>
                </c:pt>
                <c:pt idx="12">
                  <c:v>-2.3999999999908499</c:v>
                </c:pt>
                <c:pt idx="13">
                  <c:v>-2.8000000000005798</c:v>
                </c:pt>
                <c:pt idx="14">
                  <c:v>-2.7999999999899199</c:v>
                </c:pt>
                <c:pt idx="15">
                  <c:v>-2.99999999998946</c:v>
                </c:pt>
                <c:pt idx="16">
                  <c:v>-2.9000000000003499</c:v>
                </c:pt>
                <c:pt idx="17">
                  <c:v>-3.0000000000001101</c:v>
                </c:pt>
                <c:pt idx="18">
                  <c:v>-3.0999999999998802</c:v>
                </c:pt>
                <c:pt idx="19">
                  <c:v>-3.0999999999998802</c:v>
                </c:pt>
                <c:pt idx="20">
                  <c:v>-3.2999999999994101</c:v>
                </c:pt>
                <c:pt idx="21">
                  <c:v>-3.6000000000004899</c:v>
                </c:pt>
                <c:pt idx="22">
                  <c:v>-3.80000000000003</c:v>
                </c:pt>
                <c:pt idx="23">
                  <c:v>-3.40000000000096</c:v>
                </c:pt>
                <c:pt idx="24">
                  <c:v>-3.5000000000007199</c:v>
                </c:pt>
                <c:pt idx="25">
                  <c:v>-1.0000000000012199</c:v>
                </c:pt>
              </c:numCache>
            </c:numRef>
          </c:val>
        </c:ser>
        <c:ser>
          <c:idx val="1"/>
          <c:order val="1"/>
          <c:tx>
            <c:strRef>
              <c:f>'zk80+690'!$Y$4:$AA$4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'zk80+690'!$S$6:$S$30</c:f>
              <c:numCache>
                <c:formatCode>m"月"d"日";@</c:formatCode>
                <c:ptCount val="2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'zk80+690'!$Z$6:$Z$35</c:f>
              <c:numCache>
                <c:formatCode>0.00_ </c:formatCode>
                <c:ptCount val="30"/>
                <c:pt idx="0">
                  <c:v>0</c:v>
                </c:pt>
                <c:pt idx="1">
                  <c:v>-0.50000000000061096</c:v>
                </c:pt>
                <c:pt idx="2">
                  <c:v>-0.19999999999953399</c:v>
                </c:pt>
                <c:pt idx="3">
                  <c:v>-0.40000000000084401</c:v>
                </c:pt>
                <c:pt idx="4">
                  <c:v>-0.60000000000037801</c:v>
                </c:pt>
                <c:pt idx="5">
                  <c:v>-0.799999999999912</c:v>
                </c:pt>
                <c:pt idx="6">
                  <c:v>-1.20000000000076</c:v>
                </c:pt>
                <c:pt idx="7">
                  <c:v>-1.20000000000076</c:v>
                </c:pt>
                <c:pt idx="8">
                  <c:v>-1.4000000000002899</c:v>
                </c:pt>
                <c:pt idx="9">
                  <c:v>-1.59999999999982</c:v>
                </c:pt>
                <c:pt idx="10">
                  <c:v>-1.7999999999993599</c:v>
                </c:pt>
                <c:pt idx="11">
                  <c:v>-2.0000000000006701</c:v>
                </c:pt>
                <c:pt idx="12">
                  <c:v>-2.10000000000043</c:v>
                </c:pt>
                <c:pt idx="13">
                  <c:v>-2.3999999999997401</c:v>
                </c:pt>
                <c:pt idx="14">
                  <c:v>-2.59999999999927</c:v>
                </c:pt>
                <c:pt idx="15">
                  <c:v>-2.4999999999995</c:v>
                </c:pt>
                <c:pt idx="16">
                  <c:v>-3.0000000000001101</c:v>
                </c:pt>
                <c:pt idx="17">
                  <c:v>-3.1999999999996498</c:v>
                </c:pt>
                <c:pt idx="18">
                  <c:v>-3.40000000000096</c:v>
                </c:pt>
                <c:pt idx="19">
                  <c:v>-3.6000000000004899</c:v>
                </c:pt>
                <c:pt idx="20">
                  <c:v>-3.8999999999997899</c:v>
                </c:pt>
                <c:pt idx="21">
                  <c:v>-4.3000000000006402</c:v>
                </c:pt>
                <c:pt idx="22">
                  <c:v>-4.4000000000004</c:v>
                </c:pt>
                <c:pt idx="23">
                  <c:v>-3.9999999999995599</c:v>
                </c:pt>
                <c:pt idx="24">
                  <c:v>-4.2000000000008697</c:v>
                </c:pt>
                <c:pt idx="25">
                  <c:v>-2.59999999989091</c:v>
                </c:pt>
              </c:numCache>
            </c:numRef>
          </c:val>
        </c:ser>
        <c:ser>
          <c:idx val="2"/>
          <c:order val="2"/>
          <c:tx>
            <c:strRef>
              <c:f>'zk80+690'!$AC$4:$AE$4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'zk80+690'!$S$6:$S$30</c:f>
              <c:numCache>
                <c:formatCode>m"月"d"日";@</c:formatCode>
                <c:ptCount val="2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-0.20000000000130999</c:v>
                </c:pt>
                <c:pt idx="2">
                  <c:v>-0.10000000000154299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-1.0000000000100999</c:v>
                </c:pt>
                <c:pt idx="6">
                  <c:v>-0.90000000000145497</c:v>
                </c:pt>
                <c:pt idx="7">
                  <c:v>-1.40000000001095</c:v>
                </c:pt>
                <c:pt idx="8">
                  <c:v>-1.6000000000104799</c:v>
                </c:pt>
                <c:pt idx="9">
                  <c:v>-1.80000000001002</c:v>
                </c:pt>
                <c:pt idx="10">
                  <c:v>-1.70000000000137</c:v>
                </c:pt>
                <c:pt idx="11">
                  <c:v>-2.2000000000108599</c:v>
                </c:pt>
                <c:pt idx="12">
                  <c:v>-2.4000000000210502</c:v>
                </c:pt>
                <c:pt idx="13">
                  <c:v>-2.6000000000205898</c:v>
                </c:pt>
                <c:pt idx="14">
                  <c:v>-2.7000000000008102</c:v>
                </c:pt>
                <c:pt idx="15">
                  <c:v>-3.00000000002143</c:v>
                </c:pt>
                <c:pt idx="16">
                  <c:v>-3.2000000000209599</c:v>
                </c:pt>
                <c:pt idx="17">
                  <c:v>-3.0999999999998802</c:v>
                </c:pt>
                <c:pt idx="18">
                  <c:v>-2.9999999999805702</c:v>
                </c:pt>
                <c:pt idx="19">
                  <c:v>-2.89999999996127</c:v>
                </c:pt>
                <c:pt idx="20">
                  <c:v>-2.7000000000008102</c:v>
                </c:pt>
                <c:pt idx="21">
                  <c:v>-3.0999999999998802</c:v>
                </c:pt>
                <c:pt idx="22">
                  <c:v>-2.9000000000003499</c:v>
                </c:pt>
                <c:pt idx="23">
                  <c:v>-2.69999999991022</c:v>
                </c:pt>
                <c:pt idx="24">
                  <c:v>-2.59999999989091</c:v>
                </c:pt>
              </c:numCache>
            </c:numRef>
          </c:val>
        </c:ser>
        <c:dLbls/>
        <c:marker val="1"/>
        <c:axId val="401588992"/>
        <c:axId val="401591296"/>
      </c:lineChart>
      <c:lineChart>
        <c:grouping val="standard"/>
        <c:ser>
          <c:idx val="3"/>
          <c:order val="3"/>
          <c:tx>
            <c:strRef>
              <c:f>'zk80+690'!$AG$3:$AG$5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'zk80+690'!$S$6:$S$29</c:f>
              <c:numCache>
                <c:formatCode>m"月"d"日";@</c:formatCode>
                <c:ptCount val="24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</c:numCache>
            </c:numRef>
          </c:cat>
          <c:val>
            <c:numRef>
              <c:f>'zk80+690'!$AG$6:$AG$33</c:f>
              <c:numCache>
                <c:formatCode>0.0_ </c:formatCode>
                <c:ptCount val="28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64</c:v>
                </c:pt>
                <c:pt idx="20">
                  <c:v>70</c:v>
                </c:pt>
                <c:pt idx="21">
                  <c:v>76</c:v>
                </c:pt>
                <c:pt idx="22">
                  <c:v>82</c:v>
                </c:pt>
                <c:pt idx="23">
                  <c:v>88</c:v>
                </c:pt>
                <c:pt idx="24">
                  <c:v>101</c:v>
                </c:pt>
              </c:numCache>
            </c:numRef>
          </c:val>
        </c:ser>
        <c:dLbls/>
        <c:marker val="1"/>
        <c:axId val="401814656"/>
        <c:axId val="401816192"/>
      </c:lineChart>
      <c:dateAx>
        <c:axId val="4015889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591296"/>
        <c:crossesAt val="-50"/>
        <c:auto val="1"/>
        <c:lblOffset val="100"/>
        <c:baseTimeUnit val="days"/>
        <c:majorUnit val="4"/>
        <c:majorTimeUnit val="days"/>
      </c:dateAx>
      <c:valAx>
        <c:axId val="401591296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588992"/>
        <c:crosses val="autoZero"/>
        <c:crossBetween val="midCat"/>
        <c:majorUnit val="1.4"/>
        <c:minorUnit val="0.1"/>
      </c:valAx>
      <c:dateAx>
        <c:axId val="40181465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1816192"/>
        <c:crosses val="autoZero"/>
        <c:auto val="1"/>
        <c:lblOffset val="100"/>
        <c:baseTimeUnit val="days"/>
      </c:dateAx>
      <c:valAx>
        <c:axId val="401816192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814656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80+690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'zk80+690'!$C$4:$G$4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'zk80+690'!$A$6:$A$40</c:f>
              <c:numCache>
                <c:formatCode>m"月"d"日";@</c:formatCode>
                <c:ptCount val="3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'zk80+690'!$G$6:$G$36</c:f>
              <c:numCache>
                <c:formatCode>0.00_ </c:formatCode>
                <c:ptCount val="31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0</c:v>
                </c:pt>
                <c:pt idx="6">
                  <c:v>-0.40000000001327901</c:v>
                </c:pt>
                <c:pt idx="7">
                  <c:v>-0.29999999992469401</c:v>
                </c:pt>
                <c:pt idx="8">
                  <c:v>-0.10000000008858501</c:v>
                </c:pt>
                <c:pt idx="9">
                  <c:v>-0.199999999949796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-0.199999999949796</c:v>
                </c:pt>
                <c:pt idx="13">
                  <c:v>-0.10000000008858501</c:v>
                </c:pt>
                <c:pt idx="14">
                  <c:v>-0.29999999992469401</c:v>
                </c:pt>
                <c:pt idx="15">
                  <c:v>-0.100000000031741</c:v>
                </c:pt>
                <c:pt idx="16">
                  <c:v>5.0000000044292399E-2</c:v>
                </c:pt>
                <c:pt idx="17">
                  <c:v>-5.0000000044292399E-2</c:v>
                </c:pt>
                <c:pt idx="18">
                  <c:v>-4.9999999987449001E-2</c:v>
                </c:pt>
                <c:pt idx="19">
                  <c:v>-4.9999999987449001E-2</c:v>
                </c:pt>
                <c:pt idx="20">
                  <c:v>-0.15000000001919001</c:v>
                </c:pt>
                <c:pt idx="21">
                  <c:v>-4.9999999987449001E-2</c:v>
                </c:pt>
                <c:pt idx="22">
                  <c:v>-0.20000000000663901</c:v>
                </c:pt>
                <c:pt idx="23">
                  <c:v>0.10000000001279399</c:v>
                </c:pt>
                <c:pt idx="24">
                  <c:v>2.49999999937245E-2</c:v>
                </c:pt>
                <c:pt idx="25">
                  <c:v>-9.9999999974897905E-2</c:v>
                </c:pt>
              </c:numCache>
            </c:numRef>
          </c:val>
        </c:ser>
        <c:ser>
          <c:idx val="1"/>
          <c:order val="1"/>
          <c:tx>
            <c:strRef>
              <c:f>'zk80+690'!$H$4:$L$4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'zk80+690'!$A$6:$A$40</c:f>
              <c:numCache>
                <c:formatCode>m"月"d"日";@</c:formatCode>
                <c:ptCount val="3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'zk80+690'!$L$6:$L$37</c:f>
              <c:numCache>
                <c:formatCode>0.00_ </c:formatCode>
                <c:ptCount val="32"/>
                <c:pt idx="0">
                  <c:v>0</c:v>
                </c:pt>
                <c:pt idx="1">
                  <c:v>-0.10000000008858501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-0.29999999992469401</c:v>
                </c:pt>
                <c:pt idx="5">
                  <c:v>-9.9999999974897905E-2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-0.30000000003838101</c:v>
                </c:pt>
                <c:pt idx="11">
                  <c:v>-9.9999999974897905E-2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0.199999999949796</c:v>
                </c:pt>
                <c:pt idx="15">
                  <c:v>-0.29999999998153698</c:v>
                </c:pt>
                <c:pt idx="16">
                  <c:v>-9.9999999974897905E-2</c:v>
                </c:pt>
                <c:pt idx="17">
                  <c:v>-5.0000000044292399E-2</c:v>
                </c:pt>
                <c:pt idx="18">
                  <c:v>-4.9999999987449001E-2</c:v>
                </c:pt>
                <c:pt idx="19">
                  <c:v>-4.9999999987449001E-2</c:v>
                </c:pt>
                <c:pt idx="20">
                  <c:v>-4.9999999987449001E-2</c:v>
                </c:pt>
                <c:pt idx="21">
                  <c:v>-0.100000000031741</c:v>
                </c:pt>
                <c:pt idx="22">
                  <c:v>-0.149999999962347</c:v>
                </c:pt>
                <c:pt idx="23">
                  <c:v>6.6666666649931997E-2</c:v>
                </c:pt>
                <c:pt idx="24">
                  <c:v>2.49999999937245E-2</c:v>
                </c:pt>
              </c:numCache>
            </c:numRef>
          </c:val>
        </c:ser>
        <c:ser>
          <c:idx val="2"/>
          <c:order val="2"/>
          <c:tx>
            <c:strRef>
              <c:f>'zk80+690'!$M$4:$Q$4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'zk80+690'!$A$6:$A$40</c:f>
              <c:numCache>
                <c:formatCode>m"月"d"日";@</c:formatCode>
                <c:ptCount val="35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'zk80+690'!$Q$6:$Q$33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-0.20000000006348301</c:v>
                </c:pt>
                <c:pt idx="2">
                  <c:v>0.10000000008858501</c:v>
                </c:pt>
                <c:pt idx="3">
                  <c:v>-0.50000000010186296</c:v>
                </c:pt>
                <c:pt idx="4">
                  <c:v>-0.199999999949796</c:v>
                </c:pt>
                <c:pt idx="5">
                  <c:v>-0.199999999949796</c:v>
                </c:pt>
                <c:pt idx="6">
                  <c:v>-0.30000000003838101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-9.9999999974897905E-2</c:v>
                </c:pt>
                <c:pt idx="10">
                  <c:v>-0.30000000003838101</c:v>
                </c:pt>
                <c:pt idx="11">
                  <c:v>-0.199999999949796</c:v>
                </c:pt>
                <c:pt idx="12">
                  <c:v>-0.199999999949796</c:v>
                </c:pt>
                <c:pt idx="13">
                  <c:v>0.199999999949796</c:v>
                </c:pt>
                <c:pt idx="14">
                  <c:v>-0.59999999996307496</c:v>
                </c:pt>
                <c:pt idx="15">
                  <c:v>-0.100000000031741</c:v>
                </c:pt>
                <c:pt idx="16">
                  <c:v>-4.9999999987449001E-2</c:v>
                </c:pt>
                <c:pt idx="17">
                  <c:v>9.9999999974897905E-2</c:v>
                </c:pt>
                <c:pt idx="18">
                  <c:v>0.100000000031741</c:v>
                </c:pt>
                <c:pt idx="19">
                  <c:v>4.9999999987449001E-2</c:v>
                </c:pt>
                <c:pt idx="20">
                  <c:v>-0.15000000001919001</c:v>
                </c:pt>
                <c:pt idx="21">
                  <c:v>-0.149999999962347</c:v>
                </c:pt>
                <c:pt idx="22">
                  <c:v>9.9999999974897905E-2</c:v>
                </c:pt>
                <c:pt idx="23">
                  <c:v>6.66666666878276E-2</c:v>
                </c:pt>
                <c:pt idx="24">
                  <c:v>-5.0000000015870703E-2</c:v>
                </c:pt>
              </c:numCache>
            </c:numRef>
          </c:val>
        </c:ser>
        <c:dLbls/>
        <c:marker val="1"/>
        <c:axId val="401940864"/>
        <c:axId val="401943168"/>
      </c:lineChart>
      <c:dateAx>
        <c:axId val="4019408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943168"/>
        <c:crossesAt val="-50"/>
        <c:auto val="1"/>
        <c:lblOffset val="100"/>
        <c:baseTimeUnit val="days"/>
        <c:majorUnit val="4"/>
        <c:majorTimeUnit val="days"/>
      </c:dateAx>
      <c:valAx>
        <c:axId val="40194316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940864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80+690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'zk80+690'!$U$4:$W$4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'zk80+690'!$S$6:$S$43</c:f>
              <c:numCache>
                <c:formatCode>m"月"d"日";@</c:formatCode>
                <c:ptCount val="38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'zk80+690'!$W$6:$W$34</c:f>
              <c:numCache>
                <c:formatCode>0.00_ </c:formatCode>
                <c:ptCount val="29"/>
                <c:pt idx="0">
                  <c:v>0</c:v>
                </c:pt>
                <c:pt idx="1">
                  <c:v>0.19999999999953399</c:v>
                </c:pt>
                <c:pt idx="2">
                  <c:v>0.20000000000130999</c:v>
                </c:pt>
                <c:pt idx="3">
                  <c:v>-0.10000000000154299</c:v>
                </c:pt>
                <c:pt idx="4">
                  <c:v>0.50000000000061096</c:v>
                </c:pt>
                <c:pt idx="5">
                  <c:v>0.19999999999953399</c:v>
                </c:pt>
                <c:pt idx="6">
                  <c:v>0.20000000000130999</c:v>
                </c:pt>
                <c:pt idx="7">
                  <c:v>-0.10000000000154299</c:v>
                </c:pt>
                <c:pt idx="8">
                  <c:v>0.50000000000061096</c:v>
                </c:pt>
                <c:pt idx="9">
                  <c:v>0.19999999999953399</c:v>
                </c:pt>
                <c:pt idx="10">
                  <c:v>-9.99999999997669E-2</c:v>
                </c:pt>
                <c:pt idx="11">
                  <c:v>0.49999999998995298</c:v>
                </c:pt>
                <c:pt idx="12">
                  <c:v>0.20000000000130999</c:v>
                </c:pt>
                <c:pt idx="13">
                  <c:v>0.40000000000972602</c:v>
                </c:pt>
                <c:pt idx="14">
                  <c:v>-1.06581410364015E-11</c:v>
                </c:pt>
                <c:pt idx="15">
                  <c:v>9.99999999997669E-2</c:v>
                </c:pt>
                <c:pt idx="16">
                  <c:v>-4.99999999945544E-2</c:v>
                </c:pt>
                <c:pt idx="17">
                  <c:v>4.9999999999883499E-2</c:v>
                </c:pt>
                <c:pt idx="18">
                  <c:v>4.9999999999883499E-2</c:v>
                </c:pt>
                <c:pt idx="19">
                  <c:v>0</c:v>
                </c:pt>
                <c:pt idx="20">
                  <c:v>9.99999999997669E-2</c:v>
                </c:pt>
                <c:pt idx="21">
                  <c:v>0.15000000000053901</c:v>
                </c:pt>
                <c:pt idx="22">
                  <c:v>9.99999999997669E-2</c:v>
                </c:pt>
                <c:pt idx="23">
                  <c:v>-0.133333333333023</c:v>
                </c:pt>
                <c:pt idx="24">
                  <c:v>2.4999999999941701E-2</c:v>
                </c:pt>
                <c:pt idx="25">
                  <c:v>0.50000000010896894</c:v>
                </c:pt>
              </c:numCache>
            </c:numRef>
          </c:val>
        </c:ser>
        <c:ser>
          <c:idx val="1"/>
          <c:order val="1"/>
          <c:tx>
            <c:strRef>
              <c:f>'zk80+690'!$Y$4:$AA$4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'zk80+690'!$S$6:$S$43</c:f>
              <c:numCache>
                <c:formatCode>m"月"d"日";@</c:formatCode>
                <c:ptCount val="38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'zk80+690'!$AA$6:$AA$33</c:f>
              <c:numCache>
                <c:formatCode>0.00_ </c:formatCode>
                <c:ptCount val="28"/>
                <c:pt idx="0">
                  <c:v>0</c:v>
                </c:pt>
                <c:pt idx="1">
                  <c:v>-0.50000000000061096</c:v>
                </c:pt>
                <c:pt idx="2">
                  <c:v>0.30000000000107702</c:v>
                </c:pt>
                <c:pt idx="3">
                  <c:v>-0.20000000000130999</c:v>
                </c:pt>
                <c:pt idx="4">
                  <c:v>-0.19999999999953399</c:v>
                </c:pt>
                <c:pt idx="5">
                  <c:v>-0.19999999999953399</c:v>
                </c:pt>
                <c:pt idx="6">
                  <c:v>-0.40000000000084401</c:v>
                </c:pt>
                <c:pt idx="7">
                  <c:v>0</c:v>
                </c:pt>
                <c:pt idx="8">
                  <c:v>-0.19999999999953399</c:v>
                </c:pt>
                <c:pt idx="9">
                  <c:v>-0.19999999999953399</c:v>
                </c:pt>
                <c:pt idx="10">
                  <c:v>-0.19999999999953399</c:v>
                </c:pt>
                <c:pt idx="11">
                  <c:v>-0.20000000000130999</c:v>
                </c:pt>
                <c:pt idx="12">
                  <c:v>-9.99999999997669E-2</c:v>
                </c:pt>
                <c:pt idx="13">
                  <c:v>-0.29999999999930099</c:v>
                </c:pt>
                <c:pt idx="14">
                  <c:v>-0.19999999999953399</c:v>
                </c:pt>
                <c:pt idx="15">
                  <c:v>4.9999999999883499E-2</c:v>
                </c:pt>
                <c:pt idx="16">
                  <c:v>-0.25000000000030598</c:v>
                </c:pt>
                <c:pt idx="17">
                  <c:v>-9.99999999997669E-2</c:v>
                </c:pt>
                <c:pt idx="18">
                  <c:v>-0.100000000000655</c:v>
                </c:pt>
                <c:pt idx="19">
                  <c:v>-9.99999999997669E-2</c:v>
                </c:pt>
                <c:pt idx="20">
                  <c:v>-0.14999999999965</c:v>
                </c:pt>
                <c:pt idx="21">
                  <c:v>-0.20000000000042201</c:v>
                </c:pt>
                <c:pt idx="22">
                  <c:v>-4.9999999999883499E-2</c:v>
                </c:pt>
                <c:pt idx="23">
                  <c:v>0.133333333333615</c:v>
                </c:pt>
                <c:pt idx="24">
                  <c:v>-5.0000000000327602E-2</c:v>
                </c:pt>
                <c:pt idx="25">
                  <c:v>4.1666666675747401E-2</c:v>
                </c:pt>
              </c:numCache>
            </c:numRef>
          </c:val>
        </c:ser>
        <c:ser>
          <c:idx val="2"/>
          <c:order val="2"/>
          <c:tx>
            <c:strRef>
              <c:f>'zk80+690'!$AC$4:$AE$4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'zk80+690'!$S$6:$S$43</c:f>
              <c:numCache>
                <c:formatCode>m"月"d"日";@</c:formatCode>
                <c:ptCount val="38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-0.20000000000130999</c:v>
                </c:pt>
                <c:pt idx="2">
                  <c:v>9.99999999997669E-2</c:v>
                </c:pt>
                <c:pt idx="3">
                  <c:v>-0.49999999999883499</c:v>
                </c:pt>
                <c:pt idx="4">
                  <c:v>-0.19999999999953399</c:v>
                </c:pt>
                <c:pt idx="5">
                  <c:v>-0.200000000010192</c:v>
                </c:pt>
                <c:pt idx="6">
                  <c:v>0.100000000008649</c:v>
                </c:pt>
                <c:pt idx="7">
                  <c:v>-0.50000000000949296</c:v>
                </c:pt>
                <c:pt idx="8">
                  <c:v>-0.19999999999953399</c:v>
                </c:pt>
                <c:pt idx="9">
                  <c:v>-0.19999999999953399</c:v>
                </c:pt>
                <c:pt idx="10">
                  <c:v>0.100000000008649</c:v>
                </c:pt>
                <c:pt idx="11">
                  <c:v>-0.50000000000949296</c:v>
                </c:pt>
                <c:pt idx="12">
                  <c:v>-0.200000000010192</c:v>
                </c:pt>
                <c:pt idx="13">
                  <c:v>-0.19999999999953399</c:v>
                </c:pt>
                <c:pt idx="14">
                  <c:v>-9.9999999980227003E-2</c:v>
                </c:pt>
                <c:pt idx="15">
                  <c:v>-0.150000000010309</c:v>
                </c:pt>
                <c:pt idx="16">
                  <c:v>-9.99999999997669E-2</c:v>
                </c:pt>
                <c:pt idx="17">
                  <c:v>5.0000000010541598E-2</c:v>
                </c:pt>
                <c:pt idx="18">
                  <c:v>5.0000000009653399E-2</c:v>
                </c:pt>
                <c:pt idx="19">
                  <c:v>5.0000000009653399E-2</c:v>
                </c:pt>
                <c:pt idx="20">
                  <c:v>9.9999999980227003E-2</c:v>
                </c:pt>
                <c:pt idx="21">
                  <c:v>-0.19999999999953399</c:v>
                </c:pt>
                <c:pt idx="22">
                  <c:v>9.99999999997669E-2</c:v>
                </c:pt>
                <c:pt idx="23">
                  <c:v>6.6666666696709398E-2</c:v>
                </c:pt>
                <c:pt idx="24">
                  <c:v>2.5000000004826699E-2</c:v>
                </c:pt>
              </c:numCache>
            </c:numRef>
          </c:val>
        </c:ser>
        <c:dLbls/>
        <c:marker val="1"/>
        <c:axId val="401867904"/>
        <c:axId val="401870208"/>
      </c:lineChart>
      <c:dateAx>
        <c:axId val="4018679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870208"/>
        <c:crossesAt val="-50"/>
        <c:auto val="1"/>
        <c:lblOffset val="100"/>
        <c:baseTimeUnit val="days"/>
        <c:majorUnit val="4"/>
        <c:majorTimeUnit val="days"/>
      </c:dateAx>
      <c:valAx>
        <c:axId val="4018702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186790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k80+690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'zk80+690'!$C$4:$G$4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'zk80+690'!$A$6:$A$36</c:f>
              <c:numCache>
                <c:formatCode>m"月"d"日";@</c:formatCode>
                <c:ptCount val="31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'zk80+690'!$F$6:$F$24</c:f>
              <c:numCache>
                <c:formatCode>0.00_ </c:formatCode>
                <c:ptCount val="19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-0.49999999998817701</c:v>
                </c:pt>
                <c:pt idx="6">
                  <c:v>-0.90000000000145497</c:v>
                </c:pt>
                <c:pt idx="7">
                  <c:v>-1.1999999999261499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-1.5999999999394301</c:v>
                </c:pt>
                <c:pt idx="11">
                  <c:v>-1.8999999999778101</c:v>
                </c:pt>
                <c:pt idx="12">
                  <c:v>-2.0999999999275998</c:v>
                </c:pt>
                <c:pt idx="13">
                  <c:v>-2.2000000000161899</c:v>
                </c:pt>
                <c:pt idx="14">
                  <c:v>-2.4999999999408802</c:v>
                </c:pt>
                <c:pt idx="15">
                  <c:v>-2.70000000000437</c:v>
                </c:pt>
                <c:pt idx="16">
                  <c:v>-2.5999999999157799</c:v>
                </c:pt>
                <c:pt idx="17">
                  <c:v>-2.70000000000437</c:v>
                </c:pt>
                <c:pt idx="18">
                  <c:v>-2.79999999997926</c:v>
                </c:pt>
              </c:numCache>
            </c:numRef>
          </c:val>
        </c:ser>
        <c:ser>
          <c:idx val="1"/>
          <c:order val="1"/>
          <c:tx>
            <c:strRef>
              <c:f>'zk80+690'!$H$4:$L$4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'zk80+690'!$A$6:$A$36</c:f>
              <c:numCache>
                <c:formatCode>m"月"d"日";@</c:formatCode>
                <c:ptCount val="31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'zk80+690'!$K$6:$K$32</c:f>
              <c:numCache>
                <c:formatCode>0.00_ </c:formatCode>
                <c:ptCount val="27"/>
                <c:pt idx="0">
                  <c:v>0</c:v>
                </c:pt>
                <c:pt idx="1">
                  <c:v>-0.10000000008858501</c:v>
                </c:pt>
                <c:pt idx="2">
                  <c:v>-0.30000000003838101</c:v>
                </c:pt>
                <c:pt idx="3">
                  <c:v>-0.50000000010186296</c:v>
                </c:pt>
                <c:pt idx="4">
                  <c:v>-0.80000000002655702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-1.2000000000398401</c:v>
                </c:pt>
                <c:pt idx="8">
                  <c:v>-1.5000000000782201</c:v>
                </c:pt>
                <c:pt idx="9">
                  <c:v>-1.70000000002801</c:v>
                </c:pt>
                <c:pt idx="10">
                  <c:v>-2.00000000006639</c:v>
                </c:pt>
                <c:pt idx="11">
                  <c:v>-2.1000000000412902</c:v>
                </c:pt>
                <c:pt idx="12">
                  <c:v>-2.3000000001047698</c:v>
                </c:pt>
                <c:pt idx="13">
                  <c:v>-2.5000000000545701</c:v>
                </c:pt>
                <c:pt idx="14">
                  <c:v>-2.3000000001047698</c:v>
                </c:pt>
                <c:pt idx="15">
                  <c:v>-2.9000000000678501</c:v>
                </c:pt>
                <c:pt idx="16">
                  <c:v>-3.1000000000176402</c:v>
                </c:pt>
                <c:pt idx="17">
                  <c:v>-3.2000000001062299</c:v>
                </c:pt>
                <c:pt idx="18">
                  <c:v>-3.30000000008113</c:v>
                </c:pt>
                <c:pt idx="19">
                  <c:v>-3.40000000005602</c:v>
                </c:pt>
                <c:pt idx="20">
                  <c:v>-3.5000000000309202</c:v>
                </c:pt>
                <c:pt idx="21">
                  <c:v>-3.70000000009441</c:v>
                </c:pt>
                <c:pt idx="22">
                  <c:v>-4.0000000000191003</c:v>
                </c:pt>
                <c:pt idx="23">
                  <c:v>-3.8000000000692999</c:v>
                </c:pt>
                <c:pt idx="24">
                  <c:v>-3.70000000009441</c:v>
                </c:pt>
                <c:pt idx="25">
                  <c:v>-8.3333333312414996E-3</c:v>
                </c:pt>
              </c:numCache>
            </c:numRef>
          </c:val>
        </c:ser>
        <c:ser>
          <c:idx val="2"/>
          <c:order val="2"/>
          <c:tx>
            <c:strRef>
              <c:f>'zk80+690'!$M$4:$Q$4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'zk80+690'!$A$6:$A$36</c:f>
              <c:numCache>
                <c:formatCode>m"月"d"日";@</c:formatCode>
                <c:ptCount val="31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  <c:pt idx="19">
                  <c:v>45008</c:v>
                </c:pt>
                <c:pt idx="20">
                  <c:v>45010</c:v>
                </c:pt>
                <c:pt idx="21">
                  <c:v>45012</c:v>
                </c:pt>
                <c:pt idx="22">
                  <c:v>45014</c:v>
                </c:pt>
                <c:pt idx="23">
                  <c:v>45017</c:v>
                </c:pt>
                <c:pt idx="24">
                  <c:v>45021</c:v>
                </c:pt>
              </c:numCache>
            </c:numRef>
          </c:cat>
          <c:val>
            <c:numRef>
              <c:f>'zk80+690'!$P$6:$P$30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-9.9999999974897905E-2</c:v>
                </c:pt>
                <c:pt idx="3">
                  <c:v>-0.60000000007676102</c:v>
                </c:pt>
                <c:pt idx="4">
                  <c:v>-0.80000000002655702</c:v>
                </c:pt>
                <c:pt idx="5">
                  <c:v>-0.99999999997635303</c:v>
                </c:pt>
                <c:pt idx="6">
                  <c:v>-1.30000000001473</c:v>
                </c:pt>
                <c:pt idx="7">
                  <c:v>-1.39999999998963</c:v>
                </c:pt>
                <c:pt idx="8">
                  <c:v>-1.60000000005311</c:v>
                </c:pt>
                <c:pt idx="9">
                  <c:v>-1.70000000002801</c:v>
                </c:pt>
                <c:pt idx="10">
                  <c:v>-2.00000000006639</c:v>
                </c:pt>
                <c:pt idx="11">
                  <c:v>-2.2000000000161899</c:v>
                </c:pt>
                <c:pt idx="12">
                  <c:v>-2.39999999996598</c:v>
                </c:pt>
                <c:pt idx="13">
                  <c:v>-2.2000000000161899</c:v>
                </c:pt>
                <c:pt idx="14">
                  <c:v>-2.79999999997926</c:v>
                </c:pt>
                <c:pt idx="15">
                  <c:v>-3.0000000000427498</c:v>
                </c:pt>
                <c:pt idx="16">
                  <c:v>-3.1000000000176402</c:v>
                </c:pt>
                <c:pt idx="17">
                  <c:v>-2.9000000000678501</c:v>
                </c:pt>
                <c:pt idx="18">
                  <c:v>-2.70000000000437</c:v>
                </c:pt>
                <c:pt idx="19">
                  <c:v>-2.6000000000294698</c:v>
                </c:pt>
                <c:pt idx="20">
                  <c:v>-2.9000000000678501</c:v>
                </c:pt>
                <c:pt idx="21">
                  <c:v>-3.1999999999925399</c:v>
                </c:pt>
                <c:pt idx="22">
                  <c:v>-3.0000000000427498</c:v>
                </c:pt>
                <c:pt idx="23">
                  <c:v>-2.79999999997926</c:v>
                </c:pt>
                <c:pt idx="24">
                  <c:v>-3.0000000000427498</c:v>
                </c:pt>
              </c:numCache>
            </c:numRef>
          </c:val>
        </c:ser>
        <c:dLbls/>
        <c:marker val="1"/>
        <c:axId val="402105088"/>
        <c:axId val="402107392"/>
      </c:lineChart>
      <c:lineChart>
        <c:grouping val="standard"/>
        <c:ser>
          <c:idx val="3"/>
          <c:order val="3"/>
          <c:tx>
            <c:strRef>
              <c:f>'zk80+690'!$AG$3:$AG$5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'zk80+690'!$A$6:$A$24</c:f>
              <c:numCache>
                <c:formatCode>m"月"d"日";@</c:formatCode>
                <c:ptCount val="19"/>
                <c:pt idx="0">
                  <c:v>44984</c:v>
                </c:pt>
                <c:pt idx="1">
                  <c:v>44985</c:v>
                </c:pt>
                <c:pt idx="2">
                  <c:v>44986</c:v>
                </c:pt>
                <c:pt idx="3">
                  <c:v>44987</c:v>
                </c:pt>
                <c:pt idx="4">
                  <c:v>44988</c:v>
                </c:pt>
                <c:pt idx="5">
                  <c:v>44989</c:v>
                </c:pt>
                <c:pt idx="6">
                  <c:v>44990</c:v>
                </c:pt>
                <c:pt idx="7">
                  <c:v>44991</c:v>
                </c:pt>
                <c:pt idx="8">
                  <c:v>44992</c:v>
                </c:pt>
                <c:pt idx="9">
                  <c:v>44993</c:v>
                </c:pt>
                <c:pt idx="10">
                  <c:v>44994</c:v>
                </c:pt>
                <c:pt idx="11">
                  <c:v>44995</c:v>
                </c:pt>
                <c:pt idx="12">
                  <c:v>44996</c:v>
                </c:pt>
                <c:pt idx="13">
                  <c:v>44997</c:v>
                </c:pt>
                <c:pt idx="14">
                  <c:v>44998</c:v>
                </c:pt>
                <c:pt idx="15">
                  <c:v>45000</c:v>
                </c:pt>
                <c:pt idx="16">
                  <c:v>45002</c:v>
                </c:pt>
                <c:pt idx="17">
                  <c:v>45004</c:v>
                </c:pt>
                <c:pt idx="18">
                  <c:v>45006</c:v>
                </c:pt>
              </c:numCache>
            </c:numRef>
          </c:cat>
          <c:val>
            <c:numRef>
              <c:f>'zk80+690'!$AG$6:$AG$33</c:f>
              <c:numCache>
                <c:formatCode>0.0_ </c:formatCode>
                <c:ptCount val="28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59</c:v>
                </c:pt>
                <c:pt idx="19">
                  <c:v>64</c:v>
                </c:pt>
                <c:pt idx="20">
                  <c:v>70</c:v>
                </c:pt>
                <c:pt idx="21">
                  <c:v>76</c:v>
                </c:pt>
                <c:pt idx="22">
                  <c:v>82</c:v>
                </c:pt>
                <c:pt idx="23">
                  <c:v>88</c:v>
                </c:pt>
                <c:pt idx="24">
                  <c:v>101</c:v>
                </c:pt>
              </c:numCache>
            </c:numRef>
          </c:val>
        </c:ser>
        <c:dLbls/>
        <c:marker val="1"/>
        <c:axId val="402117760"/>
        <c:axId val="402119296"/>
      </c:lineChart>
      <c:dateAx>
        <c:axId val="4021050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107392"/>
        <c:crossesAt val="-50"/>
        <c:auto val="1"/>
        <c:lblOffset val="100"/>
        <c:baseTimeUnit val="days"/>
        <c:majorUnit val="4"/>
        <c:majorTimeUnit val="days"/>
      </c:dateAx>
      <c:valAx>
        <c:axId val="402107392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105088"/>
        <c:crosses val="autoZero"/>
        <c:crossBetween val="midCat"/>
        <c:majorUnit val="1.2"/>
        <c:minorUnit val="0.5"/>
      </c:valAx>
      <c:dateAx>
        <c:axId val="40211776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2119296"/>
        <c:crosses val="autoZero"/>
        <c:auto val="1"/>
        <c:lblOffset val="100"/>
        <c:baseTimeUnit val="days"/>
      </c:dateAx>
      <c:valAx>
        <c:axId val="402119296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117760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'zk80+720'!$U$4:$W$4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'zk80+720'!$S$6:$S$29</c:f>
              <c:numCache>
                <c:formatCode>m"月"d"日";@</c:formatCode>
                <c:ptCount val="24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'zk80+720'!$V$6:$V$34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-0.30000000000107702</c:v>
                </c:pt>
                <c:pt idx="4">
                  <c:v>-0.50000000000061096</c:v>
                </c:pt>
                <c:pt idx="5">
                  <c:v>-0.70000000000014495</c:v>
                </c:pt>
                <c:pt idx="6">
                  <c:v>-0.60000000000037801</c:v>
                </c:pt>
                <c:pt idx="7">
                  <c:v>-1.10000000000987</c:v>
                </c:pt>
                <c:pt idx="8">
                  <c:v>-1.30000000001118</c:v>
                </c:pt>
                <c:pt idx="9">
                  <c:v>-1.20000000000076</c:v>
                </c:pt>
                <c:pt idx="10">
                  <c:v>-1.3000000000005201</c:v>
                </c:pt>
                <c:pt idx="11">
                  <c:v>-1.9000000000097801</c:v>
                </c:pt>
                <c:pt idx="12">
                  <c:v>-2.1000000000110899</c:v>
                </c:pt>
                <c:pt idx="13">
                  <c:v>-2.30000000001063</c:v>
                </c:pt>
                <c:pt idx="14">
                  <c:v>-2.5000000000101599</c:v>
                </c:pt>
                <c:pt idx="15">
                  <c:v>-2.6000000000010499</c:v>
                </c:pt>
                <c:pt idx="16">
                  <c:v>-2.9000000000198898</c:v>
                </c:pt>
                <c:pt idx="17">
                  <c:v>-3.1000000000212</c:v>
                </c:pt>
                <c:pt idx="18">
                  <c:v>-3.1999999999996498</c:v>
                </c:pt>
                <c:pt idx="19">
                  <c:v>-3.6000000000004899</c:v>
                </c:pt>
                <c:pt idx="20">
                  <c:v>-3.5000000000202598</c:v>
                </c:pt>
                <c:pt idx="21">
                  <c:v>-3.40000000000096</c:v>
                </c:pt>
                <c:pt idx="22">
                  <c:v>-3.7000000000197999</c:v>
                </c:pt>
                <c:pt idx="23">
                  <c:v>-3.6000000000004899</c:v>
                </c:pt>
                <c:pt idx="24">
                  <c:v>-1.50000000000006</c:v>
                </c:pt>
              </c:numCache>
            </c:numRef>
          </c:val>
        </c:ser>
        <c:ser>
          <c:idx val="1"/>
          <c:order val="1"/>
          <c:tx>
            <c:strRef>
              <c:f>'zk80+720'!$Y$4:$AA$4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'zk80+720'!$S$6:$S$29</c:f>
              <c:numCache>
                <c:formatCode>m"月"d"日";@</c:formatCode>
                <c:ptCount val="24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'zk80+720'!$Z$6:$Z$35</c:f>
              <c:numCache>
                <c:formatCode>0.00_ </c:formatCode>
                <c:ptCount val="30"/>
                <c:pt idx="0">
                  <c:v>0</c:v>
                </c:pt>
                <c:pt idx="1">
                  <c:v>-9.99999999997669E-2</c:v>
                </c:pt>
                <c:pt idx="2">
                  <c:v>-0.30000000000107702</c:v>
                </c:pt>
                <c:pt idx="3">
                  <c:v>-0.50000000000061096</c:v>
                </c:pt>
                <c:pt idx="4">
                  <c:v>-0.60000000000037801</c:v>
                </c:pt>
                <c:pt idx="5">
                  <c:v>-0.89999999999967895</c:v>
                </c:pt>
                <c:pt idx="6">
                  <c:v>-1.10000000000099</c:v>
                </c:pt>
                <c:pt idx="7">
                  <c:v>-1.20000000000076</c:v>
                </c:pt>
                <c:pt idx="8">
                  <c:v>-1.50000000000006</c:v>
                </c:pt>
                <c:pt idx="9">
                  <c:v>-1.70000000000137</c:v>
                </c:pt>
                <c:pt idx="10">
                  <c:v>-1.59999999999982</c:v>
                </c:pt>
                <c:pt idx="11">
                  <c:v>-2.10000000000043</c:v>
                </c:pt>
                <c:pt idx="12">
                  <c:v>-2.2999999999999701</c:v>
                </c:pt>
                <c:pt idx="13">
                  <c:v>-2.5000000000012799</c:v>
                </c:pt>
                <c:pt idx="14">
                  <c:v>-2.3999999999997401</c:v>
                </c:pt>
                <c:pt idx="15">
                  <c:v>-2.9000000000003499</c:v>
                </c:pt>
                <c:pt idx="16">
                  <c:v>-3.0999999999998802</c:v>
                </c:pt>
                <c:pt idx="17">
                  <c:v>-3.1999999999996498</c:v>
                </c:pt>
                <c:pt idx="18">
                  <c:v>-3.5000000000007199</c:v>
                </c:pt>
                <c:pt idx="19">
                  <c:v>-3.70000000000026</c:v>
                </c:pt>
                <c:pt idx="20">
                  <c:v>-3.6000000000004899</c:v>
                </c:pt>
                <c:pt idx="21">
                  <c:v>-3.8999999999997899</c:v>
                </c:pt>
                <c:pt idx="22">
                  <c:v>-3.8999999999997899</c:v>
                </c:pt>
                <c:pt idx="23">
                  <c:v>-3.80000000000003</c:v>
                </c:pt>
                <c:pt idx="24">
                  <c:v>-3.4999999999989502</c:v>
                </c:pt>
              </c:numCache>
            </c:numRef>
          </c:val>
        </c:ser>
        <c:ser>
          <c:idx val="2"/>
          <c:order val="2"/>
          <c:tx>
            <c:strRef>
              <c:f>'zk80+720'!$AC$4:$AE$4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'zk80+720'!$S$6:$S$29</c:f>
              <c:numCache>
                <c:formatCode>m"月"d"日";@</c:formatCode>
                <c:ptCount val="24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'zk80+720'!$AD$6:$AD$39</c:f>
              <c:numCache>
                <c:formatCode>0.00_ </c:formatCode>
                <c:ptCount val="34"/>
                <c:pt idx="0">
                  <c:v>0</c:v>
                </c:pt>
                <c:pt idx="1">
                  <c:v>-0.19999999999953399</c:v>
                </c:pt>
                <c:pt idx="2">
                  <c:v>-0.29999999999930099</c:v>
                </c:pt>
                <c:pt idx="3">
                  <c:v>-0.49999999999883499</c:v>
                </c:pt>
                <c:pt idx="4">
                  <c:v>-0.70000000000014495</c:v>
                </c:pt>
                <c:pt idx="5">
                  <c:v>-0.60000000000037801</c:v>
                </c:pt>
                <c:pt idx="6">
                  <c:v>-1.0999999999992101</c:v>
                </c:pt>
                <c:pt idx="7">
                  <c:v>-1.2999999999987499</c:v>
                </c:pt>
                <c:pt idx="8">
                  <c:v>-1.1999999999989801</c:v>
                </c:pt>
                <c:pt idx="9">
                  <c:v>-1.6999999999995901</c:v>
                </c:pt>
                <c:pt idx="10">
                  <c:v>-1.8999999999991199</c:v>
                </c:pt>
                <c:pt idx="11">
                  <c:v>-1.7999999999993599</c:v>
                </c:pt>
                <c:pt idx="12">
                  <c:v>-1.99999999999889</c:v>
                </c:pt>
                <c:pt idx="13">
                  <c:v>-2.2000000000002</c:v>
                </c:pt>
                <c:pt idx="14">
                  <c:v>-2.0999999999986598</c:v>
                </c:pt>
                <c:pt idx="15">
                  <c:v>-2.59999999999927</c:v>
                </c:pt>
                <c:pt idx="16">
                  <c:v>-2.7999999999987999</c:v>
                </c:pt>
                <c:pt idx="17">
                  <c:v>-2.6999999999990401</c:v>
                </c:pt>
                <c:pt idx="18">
                  <c:v>-3.1999999999996498</c:v>
                </c:pt>
                <c:pt idx="19">
                  <c:v>-3.3999999999991801</c:v>
                </c:pt>
                <c:pt idx="20">
                  <c:v>-3.3999999999991801</c:v>
                </c:pt>
                <c:pt idx="21">
                  <c:v>-3.70000000000026</c:v>
                </c:pt>
                <c:pt idx="22">
                  <c:v>-3.5999999999987198</c:v>
                </c:pt>
                <c:pt idx="23">
                  <c:v>-3.4999999999989502</c:v>
                </c:pt>
              </c:numCache>
            </c:numRef>
          </c:val>
        </c:ser>
        <c:dLbls/>
        <c:marker val="1"/>
        <c:axId val="402204160"/>
        <c:axId val="402223104"/>
      </c:lineChart>
      <c:lineChart>
        <c:grouping val="standard"/>
        <c:ser>
          <c:idx val="3"/>
          <c:order val="3"/>
          <c:tx>
            <c:strRef>
              <c:f>'zk80+720'!$AG$3:$AG$5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'zk80+720'!$S$6:$S$29</c:f>
              <c:numCache>
                <c:formatCode>m"月"d"日";@</c:formatCode>
                <c:ptCount val="24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'zk80+720'!$AG$6:$AG$33</c:f>
              <c:numCache>
                <c:formatCode>0.0_ </c:formatCode>
                <c:ptCount val="28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52</c:v>
                </c:pt>
                <c:pt idx="16">
                  <c:v>58</c:v>
                </c:pt>
                <c:pt idx="17">
                  <c:v>64</c:v>
                </c:pt>
                <c:pt idx="18">
                  <c:v>70</c:v>
                </c:pt>
                <c:pt idx="19">
                  <c:v>77</c:v>
                </c:pt>
                <c:pt idx="20">
                  <c:v>83</c:v>
                </c:pt>
                <c:pt idx="21">
                  <c:v>89</c:v>
                </c:pt>
                <c:pt idx="22">
                  <c:v>111</c:v>
                </c:pt>
                <c:pt idx="23">
                  <c:v>126</c:v>
                </c:pt>
              </c:numCache>
            </c:numRef>
          </c:val>
        </c:ser>
        <c:dLbls/>
        <c:marker val="1"/>
        <c:axId val="402225024"/>
        <c:axId val="402226560"/>
      </c:lineChart>
      <c:dateAx>
        <c:axId val="40220416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223104"/>
        <c:crossesAt val="-50"/>
        <c:auto val="1"/>
        <c:lblOffset val="100"/>
        <c:baseTimeUnit val="days"/>
        <c:majorUnit val="4"/>
        <c:majorTimeUnit val="days"/>
      </c:dateAx>
      <c:valAx>
        <c:axId val="402223104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204160"/>
        <c:crosses val="autoZero"/>
        <c:crossBetween val="midCat"/>
        <c:majorUnit val="1.4"/>
        <c:minorUnit val="0.1"/>
      </c:valAx>
      <c:dateAx>
        <c:axId val="40222502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2226560"/>
        <c:crosses val="autoZero"/>
        <c:auto val="1"/>
        <c:lblOffset val="100"/>
        <c:baseTimeUnit val="days"/>
      </c:dateAx>
      <c:valAx>
        <c:axId val="402226560"/>
        <c:scaling>
          <c:orientation val="minMax"/>
          <c:max val="15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225024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'zk80+720'!$C$4:$G$4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'zk80+720'!$A$6:$A$40</c:f>
              <c:numCache>
                <c:formatCode>m"月"d"日";@</c:formatCode>
                <c:ptCount val="35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'zk80+720'!$G$6:$G$36</c:f>
              <c:numCache>
                <c:formatCode>0.00_ </c:formatCode>
                <c:ptCount val="31"/>
                <c:pt idx="0">
                  <c:v>0</c:v>
                </c:pt>
                <c:pt idx="1">
                  <c:v>9.9999999974897905E-2</c:v>
                </c:pt>
                <c:pt idx="2">
                  <c:v>-0.199999999949796</c:v>
                </c:pt>
                <c:pt idx="3">
                  <c:v>-0.20000000006348301</c:v>
                </c:pt>
                <c:pt idx="4">
                  <c:v>-9.9999999974897905E-2</c:v>
                </c:pt>
                <c:pt idx="5">
                  <c:v>-0.29999999992469401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-9.9999999974897905E-2</c:v>
                </c:pt>
                <c:pt idx="14">
                  <c:v>-0.15000000001919001</c:v>
                </c:pt>
                <c:pt idx="15">
                  <c:v>-4.9999999987449001E-2</c:v>
                </c:pt>
                <c:pt idx="16">
                  <c:v>-9.9999999974897905E-2</c:v>
                </c:pt>
                <c:pt idx="17">
                  <c:v>-0.15000000001919001</c:v>
                </c:pt>
                <c:pt idx="18">
                  <c:v>-4.9999999987449001E-2</c:v>
                </c:pt>
                <c:pt idx="19">
                  <c:v>-4.9999999987449001E-2</c:v>
                </c:pt>
                <c:pt idx="20">
                  <c:v>-5.0000000044292399E-2</c:v>
                </c:pt>
                <c:pt idx="21">
                  <c:v>-9.9999999974897905E-2</c:v>
                </c:pt>
                <c:pt idx="22">
                  <c:v>0.10000000001279399</c:v>
                </c:pt>
                <c:pt idx="23">
                  <c:v>1.99999999949796E-2</c:v>
                </c:pt>
                <c:pt idx="24">
                  <c:v>-1.8000000000029099</c:v>
                </c:pt>
              </c:numCache>
            </c:numRef>
          </c:val>
        </c:ser>
        <c:ser>
          <c:idx val="1"/>
          <c:order val="1"/>
          <c:tx>
            <c:strRef>
              <c:f>'zk80+720'!$H$4:$L$4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'zk80+720'!$A$6:$A$40</c:f>
              <c:numCache>
                <c:formatCode>m"月"d"日";@</c:formatCode>
                <c:ptCount val="35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'zk80+720'!$L$6:$L$37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-0.199999999949796</c:v>
                </c:pt>
                <c:pt idx="2">
                  <c:v>-0.20000000006348301</c:v>
                </c:pt>
                <c:pt idx="3">
                  <c:v>-0.29999999992469401</c:v>
                </c:pt>
                <c:pt idx="4">
                  <c:v>-9.9999999974897905E-2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-0.49999999998817701</c:v>
                </c:pt>
                <c:pt idx="8">
                  <c:v>9.9999999974897905E-2</c:v>
                </c:pt>
                <c:pt idx="9">
                  <c:v>-0.20000000006348301</c:v>
                </c:pt>
                <c:pt idx="10">
                  <c:v>-0.199999999949796</c:v>
                </c:pt>
                <c:pt idx="11">
                  <c:v>-9.9999999974897905E-2</c:v>
                </c:pt>
                <c:pt idx="12">
                  <c:v>-0.20000000006348301</c:v>
                </c:pt>
                <c:pt idx="13">
                  <c:v>-9.9999999974897905E-2</c:v>
                </c:pt>
                <c:pt idx="14">
                  <c:v>-0.100000000031741</c:v>
                </c:pt>
                <c:pt idx="15">
                  <c:v>-4.9999999987449001E-2</c:v>
                </c:pt>
                <c:pt idx="16">
                  <c:v>-0.149999999962347</c:v>
                </c:pt>
                <c:pt idx="17">
                  <c:v>-0.100000000031741</c:v>
                </c:pt>
                <c:pt idx="18">
                  <c:v>4.9999999987449001E-2</c:v>
                </c:pt>
                <c:pt idx="19">
                  <c:v>0.100000000031741</c:v>
                </c:pt>
                <c:pt idx="20">
                  <c:v>-0.35000000002582998</c:v>
                </c:pt>
                <c:pt idx="21">
                  <c:v>4.9999999987449001E-2</c:v>
                </c:pt>
                <c:pt idx="22">
                  <c:v>-6.6666666649931997E-2</c:v>
                </c:pt>
                <c:pt idx="23">
                  <c:v>1.99999999949796E-2</c:v>
                </c:pt>
              </c:numCache>
            </c:numRef>
          </c:val>
        </c:ser>
        <c:ser>
          <c:idx val="2"/>
          <c:order val="2"/>
          <c:tx>
            <c:strRef>
              <c:f>'zk80+720'!$M$4:$Q$4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'zk80+720'!$A$6:$A$40</c:f>
              <c:numCache>
                <c:formatCode>m"月"d"日";@</c:formatCode>
                <c:ptCount val="35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'zk80+720'!$Q$6:$Q$33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-0.40000000001327901</c:v>
                </c:pt>
                <c:pt idx="4">
                  <c:v>0.59999999996307496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-9.9999999974897905E-2</c:v>
                </c:pt>
                <c:pt idx="8">
                  <c:v>-0.30000000003838101</c:v>
                </c:pt>
                <c:pt idx="9">
                  <c:v>-0.199999999949796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-0.199999999949796</c:v>
                </c:pt>
                <c:pt idx="13">
                  <c:v>-0.100000000031741</c:v>
                </c:pt>
                <c:pt idx="14">
                  <c:v>-0.149999999962347</c:v>
                </c:pt>
                <c:pt idx="15">
                  <c:v>-5.0000000044292399E-2</c:v>
                </c:pt>
                <c:pt idx="16">
                  <c:v>-9.9999999974897905E-2</c:v>
                </c:pt>
                <c:pt idx="17">
                  <c:v>-4.9999999987449001E-2</c:v>
                </c:pt>
                <c:pt idx="18">
                  <c:v>-0.15000000001919001</c:v>
                </c:pt>
                <c:pt idx="19">
                  <c:v>-0.15000000001919001</c:v>
                </c:pt>
                <c:pt idx="20">
                  <c:v>-0.149999999962347</c:v>
                </c:pt>
                <c:pt idx="21">
                  <c:v>4.9999999987449001E-2</c:v>
                </c:pt>
                <c:pt idx="22">
                  <c:v>3.3333333324965998E-2</c:v>
                </c:pt>
                <c:pt idx="23">
                  <c:v>-3.9999999989959199E-2</c:v>
                </c:pt>
              </c:numCache>
            </c:numRef>
          </c:val>
        </c:ser>
        <c:dLbls/>
        <c:marker val="1"/>
        <c:axId val="402174720"/>
        <c:axId val="402176640"/>
      </c:lineChart>
      <c:dateAx>
        <c:axId val="4021747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176640"/>
        <c:crossesAt val="-50"/>
        <c:auto val="1"/>
        <c:lblOffset val="100"/>
        <c:baseTimeUnit val="days"/>
        <c:majorUnit val="4"/>
        <c:majorTimeUnit val="days"/>
      </c:dateAx>
      <c:valAx>
        <c:axId val="40217664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17472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'zk80+720'!$U$4:$W$4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'zk80+720'!$S$6:$S$43</c:f>
              <c:numCache>
                <c:formatCode>m"月"d"日";@</c:formatCode>
                <c:ptCount val="38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'zk80+720'!$W$6:$W$34</c:f>
              <c:numCache>
                <c:formatCode>0.00_ </c:formatCode>
                <c:ptCount val="29"/>
                <c:pt idx="0">
                  <c:v>0</c:v>
                </c:pt>
                <c:pt idx="1">
                  <c:v>0.20000000000130999</c:v>
                </c:pt>
                <c:pt idx="2">
                  <c:v>-0.10000000000154299</c:v>
                </c:pt>
                <c:pt idx="3">
                  <c:v>0.20000000000130999</c:v>
                </c:pt>
                <c:pt idx="4">
                  <c:v>0.19999999999953399</c:v>
                </c:pt>
                <c:pt idx="5">
                  <c:v>0.19999999999953399</c:v>
                </c:pt>
                <c:pt idx="6">
                  <c:v>-9.99999999997669E-2</c:v>
                </c:pt>
                <c:pt idx="7">
                  <c:v>0.50000000000949296</c:v>
                </c:pt>
                <c:pt idx="8">
                  <c:v>0.20000000000130999</c:v>
                </c:pt>
                <c:pt idx="9">
                  <c:v>-0.100000000010425</c:v>
                </c:pt>
                <c:pt idx="10">
                  <c:v>9.99999999997669E-2</c:v>
                </c:pt>
                <c:pt idx="11">
                  <c:v>0.60000000000926001</c:v>
                </c:pt>
                <c:pt idx="12">
                  <c:v>0.20000000000130999</c:v>
                </c:pt>
                <c:pt idx="13">
                  <c:v>9.99999999997669E-2</c:v>
                </c:pt>
                <c:pt idx="14">
                  <c:v>9.99999999997669E-2</c:v>
                </c:pt>
                <c:pt idx="15">
                  <c:v>4.99999999954426E-2</c:v>
                </c:pt>
                <c:pt idx="16">
                  <c:v>0.15000000000941999</c:v>
                </c:pt>
                <c:pt idx="17">
                  <c:v>0.100000000000655</c:v>
                </c:pt>
                <c:pt idx="18">
                  <c:v>4.9999999989225302E-2</c:v>
                </c:pt>
                <c:pt idx="19">
                  <c:v>0.20000000000042201</c:v>
                </c:pt>
                <c:pt idx="20">
                  <c:v>-4.9999999990113501E-2</c:v>
                </c:pt>
                <c:pt idx="21">
                  <c:v>-5.0000000009653399E-2</c:v>
                </c:pt>
                <c:pt idx="22">
                  <c:v>0.10000000000628</c:v>
                </c:pt>
                <c:pt idx="23">
                  <c:v>-2.0000000003861401E-2</c:v>
                </c:pt>
                <c:pt idx="24">
                  <c:v>-1.50000000000006</c:v>
                </c:pt>
              </c:numCache>
            </c:numRef>
          </c:val>
        </c:ser>
        <c:ser>
          <c:idx val="1"/>
          <c:order val="1"/>
          <c:tx>
            <c:strRef>
              <c:f>'zk80+720'!$Y$4:$AA$4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'zk80+720'!$S$6:$S$43</c:f>
              <c:numCache>
                <c:formatCode>m"月"d"日";@</c:formatCode>
                <c:ptCount val="38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'zk80+720'!$AA$6:$AA$33</c:f>
              <c:numCache>
                <c:formatCode>0.00_ </c:formatCode>
                <c:ptCount val="28"/>
                <c:pt idx="0">
                  <c:v>0</c:v>
                </c:pt>
                <c:pt idx="1">
                  <c:v>-9.99999999997669E-2</c:v>
                </c:pt>
                <c:pt idx="2">
                  <c:v>-0.20000000000130999</c:v>
                </c:pt>
                <c:pt idx="3">
                  <c:v>-0.19999999999953399</c:v>
                </c:pt>
                <c:pt idx="4">
                  <c:v>-9.99999999997669E-2</c:v>
                </c:pt>
                <c:pt idx="5">
                  <c:v>-0.29999999999930099</c:v>
                </c:pt>
                <c:pt idx="6">
                  <c:v>-0.20000000000130999</c:v>
                </c:pt>
                <c:pt idx="7">
                  <c:v>-9.99999999997669E-2</c:v>
                </c:pt>
                <c:pt idx="8">
                  <c:v>-0.29999999999930099</c:v>
                </c:pt>
                <c:pt idx="9">
                  <c:v>-0.20000000000130999</c:v>
                </c:pt>
                <c:pt idx="10">
                  <c:v>0.10000000000154299</c:v>
                </c:pt>
                <c:pt idx="11">
                  <c:v>-0.50000000000061096</c:v>
                </c:pt>
                <c:pt idx="12">
                  <c:v>-0.19999999999953399</c:v>
                </c:pt>
                <c:pt idx="13">
                  <c:v>-0.100000000000655</c:v>
                </c:pt>
                <c:pt idx="14">
                  <c:v>5.0000000000771601E-2</c:v>
                </c:pt>
                <c:pt idx="15">
                  <c:v>-0.25000000000030598</c:v>
                </c:pt>
                <c:pt idx="16">
                  <c:v>-9.99999999997669E-2</c:v>
                </c:pt>
                <c:pt idx="17">
                  <c:v>-4.9999999999883499E-2</c:v>
                </c:pt>
                <c:pt idx="18">
                  <c:v>-0.15000000000053901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-0.14999999999965</c:v>
                </c:pt>
                <c:pt idx="22">
                  <c:v>0</c:v>
                </c:pt>
                <c:pt idx="23">
                  <c:v>1.9999999999953399E-2</c:v>
                </c:pt>
                <c:pt idx="24">
                  <c:v>-5.7692307692309902E-2</c:v>
                </c:pt>
              </c:numCache>
            </c:numRef>
          </c:val>
        </c:ser>
        <c:ser>
          <c:idx val="2"/>
          <c:order val="2"/>
          <c:tx>
            <c:strRef>
              <c:f>'zk80+720'!$AC$4:$AE$4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'zk80+720'!$S$6:$S$43</c:f>
              <c:numCache>
                <c:formatCode>m"月"d"日";@</c:formatCode>
                <c:ptCount val="38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'zk80+720'!$AE$6:$AE$40</c:f>
              <c:numCache>
                <c:formatCode>0.00_ </c:formatCode>
                <c:ptCount val="35"/>
                <c:pt idx="0">
                  <c:v>0</c:v>
                </c:pt>
                <c:pt idx="1">
                  <c:v>-0.19999999999953399</c:v>
                </c:pt>
                <c:pt idx="2">
                  <c:v>-9.99999999997669E-2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-0.19999999999953399</c:v>
                </c:pt>
                <c:pt idx="8">
                  <c:v>9.99999999997669E-2</c:v>
                </c:pt>
                <c:pt idx="9">
                  <c:v>-0.50000000000061096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-0.19999999999953399</c:v>
                </c:pt>
                <c:pt idx="13">
                  <c:v>-0.100000000000655</c:v>
                </c:pt>
                <c:pt idx="14">
                  <c:v>5.0000000000771601E-2</c:v>
                </c:pt>
                <c:pt idx="15">
                  <c:v>-0.25000000000030598</c:v>
                </c:pt>
                <c:pt idx="16">
                  <c:v>-9.99999999997669E-2</c:v>
                </c:pt>
                <c:pt idx="17">
                  <c:v>4.9999999999883499E-2</c:v>
                </c:pt>
                <c:pt idx="18">
                  <c:v>-0.25000000000030598</c:v>
                </c:pt>
                <c:pt idx="19">
                  <c:v>-9.99999999997669E-2</c:v>
                </c:pt>
                <c:pt idx="20">
                  <c:v>0</c:v>
                </c:pt>
                <c:pt idx="21">
                  <c:v>-0.15000000000053901</c:v>
                </c:pt>
                <c:pt idx="22">
                  <c:v>3.3333333333847803E-2</c:v>
                </c:pt>
                <c:pt idx="23">
                  <c:v>1.9999999999953399E-2</c:v>
                </c:pt>
              </c:numCache>
            </c:numRef>
          </c:val>
        </c:ser>
        <c:dLbls/>
        <c:marker val="1"/>
        <c:axId val="402297600"/>
        <c:axId val="402299904"/>
      </c:lineChart>
      <c:dateAx>
        <c:axId val="40229760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299904"/>
        <c:crossesAt val="-50"/>
        <c:auto val="1"/>
        <c:lblOffset val="100"/>
        <c:baseTimeUnit val="days"/>
        <c:majorUnit val="4"/>
        <c:majorTimeUnit val="days"/>
      </c:dateAx>
      <c:valAx>
        <c:axId val="402299904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297600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k80+720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'zk80+720'!$C$4:$G$4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'zk80+720'!$A$6:$A$36</c:f>
              <c:numCache>
                <c:formatCode>m"月"d"日";@</c:formatCode>
                <c:ptCount val="31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'zk80+720'!$F$6:$F$24</c:f>
              <c:numCache>
                <c:formatCode>0.00_ </c:formatCode>
                <c:ptCount val="19"/>
                <c:pt idx="0">
                  <c:v>0</c:v>
                </c:pt>
                <c:pt idx="1">
                  <c:v>9.9999999974897905E-2</c:v>
                </c:pt>
                <c:pt idx="2">
                  <c:v>-9.9999999974897905E-2</c:v>
                </c:pt>
                <c:pt idx="3">
                  <c:v>-0.30000000003838101</c:v>
                </c:pt>
                <c:pt idx="4">
                  <c:v>-0.40000000001327901</c:v>
                </c:pt>
                <c:pt idx="5">
                  <c:v>-0.69999999993797202</c:v>
                </c:pt>
                <c:pt idx="6">
                  <c:v>-0.90000000000145497</c:v>
                </c:pt>
                <c:pt idx="7">
                  <c:v>-0.99999999997635303</c:v>
                </c:pt>
                <c:pt idx="8">
                  <c:v>-1.30000000001473</c:v>
                </c:pt>
                <c:pt idx="9">
                  <c:v>-1.4999999999645299</c:v>
                </c:pt>
                <c:pt idx="10">
                  <c:v>-1.39999999998963</c:v>
                </c:pt>
                <c:pt idx="11">
                  <c:v>-1.8999999999778101</c:v>
                </c:pt>
                <c:pt idx="12">
                  <c:v>-2.1000000000412902</c:v>
                </c:pt>
                <c:pt idx="13">
                  <c:v>-2.2999999999910901</c:v>
                </c:pt>
                <c:pt idx="14">
                  <c:v>-2.6000000000294698</c:v>
                </c:pt>
                <c:pt idx="15">
                  <c:v>-2.70000000000437</c:v>
                </c:pt>
                <c:pt idx="16">
                  <c:v>-2.8999999999541601</c:v>
                </c:pt>
                <c:pt idx="17">
                  <c:v>-3.1999999999925399</c:v>
                </c:pt>
                <c:pt idx="18">
                  <c:v>-3.2999999999674401</c:v>
                </c:pt>
              </c:numCache>
            </c:numRef>
          </c:val>
        </c:ser>
        <c:ser>
          <c:idx val="1"/>
          <c:order val="1"/>
          <c:tx>
            <c:strRef>
              <c:f>'zk80+720'!$H$4:$L$4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'zk80+720'!$A$6:$A$36</c:f>
              <c:numCache>
                <c:formatCode>m"月"d"日";@</c:formatCode>
                <c:ptCount val="31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'zk80+720'!$K$6:$K$32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-0.199999999949796</c:v>
                </c:pt>
                <c:pt idx="2">
                  <c:v>-0.40000000001327901</c:v>
                </c:pt>
                <c:pt idx="3">
                  <c:v>-0.69999999993797202</c:v>
                </c:pt>
                <c:pt idx="4">
                  <c:v>-0.79999999991286996</c:v>
                </c:pt>
                <c:pt idx="5">
                  <c:v>-0.99999999997635303</c:v>
                </c:pt>
                <c:pt idx="6">
                  <c:v>-1.1999999999261499</c:v>
                </c:pt>
                <c:pt idx="7">
                  <c:v>-1.69999999991433</c:v>
                </c:pt>
                <c:pt idx="8">
                  <c:v>-1.5999999999394301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-2.0999999999275998</c:v>
                </c:pt>
                <c:pt idx="12">
                  <c:v>-2.2999999999910901</c:v>
                </c:pt>
                <c:pt idx="13">
                  <c:v>-2.4999999999408802</c:v>
                </c:pt>
                <c:pt idx="14">
                  <c:v>-2.70000000000437</c:v>
                </c:pt>
                <c:pt idx="15">
                  <c:v>-2.79999999997926</c:v>
                </c:pt>
                <c:pt idx="16">
                  <c:v>-3.09999999990396</c:v>
                </c:pt>
                <c:pt idx="17">
                  <c:v>-3.2999999999674401</c:v>
                </c:pt>
                <c:pt idx="18">
                  <c:v>-3.1999999999925399</c:v>
                </c:pt>
                <c:pt idx="19">
                  <c:v>-2.9999999999290599</c:v>
                </c:pt>
                <c:pt idx="20">
                  <c:v>-3.69999999998072</c:v>
                </c:pt>
                <c:pt idx="21">
                  <c:v>-3.6000000000058199</c:v>
                </c:pt>
                <c:pt idx="22">
                  <c:v>-3.7999999999556202</c:v>
                </c:pt>
                <c:pt idx="23">
                  <c:v>-3.69999999998072</c:v>
                </c:pt>
                <c:pt idx="24">
                  <c:v>-6.9230769230881201E-2</c:v>
                </c:pt>
              </c:numCache>
            </c:numRef>
          </c:val>
        </c:ser>
        <c:ser>
          <c:idx val="2"/>
          <c:order val="2"/>
          <c:tx>
            <c:strRef>
              <c:f>'zk80+720'!$M$4:$Q$4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'zk80+720'!$A$6:$A$36</c:f>
              <c:numCache>
                <c:formatCode>m"月"d"日";@</c:formatCode>
                <c:ptCount val="31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  <c:pt idx="19">
                  <c:v>45019</c:v>
                </c:pt>
                <c:pt idx="20">
                  <c:v>45021</c:v>
                </c:pt>
                <c:pt idx="21">
                  <c:v>45023</c:v>
                </c:pt>
                <c:pt idx="22">
                  <c:v>45026</c:v>
                </c:pt>
                <c:pt idx="23">
                  <c:v>45031</c:v>
                </c:pt>
              </c:numCache>
            </c:numRef>
          </c:cat>
          <c:val>
            <c:numRef>
              <c:f>'zk80+720'!$P$6:$P$30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-0.59999999996307496</c:v>
                </c:pt>
                <c:pt idx="3">
                  <c:v>-0.99999999997635303</c:v>
                </c:pt>
                <c:pt idx="4">
                  <c:v>-0.40000000001327901</c:v>
                </c:pt>
                <c:pt idx="5">
                  <c:v>-0.59999999996307496</c:v>
                </c:pt>
                <c:pt idx="6">
                  <c:v>-0.80000000002655702</c:v>
                </c:pt>
                <c:pt idx="7">
                  <c:v>-0.90000000000145497</c:v>
                </c:pt>
                <c:pt idx="8">
                  <c:v>-1.2000000000398401</c:v>
                </c:pt>
                <c:pt idx="9">
                  <c:v>-1.39999999998963</c:v>
                </c:pt>
                <c:pt idx="10">
                  <c:v>-1.4999999999645299</c:v>
                </c:pt>
                <c:pt idx="11">
                  <c:v>-1.8000000000029099</c:v>
                </c:pt>
                <c:pt idx="12">
                  <c:v>-1.9999999999527101</c:v>
                </c:pt>
                <c:pt idx="13">
                  <c:v>-2.2000000000161899</c:v>
                </c:pt>
                <c:pt idx="14">
                  <c:v>-2.4999999999408802</c:v>
                </c:pt>
                <c:pt idx="15">
                  <c:v>-2.6000000000294698</c:v>
                </c:pt>
                <c:pt idx="16">
                  <c:v>-2.79999999997926</c:v>
                </c:pt>
                <c:pt idx="17">
                  <c:v>-2.8999999999541601</c:v>
                </c:pt>
                <c:pt idx="18">
                  <c:v>-3.1999999999925399</c:v>
                </c:pt>
                <c:pt idx="19">
                  <c:v>-3.5000000000309202</c:v>
                </c:pt>
                <c:pt idx="20">
                  <c:v>-3.7999999999556202</c:v>
                </c:pt>
                <c:pt idx="21">
                  <c:v>-3.69999999998072</c:v>
                </c:pt>
                <c:pt idx="22">
                  <c:v>-3.6000000000058199</c:v>
                </c:pt>
                <c:pt idx="23">
                  <c:v>-3.7999999999556202</c:v>
                </c:pt>
              </c:numCache>
            </c:numRef>
          </c:val>
        </c:ser>
        <c:dLbls/>
        <c:marker val="1"/>
        <c:axId val="402452864"/>
        <c:axId val="402455168"/>
      </c:lineChart>
      <c:lineChart>
        <c:grouping val="standard"/>
        <c:ser>
          <c:idx val="3"/>
          <c:order val="3"/>
          <c:tx>
            <c:strRef>
              <c:f>'zk80+720'!$AG$3:$AG$5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'zk80+720'!$A$6:$A$24</c:f>
              <c:numCache>
                <c:formatCode>m"月"d"日";@</c:formatCode>
                <c:ptCount val="19"/>
                <c:pt idx="0">
                  <c:v>44993</c:v>
                </c:pt>
                <c:pt idx="1">
                  <c:v>44994</c:v>
                </c:pt>
                <c:pt idx="2">
                  <c:v>44995</c:v>
                </c:pt>
                <c:pt idx="3">
                  <c:v>44996</c:v>
                </c:pt>
                <c:pt idx="4">
                  <c:v>44997</c:v>
                </c:pt>
                <c:pt idx="5">
                  <c:v>44998</c:v>
                </c:pt>
                <c:pt idx="6">
                  <c:v>44999</c:v>
                </c:pt>
                <c:pt idx="7">
                  <c:v>45000</c:v>
                </c:pt>
                <c:pt idx="8">
                  <c:v>45001</c:v>
                </c:pt>
                <c:pt idx="9">
                  <c:v>45002</c:v>
                </c:pt>
                <c:pt idx="10">
                  <c:v>45003</c:v>
                </c:pt>
                <c:pt idx="11">
                  <c:v>45004</c:v>
                </c:pt>
                <c:pt idx="12">
                  <c:v>45005</c:v>
                </c:pt>
                <c:pt idx="13">
                  <c:v>45007</c:v>
                </c:pt>
                <c:pt idx="14">
                  <c:v>45009</c:v>
                </c:pt>
                <c:pt idx="15">
                  <c:v>45011</c:v>
                </c:pt>
                <c:pt idx="16">
                  <c:v>45013</c:v>
                </c:pt>
                <c:pt idx="17">
                  <c:v>45015</c:v>
                </c:pt>
                <c:pt idx="18">
                  <c:v>45017</c:v>
                </c:pt>
              </c:numCache>
            </c:numRef>
          </c:cat>
          <c:val>
            <c:numRef>
              <c:f>'zk80+720'!$AG$6:$AG$33</c:f>
              <c:numCache>
                <c:formatCode>0.0_ </c:formatCode>
                <c:ptCount val="28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35</c:v>
                </c:pt>
                <c:pt idx="11">
                  <c:v>38</c:v>
                </c:pt>
                <c:pt idx="12">
                  <c:v>41</c:v>
                </c:pt>
                <c:pt idx="13">
                  <c:v>44</c:v>
                </c:pt>
                <c:pt idx="14">
                  <c:v>47</c:v>
                </c:pt>
                <c:pt idx="15">
                  <c:v>52</c:v>
                </c:pt>
                <c:pt idx="16">
                  <c:v>58</c:v>
                </c:pt>
                <c:pt idx="17">
                  <c:v>64</c:v>
                </c:pt>
                <c:pt idx="18">
                  <c:v>70</c:v>
                </c:pt>
                <c:pt idx="19">
                  <c:v>77</c:v>
                </c:pt>
                <c:pt idx="20">
                  <c:v>83</c:v>
                </c:pt>
                <c:pt idx="21">
                  <c:v>89</c:v>
                </c:pt>
                <c:pt idx="22">
                  <c:v>111</c:v>
                </c:pt>
                <c:pt idx="23">
                  <c:v>126</c:v>
                </c:pt>
              </c:numCache>
            </c:numRef>
          </c:val>
        </c:ser>
        <c:dLbls/>
        <c:marker val="1"/>
        <c:axId val="402531072"/>
        <c:axId val="402532608"/>
      </c:lineChart>
      <c:dateAx>
        <c:axId val="40245286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455168"/>
        <c:crossesAt val="-50"/>
        <c:auto val="1"/>
        <c:lblOffset val="100"/>
        <c:baseTimeUnit val="days"/>
        <c:majorUnit val="4"/>
        <c:majorTimeUnit val="days"/>
      </c:dateAx>
      <c:valAx>
        <c:axId val="402455168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452864"/>
        <c:crosses val="autoZero"/>
        <c:crossBetween val="midCat"/>
        <c:majorUnit val="1"/>
        <c:minorUnit val="0.5"/>
      </c:valAx>
      <c:dateAx>
        <c:axId val="40253107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2532608"/>
        <c:crosses val="autoZero"/>
        <c:auto val="1"/>
        <c:lblOffset val="100"/>
        <c:baseTimeUnit val="days"/>
      </c:dateAx>
      <c:valAx>
        <c:axId val="402532608"/>
        <c:scaling>
          <c:orientation val="minMax"/>
          <c:max val="15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531072"/>
        <c:crosses val="max"/>
        <c:crossBetween val="midCat"/>
        <c:majorUnit val="3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80+764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'zk80+764'!$U$4:$W$4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'zk80+764'!$S$6:$S$27</c:f>
              <c:numCache>
                <c:formatCode>m"月"d"日";@</c:formatCode>
                <c:ptCount val="22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'zk80+764'!$V$6:$V$32</c:f>
              <c:numCache>
                <c:formatCode>0.00_ </c:formatCode>
                <c:ptCount val="27"/>
                <c:pt idx="0">
                  <c:v>0</c:v>
                </c:pt>
                <c:pt idx="1">
                  <c:v>0.10000000000154299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-0.69999999999836904</c:v>
                </c:pt>
                <c:pt idx="6">
                  <c:v>-0.90000000000856095</c:v>
                </c:pt>
                <c:pt idx="7">
                  <c:v>-0.999999999999446</c:v>
                </c:pt>
                <c:pt idx="8">
                  <c:v>-1.3000000000094001</c:v>
                </c:pt>
                <c:pt idx="9">
                  <c:v>-1.50000000000894</c:v>
                </c:pt>
                <c:pt idx="10">
                  <c:v>-1.39999999999851</c:v>
                </c:pt>
                <c:pt idx="11">
                  <c:v>-1.9000000000097801</c:v>
                </c:pt>
                <c:pt idx="12">
                  <c:v>-2.1000000000093202</c:v>
                </c:pt>
                <c:pt idx="13">
                  <c:v>-1.99999999999889</c:v>
                </c:pt>
                <c:pt idx="14">
                  <c:v>-2.5000000000190399</c:v>
                </c:pt>
                <c:pt idx="15">
                  <c:v>-2.70000000001858</c:v>
                </c:pt>
                <c:pt idx="16">
                  <c:v>-2.7999999999987999</c:v>
                </c:pt>
                <c:pt idx="17">
                  <c:v>-3.1000000000194201</c:v>
                </c:pt>
                <c:pt idx="18">
                  <c:v>-2.99999999999834</c:v>
                </c:pt>
                <c:pt idx="19">
                  <c:v>-2.8999999999772501</c:v>
                </c:pt>
                <c:pt idx="20">
                  <c:v>-2.79999999995617</c:v>
                </c:pt>
                <c:pt idx="21">
                  <c:v>9.9999999999759837E-2</c:v>
                </c:pt>
              </c:numCache>
            </c:numRef>
          </c:val>
        </c:ser>
        <c:ser>
          <c:idx val="1"/>
          <c:order val="1"/>
          <c:tx>
            <c:strRef>
              <c:f>'zk80+764'!$Y$4:$AA$4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'zk80+764'!$S$6:$S$27</c:f>
              <c:numCache>
                <c:formatCode>m"月"d"日";@</c:formatCode>
                <c:ptCount val="22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'zk80+764'!$Z$6:$Z$33</c:f>
              <c:numCache>
                <c:formatCode>0.00_ </c:formatCode>
                <c:ptCount val="28"/>
                <c:pt idx="0">
                  <c:v>0</c:v>
                </c:pt>
                <c:pt idx="1">
                  <c:v>-0.20000000000130999</c:v>
                </c:pt>
                <c:pt idx="2">
                  <c:v>-0.50000000000061096</c:v>
                </c:pt>
                <c:pt idx="3">
                  <c:v>-0.70000000000014495</c:v>
                </c:pt>
                <c:pt idx="4">
                  <c:v>-0.90000000000145497</c:v>
                </c:pt>
                <c:pt idx="5">
                  <c:v>-0.80000000000168803</c:v>
                </c:pt>
                <c:pt idx="6">
                  <c:v>-1.3000000000005201</c:v>
                </c:pt>
                <c:pt idx="7">
                  <c:v>-1.50000000000006</c:v>
                </c:pt>
                <c:pt idx="8">
                  <c:v>-1.6000000000015999</c:v>
                </c:pt>
                <c:pt idx="9">
                  <c:v>-1.9000000000009001</c:v>
                </c:pt>
                <c:pt idx="10">
                  <c:v>-2.10000000000043</c:v>
                </c:pt>
                <c:pt idx="11">
                  <c:v>-2.0000000000006701</c:v>
                </c:pt>
                <c:pt idx="12">
                  <c:v>-2.5000000000012799</c:v>
                </c:pt>
                <c:pt idx="13">
                  <c:v>-2.7000000000008102</c:v>
                </c:pt>
                <c:pt idx="14">
                  <c:v>-2.6000000000010499</c:v>
                </c:pt>
                <c:pt idx="15">
                  <c:v>-3.1000000000016601</c:v>
                </c:pt>
                <c:pt idx="16">
                  <c:v>-3.30000000000119</c:v>
                </c:pt>
                <c:pt idx="17">
                  <c:v>-3.40000000000096</c:v>
                </c:pt>
                <c:pt idx="18">
                  <c:v>-3.30000000000119</c:v>
                </c:pt>
                <c:pt idx="19">
                  <c:v>-3.2000000000014199</c:v>
                </c:pt>
                <c:pt idx="20">
                  <c:v>-3.1000000000016601</c:v>
                </c:pt>
                <c:pt idx="21">
                  <c:v>-4.2000000000577096</c:v>
                </c:pt>
              </c:numCache>
            </c:numRef>
          </c:val>
        </c:ser>
        <c:ser>
          <c:idx val="2"/>
          <c:order val="2"/>
          <c:tx>
            <c:strRef>
              <c:f>'zk80+764'!$AC$4:$AE$4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'zk80+764'!$S$6:$S$27</c:f>
              <c:numCache>
                <c:formatCode>m"月"d"日";@</c:formatCode>
                <c:ptCount val="22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-0.30000000000107702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-1.2000000000114099</c:v>
                </c:pt>
                <c:pt idx="7">
                  <c:v>-1.40000000001095</c:v>
                </c:pt>
                <c:pt idx="8">
                  <c:v>-1.3000000000005201</c:v>
                </c:pt>
                <c:pt idx="9">
                  <c:v>-1.80000000001002</c:v>
                </c:pt>
                <c:pt idx="10">
                  <c:v>-2.00000000001133</c:v>
                </c:pt>
                <c:pt idx="11">
                  <c:v>-2.10000000000043</c:v>
                </c:pt>
                <c:pt idx="12">
                  <c:v>-2.4000000000103898</c:v>
                </c:pt>
                <c:pt idx="13">
                  <c:v>-2.6000000000205898</c:v>
                </c:pt>
                <c:pt idx="14">
                  <c:v>-2.5000000000012799</c:v>
                </c:pt>
                <c:pt idx="15">
                  <c:v>-3.00000000002143</c:v>
                </c:pt>
                <c:pt idx="16">
                  <c:v>-3.2000000000209599</c:v>
                </c:pt>
                <c:pt idx="17">
                  <c:v>-3.30000000000119</c:v>
                </c:pt>
                <c:pt idx="18">
                  <c:v>-3.6000000000200298</c:v>
                </c:pt>
                <c:pt idx="19">
                  <c:v>-3.9000000000388702</c:v>
                </c:pt>
                <c:pt idx="20">
                  <c:v>-4.2000000000577096</c:v>
                </c:pt>
              </c:numCache>
            </c:numRef>
          </c:val>
        </c:ser>
        <c:dLbls/>
        <c:marker val="1"/>
        <c:axId val="346907776"/>
        <c:axId val="346910080"/>
      </c:lineChart>
      <c:lineChart>
        <c:grouping val="standard"/>
        <c:ser>
          <c:idx val="3"/>
          <c:order val="3"/>
          <c:tx>
            <c:strRef>
              <c:f>'zk80+764'!$AG$3:$AG$5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'zk80+764'!$S$6:$S$27</c:f>
              <c:numCache>
                <c:formatCode>m"月"d"日";@</c:formatCode>
                <c:ptCount val="22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57</c:v>
                </c:pt>
                <c:pt idx="18">
                  <c:v>60</c:v>
                </c:pt>
                <c:pt idx="19">
                  <c:v>63</c:v>
                </c:pt>
                <c:pt idx="20">
                  <c:v>66</c:v>
                </c:pt>
              </c:numCache>
            </c:numRef>
          </c:val>
        </c:ser>
        <c:dLbls/>
        <c:marker val="1"/>
        <c:axId val="346928640"/>
        <c:axId val="346930176"/>
      </c:lineChart>
      <c:dateAx>
        <c:axId val="34690777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910080"/>
        <c:crossesAt val="-50"/>
        <c:auto val="1"/>
        <c:lblOffset val="100"/>
        <c:baseTimeUnit val="days"/>
        <c:majorUnit val="4"/>
        <c:majorTimeUnit val="days"/>
      </c:dateAx>
      <c:valAx>
        <c:axId val="346910080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907776"/>
        <c:crosses val="autoZero"/>
        <c:crossBetween val="midCat"/>
        <c:majorUnit val="1.4"/>
        <c:minorUnit val="0.1"/>
      </c:valAx>
      <c:dateAx>
        <c:axId val="346928640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346930176"/>
        <c:crosses val="autoZero"/>
        <c:auto val="1"/>
        <c:lblOffset val="100"/>
        <c:baseTimeUnit val="days"/>
      </c:dateAx>
      <c:valAx>
        <c:axId val="346930176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928640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80+764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'zk80+764'!$C$4:$G$4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'zk80+764'!$A$6:$A$38</c:f>
              <c:numCache>
                <c:formatCode>m"月"d"日";@</c:formatCode>
                <c:ptCount val="33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-0.29999999992469401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-0.20000000006348301</c:v>
                </c:pt>
                <c:pt idx="11">
                  <c:v>-9.9999999974897905E-2</c:v>
                </c:pt>
                <c:pt idx="12">
                  <c:v>-0.29999999992469401</c:v>
                </c:pt>
                <c:pt idx="13">
                  <c:v>-0.20000000006348301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-9.9999999974897905E-2</c:v>
                </c:pt>
                <c:pt idx="17">
                  <c:v>9.9999999974897905E-2</c:v>
                </c:pt>
                <c:pt idx="18">
                  <c:v>-4.9999999987449001E-2</c:v>
                </c:pt>
                <c:pt idx="19">
                  <c:v>-4.9999999987449001E-2</c:v>
                </c:pt>
                <c:pt idx="20">
                  <c:v>-4.9999999987449001E-2</c:v>
                </c:pt>
                <c:pt idx="21">
                  <c:v>9.9999999974900167E-2</c:v>
                </c:pt>
              </c:numCache>
            </c:numRef>
          </c:val>
        </c:ser>
        <c:ser>
          <c:idx val="1"/>
          <c:order val="1"/>
          <c:tx>
            <c:strRef>
              <c:f>'zk80+764'!$H$4:$L$4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'zk80+764'!$A$6:$A$38</c:f>
              <c:numCache>
                <c:formatCode>m"月"d"日";@</c:formatCode>
                <c:ptCount val="33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9.9999999974897905E-2</c:v>
                </c:pt>
                <c:pt idx="6">
                  <c:v>-0.49999999998817701</c:v>
                </c:pt>
                <c:pt idx="7">
                  <c:v>-0.199999999949796</c:v>
                </c:pt>
                <c:pt idx="8">
                  <c:v>-0.10000000008858501</c:v>
                </c:pt>
                <c:pt idx="9">
                  <c:v>-0.29999999992469401</c:v>
                </c:pt>
                <c:pt idx="10">
                  <c:v>-0.20000000006348301</c:v>
                </c:pt>
                <c:pt idx="11">
                  <c:v>0.30000000003838101</c:v>
                </c:pt>
                <c:pt idx="12">
                  <c:v>-0.70000000005165897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-0.24999999999408801</c:v>
                </c:pt>
                <c:pt idx="16">
                  <c:v>-4.9999999987449001E-2</c:v>
                </c:pt>
                <c:pt idx="17">
                  <c:v>-0.15000000001919001</c:v>
                </c:pt>
                <c:pt idx="18">
                  <c:v>-9.9999999974897905E-2</c:v>
                </c:pt>
                <c:pt idx="19">
                  <c:v>-0.100000000031741</c:v>
                </c:pt>
                <c:pt idx="20">
                  <c:v>-9.9999999974897905E-2</c:v>
                </c:pt>
              </c:numCache>
            </c:numRef>
          </c:val>
        </c:ser>
        <c:ser>
          <c:idx val="2"/>
          <c:order val="2"/>
          <c:tx>
            <c:strRef>
              <c:f>'zk80+764'!$M$4:$Q$4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'zk80+764'!$A$6:$A$38</c:f>
              <c:numCache>
                <c:formatCode>m"月"d"日";@</c:formatCode>
                <c:ptCount val="33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-0.199999999949796</c:v>
                </c:pt>
                <c:pt idx="2">
                  <c:v>9.9999999974897905E-2</c:v>
                </c:pt>
                <c:pt idx="3">
                  <c:v>-0.199999999949796</c:v>
                </c:pt>
                <c:pt idx="4">
                  <c:v>-0.20000000006348301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-9.9999999974897905E-2</c:v>
                </c:pt>
                <c:pt idx="9">
                  <c:v>-0.30000000003838101</c:v>
                </c:pt>
                <c:pt idx="10">
                  <c:v>-0.20000000006348301</c:v>
                </c:pt>
                <c:pt idx="11">
                  <c:v>-0.199999999949796</c:v>
                </c:pt>
                <c:pt idx="12">
                  <c:v>-0.199999999949796</c:v>
                </c:pt>
                <c:pt idx="13">
                  <c:v>9.9999999974897905E-2</c:v>
                </c:pt>
                <c:pt idx="14">
                  <c:v>-0.49999999998817701</c:v>
                </c:pt>
                <c:pt idx="15">
                  <c:v>-0.100000000031741</c:v>
                </c:pt>
                <c:pt idx="16">
                  <c:v>0</c:v>
                </c:pt>
                <c:pt idx="17">
                  <c:v>-0.20000000000663901</c:v>
                </c:pt>
                <c:pt idx="18">
                  <c:v>5.0000000044292399E-2</c:v>
                </c:pt>
                <c:pt idx="19">
                  <c:v>4.9999999987449001E-2</c:v>
                </c:pt>
                <c:pt idx="20">
                  <c:v>4.9999999987449001E-2</c:v>
                </c:pt>
              </c:numCache>
            </c:numRef>
          </c:val>
        </c:ser>
        <c:dLbls/>
        <c:marker val="1"/>
        <c:axId val="402607488"/>
        <c:axId val="402638720"/>
      </c:lineChart>
      <c:dateAx>
        <c:axId val="40260748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638720"/>
        <c:crossesAt val="-50"/>
        <c:auto val="1"/>
        <c:lblOffset val="100"/>
        <c:baseTimeUnit val="days"/>
        <c:majorUnit val="4"/>
        <c:majorTimeUnit val="days"/>
      </c:dateAx>
      <c:valAx>
        <c:axId val="402638720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60748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80+764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'zk80+764'!$U$4:$W$4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'zk80+764'!$S$6:$S$41</c:f>
              <c:numCache>
                <c:formatCode>m"月"d"日";@</c:formatCode>
                <c:ptCount val="36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'zk80+764'!$W$6:$W$32</c:f>
              <c:numCache>
                <c:formatCode>0.00_ </c:formatCode>
                <c:ptCount val="27"/>
                <c:pt idx="0">
                  <c:v>0</c:v>
                </c:pt>
                <c:pt idx="1">
                  <c:v>-0.10000000000154299</c:v>
                </c:pt>
                <c:pt idx="2">
                  <c:v>0.20000000000130999</c:v>
                </c:pt>
                <c:pt idx="3">
                  <c:v>0.19999999999953399</c:v>
                </c:pt>
                <c:pt idx="4">
                  <c:v>9.99999999997669E-2</c:v>
                </c:pt>
                <c:pt idx="5">
                  <c:v>0.29999999999930099</c:v>
                </c:pt>
                <c:pt idx="6">
                  <c:v>0.200000000010192</c:v>
                </c:pt>
                <c:pt idx="7">
                  <c:v>9.9999999990885199E-2</c:v>
                </c:pt>
                <c:pt idx="8">
                  <c:v>0.30000000000995902</c:v>
                </c:pt>
                <c:pt idx="9">
                  <c:v>0.19999999999953399</c:v>
                </c:pt>
                <c:pt idx="10">
                  <c:v>-0.100000000010425</c:v>
                </c:pt>
                <c:pt idx="11">
                  <c:v>0.50000000001126899</c:v>
                </c:pt>
                <c:pt idx="12">
                  <c:v>0.19999999999953399</c:v>
                </c:pt>
                <c:pt idx="13">
                  <c:v>-0.100000000010425</c:v>
                </c:pt>
                <c:pt idx="14">
                  <c:v>0.50000000002015099</c:v>
                </c:pt>
                <c:pt idx="15">
                  <c:v>9.99999999997669E-2</c:v>
                </c:pt>
                <c:pt idx="16">
                  <c:v>4.9999999990113501E-2</c:v>
                </c:pt>
                <c:pt idx="17">
                  <c:v>0.150000000010309</c:v>
                </c:pt>
                <c:pt idx="18">
                  <c:v>-5.0000000010541598E-2</c:v>
                </c:pt>
                <c:pt idx="19">
                  <c:v>-5.0000000010541598E-2</c:v>
                </c:pt>
                <c:pt idx="20">
                  <c:v>-5.0000000010541598E-2</c:v>
                </c:pt>
                <c:pt idx="21">
                  <c:v>-0.30000000001883942</c:v>
                </c:pt>
              </c:numCache>
            </c:numRef>
          </c:val>
        </c:ser>
        <c:ser>
          <c:idx val="1"/>
          <c:order val="1"/>
          <c:tx>
            <c:strRef>
              <c:f>'zk80+764'!$Y$4:$AA$4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'zk80+764'!$S$6:$S$41</c:f>
              <c:numCache>
                <c:formatCode>m"月"d"日";@</c:formatCode>
                <c:ptCount val="36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-0.20000000000130999</c:v>
                </c:pt>
                <c:pt idx="2">
                  <c:v>-0.29999999999930099</c:v>
                </c:pt>
                <c:pt idx="3">
                  <c:v>-0.19999999999953399</c:v>
                </c:pt>
                <c:pt idx="4">
                  <c:v>-0.20000000000130999</c:v>
                </c:pt>
                <c:pt idx="5">
                  <c:v>9.99999999997669E-2</c:v>
                </c:pt>
                <c:pt idx="6">
                  <c:v>-0.49999999999883499</c:v>
                </c:pt>
                <c:pt idx="7">
                  <c:v>-0.19999999999953399</c:v>
                </c:pt>
                <c:pt idx="8">
                  <c:v>-0.10000000000154299</c:v>
                </c:pt>
                <c:pt idx="9">
                  <c:v>-0.29999999999930099</c:v>
                </c:pt>
                <c:pt idx="10">
                  <c:v>-0.19999999999953399</c:v>
                </c:pt>
                <c:pt idx="11">
                  <c:v>9.99999999997669E-2</c:v>
                </c:pt>
                <c:pt idx="12">
                  <c:v>-0.50000000000061096</c:v>
                </c:pt>
                <c:pt idx="13">
                  <c:v>-0.19999999999953399</c:v>
                </c:pt>
                <c:pt idx="14">
                  <c:v>9.99999999997669E-2</c:v>
                </c:pt>
                <c:pt idx="15">
                  <c:v>-0.25000000000030598</c:v>
                </c:pt>
                <c:pt idx="16">
                  <c:v>-9.99999999997669E-2</c:v>
                </c:pt>
                <c:pt idx="17">
                  <c:v>-4.9999999999883499E-2</c:v>
                </c:pt>
                <c:pt idx="18">
                  <c:v>4.9999999999883499E-2</c:v>
                </c:pt>
                <c:pt idx="19">
                  <c:v>4.9999999999883499E-2</c:v>
                </c:pt>
                <c:pt idx="20">
                  <c:v>4.9999999999883499E-2</c:v>
                </c:pt>
                <c:pt idx="21">
                  <c:v>-0.15000000000941971</c:v>
                </c:pt>
              </c:numCache>
            </c:numRef>
          </c:val>
        </c:ser>
        <c:ser>
          <c:idx val="2"/>
          <c:order val="2"/>
          <c:tx>
            <c:strRef>
              <c:f>'zk80+764'!$AC$4:$AE$4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'zk80+764'!$S$6:$S$41</c:f>
              <c:numCache>
                <c:formatCode>m"月"d"日";@</c:formatCode>
                <c:ptCount val="36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-0.50000000001126899</c:v>
                </c:pt>
                <c:pt idx="7">
                  <c:v>-0.19999999999953399</c:v>
                </c:pt>
                <c:pt idx="8">
                  <c:v>0.100000000010425</c:v>
                </c:pt>
                <c:pt idx="9">
                  <c:v>-0.50000000000949296</c:v>
                </c:pt>
                <c:pt idx="10">
                  <c:v>-0.20000000000130999</c:v>
                </c:pt>
                <c:pt idx="11">
                  <c:v>-9.9999999989108801E-2</c:v>
                </c:pt>
                <c:pt idx="12">
                  <c:v>-0.30000000000995902</c:v>
                </c:pt>
                <c:pt idx="13">
                  <c:v>-0.200000000010192</c:v>
                </c:pt>
                <c:pt idx="14">
                  <c:v>0.10000000001930701</c:v>
                </c:pt>
                <c:pt idx="15">
                  <c:v>-0.250000000010075</c:v>
                </c:pt>
                <c:pt idx="16">
                  <c:v>-9.99999999997669E-2</c:v>
                </c:pt>
                <c:pt idx="17">
                  <c:v>-4.9999999990113501E-2</c:v>
                </c:pt>
                <c:pt idx="18">
                  <c:v>-0.15000000000941999</c:v>
                </c:pt>
                <c:pt idx="19">
                  <c:v>-0.15000000000941999</c:v>
                </c:pt>
                <c:pt idx="20">
                  <c:v>-0.15000000000941999</c:v>
                </c:pt>
              </c:numCache>
            </c:numRef>
          </c:val>
        </c:ser>
        <c:dLbls/>
        <c:marker val="1"/>
        <c:axId val="346984832"/>
        <c:axId val="346987136"/>
      </c:lineChart>
      <c:dateAx>
        <c:axId val="34698483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987136"/>
        <c:crossesAt val="-50"/>
        <c:auto val="1"/>
        <c:lblOffset val="100"/>
        <c:baseTimeUnit val="days"/>
        <c:majorUnit val="4"/>
        <c:majorTimeUnit val="days"/>
      </c:dateAx>
      <c:valAx>
        <c:axId val="34698713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46984832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k80+764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'zk80+764'!$C$4:$G$4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'zk80+764'!$A$6:$A$34</c:f>
              <c:numCache>
                <c:formatCode>m"月"d"日";@</c:formatCode>
                <c:ptCount val="29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'zk80+764'!$F$6:$F$24</c:f>
              <c:numCache>
                <c:formatCode>0.00_ </c:formatCode>
                <c:ptCount val="19"/>
                <c:pt idx="0">
                  <c:v>0</c:v>
                </c:pt>
                <c:pt idx="1">
                  <c:v>-0.29999999992469401</c:v>
                </c:pt>
                <c:pt idx="2">
                  <c:v>-0.199999999949796</c:v>
                </c:pt>
                <c:pt idx="3">
                  <c:v>-0.39999999989959201</c:v>
                </c:pt>
                <c:pt idx="4">
                  <c:v>-0.59999999996307496</c:v>
                </c:pt>
                <c:pt idx="5">
                  <c:v>-0.69999999993797202</c:v>
                </c:pt>
                <c:pt idx="6">
                  <c:v>-0.99999999997635303</c:v>
                </c:pt>
                <c:pt idx="7">
                  <c:v>-1.1999999999261499</c:v>
                </c:pt>
                <c:pt idx="8">
                  <c:v>-1.2999999999010501</c:v>
                </c:pt>
                <c:pt idx="9">
                  <c:v>-1.5999999999394301</c:v>
                </c:pt>
                <c:pt idx="10">
                  <c:v>-1.8000000000029099</c:v>
                </c:pt>
                <c:pt idx="11">
                  <c:v>-1.8999999999778101</c:v>
                </c:pt>
                <c:pt idx="12">
                  <c:v>-2.1999999999024999</c:v>
                </c:pt>
                <c:pt idx="13">
                  <c:v>-2.39999999996598</c:v>
                </c:pt>
                <c:pt idx="14">
                  <c:v>-2.2999999999910901</c:v>
                </c:pt>
                <c:pt idx="15">
                  <c:v>-2.79999999997926</c:v>
                </c:pt>
                <c:pt idx="16">
                  <c:v>-2.9999999999290599</c:v>
                </c:pt>
                <c:pt idx="17">
                  <c:v>-2.79999999997926</c:v>
                </c:pt>
                <c:pt idx="18">
                  <c:v>-2.8999999999541601</c:v>
                </c:pt>
              </c:numCache>
            </c:numRef>
          </c:val>
        </c:ser>
        <c:ser>
          <c:idx val="1"/>
          <c:order val="1"/>
          <c:tx>
            <c:strRef>
              <c:f>'zk80+764'!$H$4:$L$4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'zk80+764'!$A$6:$A$34</c:f>
              <c:numCache>
                <c:formatCode>m"月"d"日";@</c:formatCode>
                <c:ptCount val="29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-0.70000000005165897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-1.5000000000782201</c:v>
                </c:pt>
                <c:pt idx="9">
                  <c:v>-1.8000000000029099</c:v>
                </c:pt>
                <c:pt idx="10">
                  <c:v>-2.00000000006639</c:v>
                </c:pt>
                <c:pt idx="11">
                  <c:v>-1.70000000002801</c:v>
                </c:pt>
                <c:pt idx="12">
                  <c:v>-2.40000000007967</c:v>
                </c:pt>
                <c:pt idx="13">
                  <c:v>-2.6000000000294698</c:v>
                </c:pt>
                <c:pt idx="14">
                  <c:v>-2.5000000000545701</c:v>
                </c:pt>
                <c:pt idx="15">
                  <c:v>-3.0000000000427498</c:v>
                </c:pt>
                <c:pt idx="16">
                  <c:v>-3.1000000000176402</c:v>
                </c:pt>
                <c:pt idx="17">
                  <c:v>-3.40000000005602</c:v>
                </c:pt>
                <c:pt idx="18">
                  <c:v>-3.6000000000058199</c:v>
                </c:pt>
                <c:pt idx="19">
                  <c:v>-3.8000000000692999</c:v>
                </c:pt>
                <c:pt idx="20">
                  <c:v>-4.0000000000191003</c:v>
                </c:pt>
                <c:pt idx="21">
                  <c:v>4.9999999987450083E-2</c:v>
                </c:pt>
              </c:numCache>
            </c:numRef>
          </c:val>
        </c:ser>
        <c:ser>
          <c:idx val="2"/>
          <c:order val="2"/>
          <c:tx>
            <c:strRef>
              <c:f>'zk80+764'!$M$4:$Q$4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'zk80+764'!$A$6:$A$34</c:f>
              <c:numCache>
                <c:formatCode>m"月"d"日";@</c:formatCode>
                <c:ptCount val="29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  <c:pt idx="19">
                  <c:v>45038</c:v>
                </c:pt>
                <c:pt idx="20">
                  <c:v>45040</c:v>
                </c:pt>
              </c:numCache>
            </c:numRef>
          </c:cat>
          <c:val>
            <c:numRef>
              <c:f>'zk80+764'!$P$6:$P$28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-0.199999999949796</c:v>
                </c:pt>
                <c:pt idx="2">
                  <c:v>-9.9999999974897905E-2</c:v>
                </c:pt>
                <c:pt idx="3">
                  <c:v>-0.29999999992469401</c:v>
                </c:pt>
                <c:pt idx="4">
                  <c:v>-0.49999999998817701</c:v>
                </c:pt>
                <c:pt idx="5">
                  <c:v>-0.59999999996307496</c:v>
                </c:pt>
                <c:pt idx="6">
                  <c:v>-0.90000000000145497</c:v>
                </c:pt>
                <c:pt idx="7">
                  <c:v>-1.09999999995125</c:v>
                </c:pt>
                <c:pt idx="8">
                  <c:v>-1.1999999999261499</c:v>
                </c:pt>
                <c:pt idx="9">
                  <c:v>-1.4999999999645299</c:v>
                </c:pt>
                <c:pt idx="10">
                  <c:v>-1.70000000002801</c:v>
                </c:pt>
                <c:pt idx="11">
                  <c:v>-1.8999999999778101</c:v>
                </c:pt>
                <c:pt idx="12">
                  <c:v>-2.0999999999275998</c:v>
                </c:pt>
                <c:pt idx="13">
                  <c:v>-1.9999999999527101</c:v>
                </c:pt>
                <c:pt idx="14">
                  <c:v>-2.4999999999408802</c:v>
                </c:pt>
                <c:pt idx="15">
                  <c:v>-2.70000000000437</c:v>
                </c:pt>
                <c:pt idx="16">
                  <c:v>-2.70000000000437</c:v>
                </c:pt>
                <c:pt idx="17">
                  <c:v>-3.1000000000176402</c:v>
                </c:pt>
                <c:pt idx="18">
                  <c:v>-2.9999999999290599</c:v>
                </c:pt>
                <c:pt idx="19">
                  <c:v>-2.8999999999541601</c:v>
                </c:pt>
                <c:pt idx="20">
                  <c:v>-2.79999999997926</c:v>
                </c:pt>
              </c:numCache>
            </c:numRef>
          </c:val>
        </c:ser>
        <c:dLbls/>
        <c:marker val="1"/>
        <c:axId val="400888192"/>
        <c:axId val="400890496"/>
      </c:lineChart>
      <c:lineChart>
        <c:grouping val="standard"/>
        <c:ser>
          <c:idx val="3"/>
          <c:order val="3"/>
          <c:tx>
            <c:strRef>
              <c:f>'zk80+764'!$AG$3:$AG$5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'zk80+764'!$A$6:$A$24</c:f>
              <c:numCache>
                <c:formatCode>m"月"d"日";@</c:formatCode>
                <c:ptCount val="19"/>
                <c:pt idx="0">
                  <c:v>45014</c:v>
                </c:pt>
                <c:pt idx="1">
                  <c:v>45015</c:v>
                </c:pt>
                <c:pt idx="2">
                  <c:v>45016</c:v>
                </c:pt>
                <c:pt idx="3">
                  <c:v>45017</c:v>
                </c:pt>
                <c:pt idx="4">
                  <c:v>45018</c:v>
                </c:pt>
                <c:pt idx="5">
                  <c:v>45019</c:v>
                </c:pt>
                <c:pt idx="6">
                  <c:v>45020</c:v>
                </c:pt>
                <c:pt idx="7">
                  <c:v>45021</c:v>
                </c:pt>
                <c:pt idx="8">
                  <c:v>45022</c:v>
                </c:pt>
                <c:pt idx="9">
                  <c:v>45023</c:v>
                </c:pt>
                <c:pt idx="10">
                  <c:v>45024</c:v>
                </c:pt>
                <c:pt idx="11">
                  <c:v>45025</c:v>
                </c:pt>
                <c:pt idx="12">
                  <c:v>45026</c:v>
                </c:pt>
                <c:pt idx="13">
                  <c:v>45027</c:v>
                </c:pt>
                <c:pt idx="14">
                  <c:v>45028</c:v>
                </c:pt>
                <c:pt idx="15">
                  <c:v>45030</c:v>
                </c:pt>
                <c:pt idx="16">
                  <c:v>45032</c:v>
                </c:pt>
                <c:pt idx="17">
                  <c:v>45034</c:v>
                </c:pt>
                <c:pt idx="18">
                  <c:v>45036</c:v>
                </c:pt>
              </c:numCache>
            </c:numRef>
          </c:cat>
          <c:val>
            <c:numRef>
              <c:f>'zk80+764'!$AG$6:$AG$31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57</c:v>
                </c:pt>
                <c:pt idx="18">
                  <c:v>60</c:v>
                </c:pt>
                <c:pt idx="19">
                  <c:v>63</c:v>
                </c:pt>
                <c:pt idx="20">
                  <c:v>66</c:v>
                </c:pt>
              </c:numCache>
            </c:numRef>
          </c:val>
        </c:ser>
        <c:dLbls/>
        <c:marker val="1"/>
        <c:axId val="402555648"/>
        <c:axId val="402557184"/>
      </c:lineChart>
      <c:dateAx>
        <c:axId val="4008881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890496"/>
        <c:crossesAt val="-50"/>
        <c:auto val="1"/>
        <c:lblOffset val="100"/>
        <c:baseTimeUnit val="days"/>
        <c:majorUnit val="4"/>
        <c:majorTimeUnit val="days"/>
      </c:dateAx>
      <c:valAx>
        <c:axId val="400890496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0888192"/>
        <c:crosses val="autoZero"/>
        <c:crossBetween val="midCat"/>
        <c:majorUnit val="1.2"/>
        <c:minorUnit val="0.5"/>
      </c:valAx>
      <c:dateAx>
        <c:axId val="40255564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2557184"/>
        <c:crosses val="autoZero"/>
        <c:auto val="1"/>
        <c:lblOffset val="100"/>
        <c:baseTimeUnit val="days"/>
      </c:dateAx>
      <c:valAx>
        <c:axId val="402557184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255564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'zk80+793'!$U$4:$W$4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'zk80+793'!$S$6:$S$27</c:f>
              <c:numCache>
                <c:formatCode>m"月"d"日";@</c:formatCode>
                <c:ptCount val="22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'zk80+793'!$V$6:$V$32</c:f>
              <c:numCache>
                <c:formatCode>0.00_ </c:formatCode>
                <c:ptCount val="27"/>
                <c:pt idx="0">
                  <c:v>0</c:v>
                </c:pt>
                <c:pt idx="1">
                  <c:v>0.10000000000154299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-0.39999999999906799</c:v>
                </c:pt>
                <c:pt idx="5">
                  <c:v>-0.69999999999836904</c:v>
                </c:pt>
                <c:pt idx="6">
                  <c:v>-0.90000000000856095</c:v>
                </c:pt>
                <c:pt idx="7">
                  <c:v>-0.999999999999446</c:v>
                </c:pt>
                <c:pt idx="8">
                  <c:v>-1.3000000000094001</c:v>
                </c:pt>
                <c:pt idx="9">
                  <c:v>-1.50000000000894</c:v>
                </c:pt>
                <c:pt idx="10">
                  <c:v>-1.39999999999851</c:v>
                </c:pt>
                <c:pt idx="11">
                  <c:v>-1.8999999999991211</c:v>
                </c:pt>
                <c:pt idx="12">
                  <c:v>-2.0999999999986549</c:v>
                </c:pt>
                <c:pt idx="13">
                  <c:v>-1.999999999998888</c:v>
                </c:pt>
                <c:pt idx="14">
                  <c:v>-2.4999999999994991</c:v>
                </c:pt>
                <c:pt idx="15">
                  <c:v>-2.3999999999997321</c:v>
                </c:pt>
                <c:pt idx="16">
                  <c:v>-2.599999999999266</c:v>
                </c:pt>
                <c:pt idx="17">
                  <c:v>-2.7999999999987999</c:v>
                </c:pt>
                <c:pt idx="18">
                  <c:v>-2.8999999999985668</c:v>
                </c:pt>
                <c:pt idx="19">
                  <c:v>-3.1999999999978677</c:v>
                </c:pt>
                <c:pt idx="20">
                  <c:v>-3.3999999999974015</c:v>
                </c:pt>
                <c:pt idx="21">
                  <c:v>-3.299999999999411</c:v>
                </c:pt>
                <c:pt idx="22">
                  <c:v>-1.0999999999992101</c:v>
                </c:pt>
              </c:numCache>
            </c:numRef>
          </c:val>
        </c:ser>
        <c:ser>
          <c:idx val="1"/>
          <c:order val="1"/>
          <c:tx>
            <c:strRef>
              <c:f>'zk80+793'!$Y$4:$AA$4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>
                <a:solidFill>
                  <a:srgbClr val="FF0000"/>
                </a:solidFill>
              </a:ln>
            </c:spPr>
            <c:trendlineType val="movingAvg"/>
            <c:period val="2"/>
          </c:trendline>
          <c:cat>
            <c:numRef>
              <c:f>'zk80+793'!$S$6:$S$27</c:f>
              <c:numCache>
                <c:formatCode>m"月"d"日";@</c:formatCode>
                <c:ptCount val="22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'zk80+793'!$Z$6:$Z$33</c:f>
              <c:numCache>
                <c:formatCode>0.00_ </c:formatCode>
                <c:ptCount val="28"/>
                <c:pt idx="0">
                  <c:v>0</c:v>
                </c:pt>
                <c:pt idx="1">
                  <c:v>-0.19999999999953399</c:v>
                </c:pt>
                <c:pt idx="2">
                  <c:v>-0.40000000000084401</c:v>
                </c:pt>
                <c:pt idx="3">
                  <c:v>-0.999999999999446</c:v>
                </c:pt>
                <c:pt idx="4">
                  <c:v>-0.799999999999912</c:v>
                </c:pt>
                <c:pt idx="5">
                  <c:v>-0.999999999999446</c:v>
                </c:pt>
                <c:pt idx="6">
                  <c:v>-1.20000000000076</c:v>
                </c:pt>
                <c:pt idx="7">
                  <c:v>-1.50000000000006</c:v>
                </c:pt>
                <c:pt idx="8">
                  <c:v>-1.59999999999982</c:v>
                </c:pt>
                <c:pt idx="9">
                  <c:v>-1.50000000000006</c:v>
                </c:pt>
                <c:pt idx="10">
                  <c:v>-2.0000000000006701</c:v>
                </c:pt>
                <c:pt idx="11">
                  <c:v>-2.2000000000002</c:v>
                </c:pt>
                <c:pt idx="12">
                  <c:v>-2.6000000000010499</c:v>
                </c:pt>
                <c:pt idx="13">
                  <c:v>-2.6000000000010499</c:v>
                </c:pt>
                <c:pt idx="14">
                  <c:v>-2.8000000000005798</c:v>
                </c:pt>
                <c:pt idx="15">
                  <c:v>-3.0000000000001101</c:v>
                </c:pt>
                <c:pt idx="16">
                  <c:v>-2.9000000000003499</c:v>
                </c:pt>
                <c:pt idx="17">
                  <c:v>-3.3999999999991801</c:v>
                </c:pt>
                <c:pt idx="18">
                  <c:v>-3.5999999999987198</c:v>
                </c:pt>
                <c:pt idx="19">
                  <c:v>-3.5000000000007199</c:v>
                </c:pt>
                <c:pt idx="20">
                  <c:v>-3.99999999999778</c:v>
                </c:pt>
                <c:pt idx="21">
                  <c:v>-3.8999999999997899</c:v>
                </c:pt>
                <c:pt idx="22">
                  <c:v>-2.4000000000015071</c:v>
                </c:pt>
              </c:numCache>
            </c:numRef>
          </c:val>
        </c:ser>
        <c:ser>
          <c:idx val="2"/>
          <c:order val="2"/>
          <c:tx>
            <c:strRef>
              <c:f>'zk80+793'!$AC$4:$AE$4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'zk80+793'!$S$6:$S$27</c:f>
              <c:numCache>
                <c:formatCode>m"月"d"日";@</c:formatCode>
                <c:ptCount val="22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-0.20000000000130999</c:v>
                </c:pt>
                <c:pt idx="2">
                  <c:v>-0.30000000000107702</c:v>
                </c:pt>
                <c:pt idx="3">
                  <c:v>-0.60000000000037801</c:v>
                </c:pt>
                <c:pt idx="4">
                  <c:v>-0.799999999999912</c:v>
                </c:pt>
                <c:pt idx="5">
                  <c:v>-0.70000000000014495</c:v>
                </c:pt>
                <c:pt idx="6">
                  <c:v>-1.2000000000114099</c:v>
                </c:pt>
                <c:pt idx="7">
                  <c:v>-1.40000000001095</c:v>
                </c:pt>
                <c:pt idx="8">
                  <c:v>-1.3000000000005201</c:v>
                </c:pt>
                <c:pt idx="9">
                  <c:v>-1.80000000001002</c:v>
                </c:pt>
                <c:pt idx="10">
                  <c:v>-2.00000000001133</c:v>
                </c:pt>
                <c:pt idx="11">
                  <c:v>-2.10000000000043</c:v>
                </c:pt>
                <c:pt idx="12">
                  <c:v>-2.4000000000015071</c:v>
                </c:pt>
                <c:pt idx="13">
                  <c:v>-2.600000000001041</c:v>
                </c:pt>
                <c:pt idx="14">
                  <c:v>-2.5000000000012741</c:v>
                </c:pt>
                <c:pt idx="15">
                  <c:v>-2.4000000000015071</c:v>
                </c:pt>
                <c:pt idx="16">
                  <c:v>-2.600000000001041</c:v>
                </c:pt>
                <c:pt idx="17">
                  <c:v>-2.2000000000001969</c:v>
                </c:pt>
                <c:pt idx="18">
                  <c:v>-2.5000000000012741</c:v>
                </c:pt>
                <c:pt idx="19">
                  <c:v>-2.700000000000808</c:v>
                </c:pt>
                <c:pt idx="20">
                  <c:v>-2.600000000001041</c:v>
                </c:pt>
                <c:pt idx="21">
                  <c:v>-2.4000000000015071</c:v>
                </c:pt>
              </c:numCache>
            </c:numRef>
          </c:val>
        </c:ser>
        <c:dLbls/>
        <c:marker val="1"/>
        <c:axId val="403096320"/>
        <c:axId val="403098624"/>
      </c:lineChart>
      <c:lineChart>
        <c:grouping val="standard"/>
        <c:ser>
          <c:idx val="3"/>
          <c:order val="3"/>
          <c:tx>
            <c:strRef>
              <c:f>'zk80+793'!$AG$3:$AG$5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'zk80+793'!$S$6:$S$27</c:f>
              <c:numCache>
                <c:formatCode>m"月"d"日";@</c:formatCode>
                <c:ptCount val="22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57</c:v>
                </c:pt>
                <c:pt idx="18">
                  <c:v>60</c:v>
                </c:pt>
                <c:pt idx="19">
                  <c:v>63</c:v>
                </c:pt>
                <c:pt idx="20">
                  <c:v>66</c:v>
                </c:pt>
                <c:pt idx="21">
                  <c:v>69</c:v>
                </c:pt>
              </c:numCache>
            </c:numRef>
          </c:val>
        </c:ser>
        <c:dLbls/>
        <c:marker val="1"/>
        <c:axId val="403108992"/>
        <c:axId val="403110528"/>
      </c:lineChart>
      <c:dateAx>
        <c:axId val="4030963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098624"/>
        <c:crossesAt val="-50"/>
        <c:auto val="1"/>
        <c:lblOffset val="100"/>
        <c:baseTimeUnit val="days"/>
        <c:majorUnit val="4"/>
        <c:majorTimeUnit val="days"/>
      </c:dateAx>
      <c:valAx>
        <c:axId val="403098624"/>
        <c:scaling>
          <c:orientation val="minMax"/>
          <c:max val="2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096320"/>
        <c:crosses val="autoZero"/>
        <c:crossBetween val="midCat"/>
        <c:majorUnit val="1.4"/>
        <c:minorUnit val="0.1"/>
      </c:valAx>
      <c:dateAx>
        <c:axId val="403108992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3110528"/>
        <c:crosses val="autoZero"/>
        <c:auto val="1"/>
        <c:lblOffset val="100"/>
        <c:baseTimeUnit val="days"/>
      </c:dateAx>
      <c:valAx>
        <c:axId val="403110528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108992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'zk80+793'!$C$4:$G$4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'zk80+793'!$A$6:$A$38</c:f>
              <c:numCache>
                <c:formatCode>m"月"d"日";@</c:formatCode>
                <c:ptCount val="33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-9.9999999974897905E-2</c:v>
                </c:pt>
                <c:pt idx="4">
                  <c:v>-0.30000000003838101</c:v>
                </c:pt>
                <c:pt idx="5">
                  <c:v>-9.9999999974897905E-2</c:v>
                </c:pt>
                <c:pt idx="6">
                  <c:v>-0.30000000003838101</c:v>
                </c:pt>
                <c:pt idx="7">
                  <c:v>-0.199999999949796</c:v>
                </c:pt>
                <c:pt idx="8">
                  <c:v>-0.30000000003838101</c:v>
                </c:pt>
                <c:pt idx="9">
                  <c:v>-9.9999999974897905E-2</c:v>
                </c:pt>
                <c:pt idx="10">
                  <c:v>-0.199999999949796</c:v>
                </c:pt>
                <c:pt idx="11">
                  <c:v>9.9999999974897905E-2</c:v>
                </c:pt>
                <c:pt idx="12">
                  <c:v>-0.49999999998817701</c:v>
                </c:pt>
                <c:pt idx="13">
                  <c:v>-0.20000000006348301</c:v>
                </c:pt>
                <c:pt idx="14">
                  <c:v>-9.9999999974897905E-2</c:v>
                </c:pt>
                <c:pt idx="15">
                  <c:v>-4.9999999987448973E-2</c:v>
                </c:pt>
                <c:pt idx="16">
                  <c:v>-9.9999999974897946E-2</c:v>
                </c:pt>
                <c:pt idx="17">
                  <c:v>5.0000000044292399E-2</c:v>
                </c:pt>
                <c:pt idx="18">
                  <c:v>-0.10000000003174137</c:v>
                </c:pt>
                <c:pt idx="19">
                  <c:v>-4.9999999987448973E-2</c:v>
                </c:pt>
                <c:pt idx="20">
                  <c:v>-0.14999999996234692</c:v>
                </c:pt>
                <c:pt idx="21">
                  <c:v>4.9999999930605554E-2</c:v>
                </c:pt>
                <c:pt idx="22">
                  <c:v>-0.40000000001327862</c:v>
                </c:pt>
              </c:numCache>
            </c:numRef>
          </c:val>
        </c:ser>
        <c:ser>
          <c:idx val="1"/>
          <c:order val="1"/>
          <c:tx>
            <c:strRef>
              <c:f>'zk80+793'!$H$4:$L$4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'zk80+793'!$A$6:$A$38</c:f>
              <c:numCache>
                <c:formatCode>m"月"d"日";@</c:formatCode>
                <c:ptCount val="33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-0.30000000003838101</c:v>
                </c:pt>
                <c:pt idx="3">
                  <c:v>-9.9999999974897905E-2</c:v>
                </c:pt>
                <c:pt idx="4">
                  <c:v>-9.9999999974897905E-2</c:v>
                </c:pt>
                <c:pt idx="5">
                  <c:v>-9.9999999974897905E-2</c:v>
                </c:pt>
                <c:pt idx="6">
                  <c:v>-0.20000000006348301</c:v>
                </c:pt>
                <c:pt idx="7">
                  <c:v>0</c:v>
                </c:pt>
                <c:pt idx="8">
                  <c:v>-9.9999999974897905E-2</c:v>
                </c:pt>
                <c:pt idx="9">
                  <c:v>-0.40000000001327901</c:v>
                </c:pt>
                <c:pt idx="10">
                  <c:v>0.199999999949796</c:v>
                </c:pt>
                <c:pt idx="11">
                  <c:v>-0.10000000008858478</c:v>
                </c:pt>
                <c:pt idx="12">
                  <c:v>-9.9999999974897946E-2</c:v>
                </c:pt>
                <c:pt idx="13">
                  <c:v>-0.19999999994979589</c:v>
                </c:pt>
                <c:pt idx="14">
                  <c:v>0</c:v>
                </c:pt>
                <c:pt idx="15">
                  <c:v>0</c:v>
                </c:pt>
                <c:pt idx="16">
                  <c:v>-4.9999999987448973E-2</c:v>
                </c:pt>
                <c:pt idx="17">
                  <c:v>-9.9999999974897905E-2</c:v>
                </c:pt>
                <c:pt idx="18">
                  <c:v>4.9999999987449001E-2</c:v>
                </c:pt>
                <c:pt idx="19">
                  <c:v>-0.15000000001919001</c:v>
                </c:pt>
                <c:pt idx="20">
                  <c:v>5.0000000044292399E-2</c:v>
                </c:pt>
                <c:pt idx="21">
                  <c:v>4.9999999987449001E-2</c:v>
                </c:pt>
              </c:numCache>
            </c:numRef>
          </c:val>
        </c:ser>
        <c:ser>
          <c:idx val="2"/>
          <c:order val="2"/>
          <c:tx>
            <c:strRef>
              <c:f>'zk80+793'!$M$4:$Q$4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'zk80+793'!$A$6:$A$38</c:f>
              <c:numCache>
                <c:formatCode>m"月"d"日";@</c:formatCode>
                <c:ptCount val="33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'zk80+793'!$Q$6:$Q$31</c:f>
              <c:numCache>
                <c:formatCode>0.00_ </c:formatCode>
                <c:ptCount val="26"/>
                <c:pt idx="0">
                  <c:v>0</c:v>
                </c:pt>
                <c:pt idx="1">
                  <c:v>-9.9999999974897905E-2</c:v>
                </c:pt>
                <c:pt idx="2">
                  <c:v>-0.20000000006348301</c:v>
                </c:pt>
                <c:pt idx="3">
                  <c:v>-0.199999999949796</c:v>
                </c:pt>
                <c:pt idx="4">
                  <c:v>-0.10000000008858501</c:v>
                </c:pt>
                <c:pt idx="5">
                  <c:v>-0.29999999992469401</c:v>
                </c:pt>
                <c:pt idx="6">
                  <c:v>-0.20000000006348301</c:v>
                </c:pt>
                <c:pt idx="7">
                  <c:v>0.10000000008858501</c:v>
                </c:pt>
                <c:pt idx="8">
                  <c:v>-0.50000000010186296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-0.199999999949796</c:v>
                </c:pt>
                <c:pt idx="13">
                  <c:v>-0.30000000003838101</c:v>
                </c:pt>
                <c:pt idx="14">
                  <c:v>-9.9999999974897946E-2</c:v>
                </c:pt>
                <c:pt idx="15">
                  <c:v>-4.9999999987448973E-2</c:v>
                </c:pt>
                <c:pt idx="16">
                  <c:v>-5.0000000044292392E-2</c:v>
                </c:pt>
                <c:pt idx="17">
                  <c:v>-4.9999999987448973E-2</c:v>
                </c:pt>
                <c:pt idx="18">
                  <c:v>5.0000000044292392E-2</c:v>
                </c:pt>
                <c:pt idx="19">
                  <c:v>-0.15000000001919034</c:v>
                </c:pt>
                <c:pt idx="20">
                  <c:v>-5.0000000044292392E-2</c:v>
                </c:pt>
                <c:pt idx="21">
                  <c:v>0.10000000003174137</c:v>
                </c:pt>
              </c:numCache>
            </c:numRef>
          </c:val>
        </c:ser>
        <c:dLbls/>
        <c:marker val="1"/>
        <c:axId val="403000320"/>
        <c:axId val="403113472"/>
      </c:lineChart>
      <c:dateAx>
        <c:axId val="403000320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113472"/>
        <c:crossesAt val="-50"/>
        <c:auto val="1"/>
        <c:lblOffset val="100"/>
        <c:baseTimeUnit val="days"/>
        <c:majorUnit val="4"/>
        <c:majorTimeUnit val="days"/>
      </c:dateAx>
      <c:valAx>
        <c:axId val="40311347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000320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80+793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'zk80+793'!$U$4:$W$4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'zk80+793'!$S$6:$S$41</c:f>
              <c:numCache>
                <c:formatCode>m"月"d"日";@</c:formatCode>
                <c:ptCount val="36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'zk80+793'!$W$6:$W$32</c:f>
              <c:numCache>
                <c:formatCode>0.00_ </c:formatCode>
                <c:ptCount val="27"/>
                <c:pt idx="0">
                  <c:v>0</c:v>
                </c:pt>
                <c:pt idx="1">
                  <c:v>-0.10000000000154299</c:v>
                </c:pt>
                <c:pt idx="2">
                  <c:v>0.20000000000130999</c:v>
                </c:pt>
                <c:pt idx="3">
                  <c:v>0.19999999999953399</c:v>
                </c:pt>
                <c:pt idx="4">
                  <c:v>9.99999999997669E-2</c:v>
                </c:pt>
                <c:pt idx="5">
                  <c:v>0.29999999999930099</c:v>
                </c:pt>
                <c:pt idx="6">
                  <c:v>0.200000000010192</c:v>
                </c:pt>
                <c:pt idx="7">
                  <c:v>9.9999999990885199E-2</c:v>
                </c:pt>
                <c:pt idx="8">
                  <c:v>0.30000000000995902</c:v>
                </c:pt>
                <c:pt idx="9">
                  <c:v>0.19999999999953399</c:v>
                </c:pt>
                <c:pt idx="10">
                  <c:v>-0.100000000010425</c:v>
                </c:pt>
                <c:pt idx="11">
                  <c:v>0.50000000000061107</c:v>
                </c:pt>
                <c:pt idx="12">
                  <c:v>0.19999999999953388</c:v>
                </c:pt>
                <c:pt idx="13">
                  <c:v>-9.9999999999766942E-2</c:v>
                </c:pt>
                <c:pt idx="14">
                  <c:v>0.50000000000061107</c:v>
                </c:pt>
                <c:pt idx="15">
                  <c:v>-4.9999999999883471E-2</c:v>
                </c:pt>
                <c:pt idx="16">
                  <c:v>9.99999999997669E-2</c:v>
                </c:pt>
                <c:pt idx="17">
                  <c:v>9.99999999997669E-2</c:v>
                </c:pt>
                <c:pt idx="18">
                  <c:v>4.9999999999883499E-2</c:v>
                </c:pt>
                <c:pt idx="19">
                  <c:v>0.14999999999965</c:v>
                </c:pt>
                <c:pt idx="20">
                  <c:v>9.99999999997669E-2</c:v>
                </c:pt>
                <c:pt idx="21">
                  <c:v>-4.99999999989953E-2</c:v>
                </c:pt>
                <c:pt idx="22">
                  <c:v>9.9999999999766942E-2</c:v>
                </c:pt>
              </c:numCache>
            </c:numRef>
          </c:val>
        </c:ser>
        <c:ser>
          <c:idx val="1"/>
          <c:order val="1"/>
          <c:tx>
            <c:strRef>
              <c:f>'zk80+793'!$Y$4:$AA$4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'zk80+793'!$S$6:$S$41</c:f>
              <c:numCache>
                <c:formatCode>m"月"d"日";@</c:formatCode>
                <c:ptCount val="36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-0.19999999999953399</c:v>
                </c:pt>
                <c:pt idx="2">
                  <c:v>-0.20000000000130999</c:v>
                </c:pt>
                <c:pt idx="3">
                  <c:v>-0.59999999999860198</c:v>
                </c:pt>
                <c:pt idx="4">
                  <c:v>0.19999999999953399</c:v>
                </c:pt>
                <c:pt idx="5">
                  <c:v>-0.19999999999953399</c:v>
                </c:pt>
                <c:pt idx="6">
                  <c:v>-0.20000000000130999</c:v>
                </c:pt>
                <c:pt idx="7">
                  <c:v>-0.29999999999930099</c:v>
                </c:pt>
                <c:pt idx="8">
                  <c:v>-9.99999999997669E-2</c:v>
                </c:pt>
                <c:pt idx="9">
                  <c:v>9.99999999997669E-2</c:v>
                </c:pt>
                <c:pt idx="10">
                  <c:v>-0.50000000000061096</c:v>
                </c:pt>
                <c:pt idx="11">
                  <c:v>-0.19999999999953399</c:v>
                </c:pt>
                <c:pt idx="12">
                  <c:v>-0.40000000000084401</c:v>
                </c:pt>
                <c:pt idx="13">
                  <c:v>0</c:v>
                </c:pt>
                <c:pt idx="14">
                  <c:v>-0.19999999999953399</c:v>
                </c:pt>
                <c:pt idx="15">
                  <c:v>-9.99999999997669E-2</c:v>
                </c:pt>
                <c:pt idx="16">
                  <c:v>4.9999999999883499E-2</c:v>
                </c:pt>
                <c:pt idx="17">
                  <c:v>-0.24999999999941699</c:v>
                </c:pt>
                <c:pt idx="18">
                  <c:v>-9.99999999997669E-2</c:v>
                </c:pt>
                <c:pt idx="19">
                  <c:v>4.99999999989953E-2</c:v>
                </c:pt>
                <c:pt idx="20">
                  <c:v>-0.24999999999852901</c:v>
                </c:pt>
                <c:pt idx="21">
                  <c:v>4.99999999989953E-2</c:v>
                </c:pt>
                <c:pt idx="22">
                  <c:v>-7.8571428571372143E-2</c:v>
                </c:pt>
              </c:numCache>
            </c:numRef>
          </c:val>
        </c:ser>
        <c:ser>
          <c:idx val="2"/>
          <c:order val="2"/>
          <c:tx>
            <c:strRef>
              <c:f>'zk80+793'!$AC$4:$AE$4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'zk80+793'!$S$6:$S$41</c:f>
              <c:numCache>
                <c:formatCode>m"月"d"日";@</c:formatCode>
                <c:ptCount val="36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-0.20000000000130999</c:v>
                </c:pt>
                <c:pt idx="2">
                  <c:v>-9.99999999997669E-2</c:v>
                </c:pt>
                <c:pt idx="3">
                  <c:v>-0.29999999999930099</c:v>
                </c:pt>
                <c:pt idx="4">
                  <c:v>-0.19999999999953399</c:v>
                </c:pt>
                <c:pt idx="5">
                  <c:v>9.99999999997669E-2</c:v>
                </c:pt>
                <c:pt idx="6">
                  <c:v>-0.50000000001126899</c:v>
                </c:pt>
                <c:pt idx="7">
                  <c:v>-0.19999999999953399</c:v>
                </c:pt>
                <c:pt idx="8">
                  <c:v>0.100000000010425</c:v>
                </c:pt>
                <c:pt idx="9">
                  <c:v>-0.50000000000949296</c:v>
                </c:pt>
                <c:pt idx="10">
                  <c:v>-0.20000000000130999</c:v>
                </c:pt>
                <c:pt idx="11">
                  <c:v>-9.9999999989108801E-2</c:v>
                </c:pt>
                <c:pt idx="12">
                  <c:v>-0.30000000000107718</c:v>
                </c:pt>
                <c:pt idx="13">
                  <c:v>-0.19999999999953388</c:v>
                </c:pt>
                <c:pt idx="14">
                  <c:v>9.9999999999766942E-2</c:v>
                </c:pt>
                <c:pt idx="15">
                  <c:v>4.9999999999883471E-2</c:v>
                </c:pt>
                <c:pt idx="16">
                  <c:v>-9.9999999999766942E-2</c:v>
                </c:pt>
                <c:pt idx="17">
                  <c:v>0.20000000000042206</c:v>
                </c:pt>
                <c:pt idx="18">
                  <c:v>-0.15000000000053859</c:v>
                </c:pt>
                <c:pt idx="19">
                  <c:v>-9.99999999997669E-2</c:v>
                </c:pt>
                <c:pt idx="20">
                  <c:v>4.9999999999883499E-2</c:v>
                </c:pt>
                <c:pt idx="21">
                  <c:v>9.9999999999766942E-2</c:v>
                </c:pt>
              </c:numCache>
            </c:numRef>
          </c:val>
        </c:ser>
        <c:dLbls/>
        <c:marker val="1"/>
        <c:axId val="403247104"/>
        <c:axId val="403249408"/>
      </c:lineChart>
      <c:dateAx>
        <c:axId val="4032471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249408"/>
        <c:crossesAt val="-50"/>
        <c:auto val="1"/>
        <c:lblOffset val="100"/>
        <c:baseTimeUnit val="days"/>
        <c:majorUnit val="4"/>
        <c:majorTimeUnit val="days"/>
      </c:dateAx>
      <c:valAx>
        <c:axId val="403249408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24710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k80+793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6812295702301003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'zk80+793'!$C$4:$G$4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>
                <a:solidFill>
                  <a:srgbClr val="FF0000"/>
                </a:solidFill>
              </a:ln>
            </c:spPr>
            <c:trendlineType val="movingAvg"/>
            <c:period val="2"/>
          </c:trendline>
          <c:cat>
            <c:numRef>
              <c:f>'zk80+793'!$A$6:$A$34</c:f>
              <c:numCache>
                <c:formatCode>m"月"d"日";@</c:formatCode>
                <c:ptCount val="29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'zk80+793'!$F$6:$F$27</c:f>
              <c:numCache>
                <c:formatCode>0.00_ </c:formatCode>
                <c:ptCount val="22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-0.49999999998817701</c:v>
                </c:pt>
                <c:pt idx="4">
                  <c:v>-0.80000000002655702</c:v>
                </c:pt>
                <c:pt idx="5">
                  <c:v>-0.90000000000145497</c:v>
                </c:pt>
                <c:pt idx="6">
                  <c:v>-1.2000000000398401</c:v>
                </c:pt>
                <c:pt idx="7">
                  <c:v>-1.39999999998963</c:v>
                </c:pt>
                <c:pt idx="8">
                  <c:v>-1.70000000002801</c:v>
                </c:pt>
                <c:pt idx="9">
                  <c:v>-1.8000000000029099</c:v>
                </c:pt>
                <c:pt idx="10">
                  <c:v>-1.9999999999527101</c:v>
                </c:pt>
                <c:pt idx="11">
                  <c:v>-1.8999999999778101</c:v>
                </c:pt>
                <c:pt idx="12">
                  <c:v>-2.39999999996598</c:v>
                </c:pt>
                <c:pt idx="13">
                  <c:v>-2.6000000000294698</c:v>
                </c:pt>
                <c:pt idx="14">
                  <c:v>-2.70000000000437</c:v>
                </c:pt>
                <c:pt idx="15">
                  <c:v>-2.799999999979268</c:v>
                </c:pt>
                <c:pt idx="16">
                  <c:v>-2.9999999999290639</c:v>
                </c:pt>
                <c:pt idx="17">
                  <c:v>-2.8999999998404791</c:v>
                </c:pt>
                <c:pt idx="18">
                  <c:v>-3.0999999999039618</c:v>
                </c:pt>
                <c:pt idx="19">
                  <c:v>-3.1999999998788597</c:v>
                </c:pt>
                <c:pt idx="20">
                  <c:v>-3.4999999998035536</c:v>
                </c:pt>
                <c:pt idx="21">
                  <c:v>-3.3999999999423425</c:v>
                </c:pt>
              </c:numCache>
            </c:numRef>
          </c:val>
        </c:ser>
        <c:ser>
          <c:idx val="1"/>
          <c:order val="1"/>
          <c:tx>
            <c:strRef>
              <c:f>'zk80+793'!$H$4:$L$4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'zk80+793'!$A$6:$A$34</c:f>
              <c:numCache>
                <c:formatCode>m"月"d"日";@</c:formatCode>
                <c:ptCount val="29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-0.49999999998817701</c:v>
                </c:pt>
                <c:pt idx="3">
                  <c:v>-0.59999999996307496</c:v>
                </c:pt>
                <c:pt idx="4">
                  <c:v>-0.69999999993797202</c:v>
                </c:pt>
                <c:pt idx="5">
                  <c:v>-0.79999999991286996</c:v>
                </c:pt>
                <c:pt idx="6">
                  <c:v>-0.99999999997635303</c:v>
                </c:pt>
                <c:pt idx="7">
                  <c:v>-0.99999999997635303</c:v>
                </c:pt>
                <c:pt idx="8">
                  <c:v>-1.09999999995125</c:v>
                </c:pt>
                <c:pt idx="9">
                  <c:v>-1.4999999999645299</c:v>
                </c:pt>
                <c:pt idx="10">
                  <c:v>-1.30000000001473</c:v>
                </c:pt>
                <c:pt idx="11">
                  <c:v>-1.4000000001033148</c:v>
                </c:pt>
                <c:pt idx="12">
                  <c:v>-1.5000000000782128</c:v>
                </c:pt>
                <c:pt idx="13">
                  <c:v>-1.7000000000280087</c:v>
                </c:pt>
                <c:pt idx="14">
                  <c:v>-1.7000000000280087</c:v>
                </c:pt>
                <c:pt idx="15">
                  <c:v>-1.7000000000280087</c:v>
                </c:pt>
                <c:pt idx="16">
                  <c:v>-1.8000000000029066</c:v>
                </c:pt>
                <c:pt idx="17">
                  <c:v>-1.9999999999527027</c:v>
                </c:pt>
                <c:pt idx="18">
                  <c:v>-1.8999999999778048</c:v>
                </c:pt>
                <c:pt idx="19">
                  <c:v>-2.2000000000161859</c:v>
                </c:pt>
                <c:pt idx="20">
                  <c:v>-2.0999999999276007</c:v>
                </c:pt>
                <c:pt idx="21">
                  <c:v>-1.9999999999527027</c:v>
                </c:pt>
                <c:pt idx="22">
                  <c:v>-4.9999999995569464E-2</c:v>
                </c:pt>
              </c:numCache>
            </c:numRef>
          </c:val>
        </c:ser>
        <c:ser>
          <c:idx val="2"/>
          <c:order val="2"/>
          <c:tx>
            <c:strRef>
              <c:f>'zk80+793'!$M$4:$Q$4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'zk80+793'!$A$6:$A$34</c:f>
              <c:numCache>
                <c:formatCode>m"月"d"日";@</c:formatCode>
                <c:ptCount val="29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  <c:pt idx="19">
                  <c:v>45046</c:v>
                </c:pt>
                <c:pt idx="20">
                  <c:v>45048</c:v>
                </c:pt>
                <c:pt idx="21">
                  <c:v>45050</c:v>
                </c:pt>
              </c:numCache>
            </c:numRef>
          </c:cat>
          <c:val>
            <c:numRef>
              <c:f>'zk80+793'!$P$6:$P$28</c:f>
              <c:numCache>
                <c:formatCode>0.00_ </c:formatCode>
                <c:ptCount val="23"/>
                <c:pt idx="0">
                  <c:v>0</c:v>
                </c:pt>
                <c:pt idx="1">
                  <c:v>-9.9999999974897905E-2</c:v>
                </c:pt>
                <c:pt idx="2">
                  <c:v>-0.30000000003838101</c:v>
                </c:pt>
                <c:pt idx="3">
                  <c:v>-0.49999999998817701</c:v>
                </c:pt>
                <c:pt idx="4">
                  <c:v>-0.60000000007676102</c:v>
                </c:pt>
                <c:pt idx="5">
                  <c:v>-0.90000000000145497</c:v>
                </c:pt>
                <c:pt idx="6">
                  <c:v>-1.1000000000649399</c:v>
                </c:pt>
                <c:pt idx="7">
                  <c:v>-0.99999999997635303</c:v>
                </c:pt>
                <c:pt idx="8">
                  <c:v>-1.5000000000782201</c:v>
                </c:pt>
                <c:pt idx="9">
                  <c:v>-1.70000000002801</c:v>
                </c:pt>
                <c:pt idx="10">
                  <c:v>-1.60000000005311</c:v>
                </c:pt>
                <c:pt idx="11">
                  <c:v>-2.1000000000412902</c:v>
                </c:pt>
                <c:pt idx="12">
                  <c:v>-2.2999999999910901</c:v>
                </c:pt>
                <c:pt idx="13">
                  <c:v>-2.6000000000294698</c:v>
                </c:pt>
                <c:pt idx="14">
                  <c:v>-2.7000000000043678</c:v>
                </c:pt>
                <c:pt idx="15">
                  <c:v>-2.7999999999792657</c:v>
                </c:pt>
                <c:pt idx="16">
                  <c:v>-2.9000000000678505</c:v>
                </c:pt>
                <c:pt idx="17">
                  <c:v>-3.0000000000427485</c:v>
                </c:pt>
                <c:pt idx="18">
                  <c:v>-2.8999999999541637</c:v>
                </c:pt>
                <c:pt idx="19">
                  <c:v>-3.1999999999925444</c:v>
                </c:pt>
                <c:pt idx="20">
                  <c:v>-3.3000000000811291</c:v>
                </c:pt>
                <c:pt idx="21">
                  <c:v>-3.1000000000176464</c:v>
                </c:pt>
              </c:numCache>
            </c:numRef>
          </c:val>
        </c:ser>
        <c:dLbls/>
        <c:marker val="1"/>
        <c:axId val="403345408"/>
        <c:axId val="403347712"/>
      </c:lineChart>
      <c:lineChart>
        <c:grouping val="standard"/>
        <c:ser>
          <c:idx val="3"/>
          <c:order val="3"/>
          <c:tx>
            <c:strRef>
              <c:f>'zk80+793'!$AG$3:$AG$5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'zk80+793'!$A$6:$A$24</c:f>
              <c:numCache>
                <c:formatCode>m"月"d"日";@</c:formatCode>
                <c:ptCount val="19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45038</c:v>
                </c:pt>
                <c:pt idx="16">
                  <c:v>45040</c:v>
                </c:pt>
                <c:pt idx="17">
                  <c:v>45042</c:v>
                </c:pt>
                <c:pt idx="18">
                  <c:v>45044</c:v>
                </c:pt>
              </c:numCache>
            </c:numRef>
          </c:cat>
          <c:val>
            <c:numRef>
              <c:f>'zk80+793'!$AG$6:$AG$31</c:f>
              <c:numCache>
                <c:formatCode>0.0_ </c:formatCode>
                <c:ptCount val="2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  <c:pt idx="8">
                  <c:v>30</c:v>
                </c:pt>
                <c:pt idx="9">
                  <c:v>33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54</c:v>
                </c:pt>
                <c:pt idx="17">
                  <c:v>57</c:v>
                </c:pt>
                <c:pt idx="18">
                  <c:v>60</c:v>
                </c:pt>
                <c:pt idx="19">
                  <c:v>63</c:v>
                </c:pt>
                <c:pt idx="20">
                  <c:v>66</c:v>
                </c:pt>
                <c:pt idx="21">
                  <c:v>69</c:v>
                </c:pt>
              </c:numCache>
            </c:numRef>
          </c:val>
        </c:ser>
        <c:dLbls/>
        <c:marker val="1"/>
        <c:axId val="403353984"/>
        <c:axId val="403355520"/>
      </c:lineChart>
      <c:dateAx>
        <c:axId val="4033454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347712"/>
        <c:crossesAt val="-50"/>
        <c:auto val="1"/>
        <c:lblOffset val="100"/>
        <c:baseTimeUnit val="days"/>
        <c:majorUnit val="4"/>
        <c:majorTimeUnit val="days"/>
      </c:dateAx>
      <c:valAx>
        <c:axId val="403347712"/>
        <c:scaling>
          <c:orientation val="minMax"/>
          <c:max val="1"/>
          <c:min val="-4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345408"/>
        <c:crosses val="autoZero"/>
        <c:crossBetween val="midCat"/>
        <c:majorUnit val="1"/>
        <c:minorUnit val="0.5"/>
      </c:valAx>
      <c:dateAx>
        <c:axId val="403353984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3355520"/>
        <c:crosses val="autoZero"/>
        <c:auto val="1"/>
        <c:lblOffset val="100"/>
        <c:baseTimeUnit val="days"/>
      </c:dateAx>
      <c:valAx>
        <c:axId val="403355520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353984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'zk80+826'!$U$4:$W$4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'zk80+826'!$S$6:$S$27</c:f>
              <c:numCache>
                <c:formatCode>m"月"d"日";@</c:formatCode>
                <c:ptCount val="22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'zk80+826'!$V$6:$V$32</c:f>
              <c:numCache>
                <c:formatCode>0.00_ </c:formatCode>
                <c:ptCount val="27"/>
                <c:pt idx="0">
                  <c:v>0</c:v>
                </c:pt>
                <c:pt idx="1">
                  <c:v>9.99999999997669E-2</c:v>
                </c:pt>
                <c:pt idx="2">
                  <c:v>-0.19999999999953399</c:v>
                </c:pt>
                <c:pt idx="3">
                  <c:v>-1.0000000000012199</c:v>
                </c:pt>
                <c:pt idx="4">
                  <c:v>-0.50000000000061096</c:v>
                </c:pt>
                <c:pt idx="5">
                  <c:v>-0.799999999999912</c:v>
                </c:pt>
                <c:pt idx="6">
                  <c:v>-1.0999999999992101</c:v>
                </c:pt>
                <c:pt idx="7">
                  <c:v>-1.20000000000076</c:v>
                </c:pt>
                <c:pt idx="8">
                  <c:v>-1.6999999999978099</c:v>
                </c:pt>
                <c:pt idx="9">
                  <c:v>-1.9999999999971201</c:v>
                </c:pt>
                <c:pt idx="10">
                  <c:v>-1.9000000000009001</c:v>
                </c:pt>
                <c:pt idx="11">
                  <c:v>-2.59999999999572</c:v>
                </c:pt>
                <c:pt idx="12">
                  <c:v>-2.8999999999950208</c:v>
                </c:pt>
                <c:pt idx="13">
                  <c:v>-3.4999999999953988</c:v>
                </c:pt>
                <c:pt idx="14">
                  <c:v>-3.4999999999953988</c:v>
                </c:pt>
                <c:pt idx="15">
                  <c:v>-3.7999999999946996</c:v>
                </c:pt>
                <c:pt idx="16">
                  <c:v>-3.8999999999944666</c:v>
                </c:pt>
                <c:pt idx="17">
                  <c:v>-4.3999999999950781</c:v>
                </c:pt>
                <c:pt idx="18">
                  <c:v>-4.6999999999943789</c:v>
                </c:pt>
                <c:pt idx="19">
                  <c:v>-4.9999999999954561</c:v>
                </c:pt>
                <c:pt idx="20">
                  <c:v>-4.1999999999955442</c:v>
                </c:pt>
                <c:pt idx="21">
                  <c:v>-4.499999999994845</c:v>
                </c:pt>
                <c:pt idx="22">
                  <c:v>-4.0999999999993308</c:v>
                </c:pt>
              </c:numCache>
            </c:numRef>
          </c:val>
        </c:ser>
        <c:ser>
          <c:idx val="1"/>
          <c:order val="1"/>
          <c:tx>
            <c:strRef>
              <c:f>'zk80+826'!$Y$4:$AA$4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>
                <a:solidFill>
                  <a:srgbClr val="FF0000"/>
                </a:solidFill>
              </a:ln>
            </c:spPr>
            <c:trendlineType val="movingAvg"/>
            <c:period val="2"/>
          </c:trendline>
          <c:cat>
            <c:numRef>
              <c:f>'zk80+826'!$S$6:$S$27</c:f>
              <c:numCache>
                <c:formatCode>m"月"d"日";@</c:formatCode>
                <c:ptCount val="22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'zk80+826'!$Z$6:$Z$33</c:f>
              <c:numCache>
                <c:formatCode>0.00_ </c:formatCode>
                <c:ptCount val="28"/>
                <c:pt idx="0">
                  <c:v>0</c:v>
                </c:pt>
                <c:pt idx="1">
                  <c:v>0.30000000000107702</c:v>
                </c:pt>
                <c:pt idx="2">
                  <c:v>-0.49999999999883499</c:v>
                </c:pt>
                <c:pt idx="3">
                  <c:v>-0.70000000000014495</c:v>
                </c:pt>
                <c:pt idx="4">
                  <c:v>-0.999999999999446</c:v>
                </c:pt>
                <c:pt idx="5">
                  <c:v>-0.89999999999967895</c:v>
                </c:pt>
                <c:pt idx="6">
                  <c:v>-1.1999999999989801</c:v>
                </c:pt>
                <c:pt idx="7">
                  <c:v>-1.49999999999828</c:v>
                </c:pt>
                <c:pt idx="8">
                  <c:v>-1.79999999999758</c:v>
                </c:pt>
                <c:pt idx="9">
                  <c:v>-1.99999999999889</c:v>
                </c:pt>
                <c:pt idx="10">
                  <c:v>-2.3999999999961799</c:v>
                </c:pt>
                <c:pt idx="11">
                  <c:v>-2.6999999999954798</c:v>
                </c:pt>
                <c:pt idx="12">
                  <c:v>-2.4999999999995</c:v>
                </c:pt>
                <c:pt idx="13">
                  <c:v>-3.2999999999940899</c:v>
                </c:pt>
                <c:pt idx="14">
                  <c:v>-3.4999999999989502</c:v>
                </c:pt>
                <c:pt idx="15">
                  <c:v>-3.8999999999926902</c:v>
                </c:pt>
                <c:pt idx="16">
                  <c:v>-4.1999999999919897</c:v>
                </c:pt>
                <c:pt idx="17">
                  <c:v>-4.4999999999912896</c:v>
                </c:pt>
                <c:pt idx="18">
                  <c:v>-4.7999999999905896</c:v>
                </c:pt>
                <c:pt idx="19">
                  <c:v>-4.5000000000001696</c:v>
                </c:pt>
                <c:pt idx="20">
                  <c:v>-5.3999999999891903</c:v>
                </c:pt>
                <c:pt idx="21">
                  <c:v>-4.9999999999990097</c:v>
                </c:pt>
                <c:pt idx="22">
                  <c:v>-2.5000000000030602</c:v>
                </c:pt>
              </c:numCache>
            </c:numRef>
          </c:val>
        </c:ser>
        <c:ser>
          <c:idx val="2"/>
          <c:order val="2"/>
          <c:tx>
            <c:strRef>
              <c:f>'zk80+826'!$AC$4:$AE$4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'zk80+826'!$S$6:$S$27</c:f>
              <c:numCache>
                <c:formatCode>m"月"d"日";@</c:formatCode>
                <c:ptCount val="22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-0.50000000000061096</c:v>
                </c:pt>
                <c:pt idx="3">
                  <c:v>-0.70000000000014495</c:v>
                </c:pt>
                <c:pt idx="4">
                  <c:v>-0.999999999999446</c:v>
                </c:pt>
                <c:pt idx="5">
                  <c:v>-1.50000000000006</c:v>
                </c:pt>
                <c:pt idx="6">
                  <c:v>-1.1999999999989801</c:v>
                </c:pt>
                <c:pt idx="7">
                  <c:v>-1.2999999999987499</c:v>
                </c:pt>
                <c:pt idx="8">
                  <c:v>-1.39999999999851</c:v>
                </c:pt>
                <c:pt idx="9">
                  <c:v>-1.3000000000005201</c:v>
                </c:pt>
                <c:pt idx="10">
                  <c:v>-1.5999999999980501</c:v>
                </c:pt>
                <c:pt idx="11">
                  <c:v>-1.6999999999978099</c:v>
                </c:pt>
                <c:pt idx="12">
                  <c:v>-1.79999999999758</c:v>
                </c:pt>
                <c:pt idx="13">
                  <c:v>-2.0000000000006701</c:v>
                </c:pt>
                <c:pt idx="14">
                  <c:v>-2.0000000000006701</c:v>
                </c:pt>
                <c:pt idx="15">
                  <c:v>-2.10000000000043</c:v>
                </c:pt>
                <c:pt idx="16">
                  <c:v>-2.2000000000002</c:v>
                </c:pt>
                <c:pt idx="17">
                  <c:v>-2.1000000000039898</c:v>
                </c:pt>
                <c:pt idx="18">
                  <c:v>-2.3999999999997401</c:v>
                </c:pt>
                <c:pt idx="19">
                  <c:v>-2.4999999999995</c:v>
                </c:pt>
                <c:pt idx="20">
                  <c:v>-2.59999999999927</c:v>
                </c:pt>
                <c:pt idx="21">
                  <c:v>-2.5000000000030602</c:v>
                </c:pt>
              </c:numCache>
            </c:numRef>
          </c:val>
        </c:ser>
        <c:dLbls/>
        <c:marker val="1"/>
        <c:axId val="403526016"/>
        <c:axId val="403528320"/>
      </c:lineChart>
      <c:lineChart>
        <c:grouping val="standard"/>
        <c:ser>
          <c:idx val="3"/>
          <c:order val="3"/>
          <c:tx>
            <c:strRef>
              <c:f>'zk80+826'!$AG$3:$AG$5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'zk80+826'!$S$6:$S$27</c:f>
              <c:numCache>
                <c:formatCode>m"月"d"日";@</c:formatCode>
                <c:ptCount val="22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'zk80+826'!$AG$6:$AG$31</c:f>
              <c:numCache>
                <c:formatCode>0.0_ </c:formatCode>
                <c:ptCount val="26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</c:numCache>
            </c:numRef>
          </c:val>
        </c:ser>
        <c:dLbls/>
        <c:marker val="1"/>
        <c:axId val="403538688"/>
        <c:axId val="403540224"/>
      </c:lineChart>
      <c:dateAx>
        <c:axId val="4035260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528320"/>
        <c:crossesAt val="-50"/>
        <c:auto val="1"/>
        <c:lblOffset val="100"/>
        <c:baseTimeUnit val="days"/>
        <c:majorUnit val="4"/>
        <c:majorTimeUnit val="days"/>
      </c:dateAx>
      <c:valAx>
        <c:axId val="403528320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526016"/>
        <c:crosses val="autoZero"/>
        <c:crossBetween val="midCat"/>
        <c:majorUnit val="1.6"/>
        <c:minorUnit val="0.1"/>
      </c:valAx>
      <c:dateAx>
        <c:axId val="40353868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3540224"/>
        <c:crosses val="autoZero"/>
        <c:auto val="1"/>
        <c:lblOffset val="100"/>
        <c:baseTimeUnit val="days"/>
      </c:dateAx>
      <c:valAx>
        <c:axId val="403540224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53868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'zk80+826'!$C$4:$G$4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'zk80+826'!$A$6:$A$38</c:f>
              <c:numCache>
                <c:formatCode>m"月"d"日";@</c:formatCode>
                <c:ptCount val="33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'zk80+826'!$G$6:$G$34</c:f>
              <c:numCache>
                <c:formatCode>0.00_ </c:formatCode>
                <c:ptCount val="29"/>
                <c:pt idx="0">
                  <c:v>0</c:v>
                </c:pt>
                <c:pt idx="1">
                  <c:v>0.10000000008858501</c:v>
                </c:pt>
                <c:pt idx="2">
                  <c:v>-0.30000000003838101</c:v>
                </c:pt>
                <c:pt idx="3">
                  <c:v>-0.30000000003838101</c:v>
                </c:pt>
                <c:pt idx="4">
                  <c:v>-9.9999999974897905E-2</c:v>
                </c:pt>
                <c:pt idx="5">
                  <c:v>-0.199999999949796</c:v>
                </c:pt>
                <c:pt idx="6">
                  <c:v>-0.20000000006348301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-9.9999999974897905E-2</c:v>
                </c:pt>
                <c:pt idx="11">
                  <c:v>-0.30000000003838101</c:v>
                </c:pt>
                <c:pt idx="12">
                  <c:v>-0.20000000006348301</c:v>
                </c:pt>
                <c:pt idx="13">
                  <c:v>0.20000000006348301</c:v>
                </c:pt>
                <c:pt idx="14">
                  <c:v>-0.59999999996307496</c:v>
                </c:pt>
                <c:pt idx="15">
                  <c:v>-0.100000000031741</c:v>
                </c:pt>
                <c:pt idx="16">
                  <c:v>4.9999999987448973E-2</c:v>
                </c:pt>
                <c:pt idx="17">
                  <c:v>-0.24999999999408828</c:v>
                </c:pt>
                <c:pt idx="18">
                  <c:v>-0.14999999996234692</c:v>
                </c:pt>
                <c:pt idx="19">
                  <c:v>4.9999999987448973E-2</c:v>
                </c:pt>
                <c:pt idx="20">
                  <c:v>4.9999999987449001E-2</c:v>
                </c:pt>
                <c:pt idx="21">
                  <c:v>4.9999999987449001E-2</c:v>
                </c:pt>
                <c:pt idx="22">
                  <c:v>-1.5999999999394228</c:v>
                </c:pt>
              </c:numCache>
            </c:numRef>
          </c:val>
        </c:ser>
        <c:ser>
          <c:idx val="1"/>
          <c:order val="1"/>
          <c:tx>
            <c:strRef>
              <c:f>'zk80+826'!$H$4:$L$4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'zk80+826'!$A$6:$A$38</c:f>
              <c:numCache>
                <c:formatCode>m"月"d"日";@</c:formatCode>
                <c:ptCount val="33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'zk80+826'!$L$6:$L$35</c:f>
              <c:numCache>
                <c:formatCode>0.00_ </c:formatCode>
                <c:ptCount val="30"/>
                <c:pt idx="0">
                  <c:v>0</c:v>
                </c:pt>
                <c:pt idx="1">
                  <c:v>-0.199999999949796</c:v>
                </c:pt>
                <c:pt idx="2">
                  <c:v>-0.199999999949796</c:v>
                </c:pt>
                <c:pt idx="3">
                  <c:v>-0.10000000008858501</c:v>
                </c:pt>
                <c:pt idx="4">
                  <c:v>-0.199999999949796</c:v>
                </c:pt>
                <c:pt idx="5">
                  <c:v>-0.20000000006348301</c:v>
                </c:pt>
                <c:pt idx="6">
                  <c:v>-0.29999999992469401</c:v>
                </c:pt>
                <c:pt idx="7">
                  <c:v>-9.9999999974897905E-2</c:v>
                </c:pt>
                <c:pt idx="8">
                  <c:v>-0.20000000006348301</c:v>
                </c:pt>
                <c:pt idx="9">
                  <c:v>-0.69999999993797202</c:v>
                </c:pt>
                <c:pt idx="10">
                  <c:v>0.29999999992469401</c:v>
                </c:pt>
                <c:pt idx="11">
                  <c:v>-0.199999999949796</c:v>
                </c:pt>
                <c:pt idx="12">
                  <c:v>-0.20000000006348301</c:v>
                </c:pt>
                <c:pt idx="13">
                  <c:v>-9.9999999974897905E-2</c:v>
                </c:pt>
                <c:pt idx="14">
                  <c:v>-0.30000000003838101</c:v>
                </c:pt>
                <c:pt idx="15">
                  <c:v>-9.9999999974897905E-2</c:v>
                </c:pt>
                <c:pt idx="16">
                  <c:v>-0.40000000001327901</c:v>
                </c:pt>
                <c:pt idx="17">
                  <c:v>0.19999999994979589</c:v>
                </c:pt>
                <c:pt idx="18">
                  <c:v>-9.9999999974897946E-2</c:v>
                </c:pt>
                <c:pt idx="19">
                  <c:v>0</c:v>
                </c:pt>
                <c:pt idx="20">
                  <c:v>-0.20000000000663931</c:v>
                </c:pt>
                <c:pt idx="21">
                  <c:v>-0.10000000003174137</c:v>
                </c:pt>
              </c:numCache>
            </c:numRef>
          </c:val>
        </c:ser>
        <c:ser>
          <c:idx val="2"/>
          <c:order val="2"/>
          <c:tx>
            <c:strRef>
              <c:f>'zk80+826'!$M$4:$Q$4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'zk80+826'!$A$6:$A$38</c:f>
              <c:numCache>
                <c:formatCode>m"月"d"日";@</c:formatCode>
                <c:ptCount val="33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'zk80+826'!$Q$6:$Q$31</c:f>
              <c:numCache>
                <c:formatCode>0.00_ </c:formatCode>
                <c:ptCount val="26"/>
                <c:pt idx="0">
                  <c:v>0</c:v>
                </c:pt>
                <c:pt idx="1">
                  <c:v>-0.10000000008858501</c:v>
                </c:pt>
                <c:pt idx="2">
                  <c:v>-0.29999999992469401</c:v>
                </c:pt>
                <c:pt idx="3">
                  <c:v>-0.20000000006348301</c:v>
                </c:pt>
                <c:pt idx="4">
                  <c:v>-0.29999999992469401</c:v>
                </c:pt>
                <c:pt idx="5">
                  <c:v>-0.10000000008858501</c:v>
                </c:pt>
                <c:pt idx="6">
                  <c:v>-9.9999999974897905E-2</c:v>
                </c:pt>
                <c:pt idx="7">
                  <c:v>-9.9999999974897905E-2</c:v>
                </c:pt>
                <c:pt idx="8">
                  <c:v>-9.9999999974897905E-2</c:v>
                </c:pt>
                <c:pt idx="9">
                  <c:v>0.40000000001327901</c:v>
                </c:pt>
                <c:pt idx="10">
                  <c:v>-0.60000000007676102</c:v>
                </c:pt>
                <c:pt idx="11">
                  <c:v>-9.9999999974897905E-2</c:v>
                </c:pt>
                <c:pt idx="12">
                  <c:v>-0.30000000003838068</c:v>
                </c:pt>
                <c:pt idx="13">
                  <c:v>0.10000000008858478</c:v>
                </c:pt>
                <c:pt idx="14">
                  <c:v>-0.30000000003838101</c:v>
                </c:pt>
                <c:pt idx="15">
                  <c:v>4.9999999987449001E-2</c:v>
                </c:pt>
                <c:pt idx="16">
                  <c:v>-4.9999999987449001E-2</c:v>
                </c:pt>
                <c:pt idx="17">
                  <c:v>-4.9999999987449001E-2</c:v>
                </c:pt>
                <c:pt idx="18">
                  <c:v>-4.9999999987449001E-2</c:v>
                </c:pt>
                <c:pt idx="19">
                  <c:v>-0.30000000003838101</c:v>
                </c:pt>
                <c:pt idx="20">
                  <c:v>0.20000000000663901</c:v>
                </c:pt>
                <c:pt idx="21">
                  <c:v>-4.9999999987449001E-2</c:v>
                </c:pt>
              </c:numCache>
            </c:numRef>
          </c:val>
        </c:ser>
        <c:dLbls/>
        <c:marker val="1"/>
        <c:axId val="403491456"/>
        <c:axId val="403584128"/>
      </c:lineChart>
      <c:dateAx>
        <c:axId val="40349145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584128"/>
        <c:crossesAt val="-50"/>
        <c:auto val="1"/>
        <c:lblOffset val="100"/>
        <c:baseTimeUnit val="days"/>
        <c:majorUnit val="4"/>
        <c:majorTimeUnit val="days"/>
      </c:dateAx>
      <c:valAx>
        <c:axId val="403584128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491456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'zk80+826'!$U$4:$W$4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'zk80+826'!$S$6:$S$41</c:f>
              <c:numCache>
                <c:formatCode>m"月"d"日";@</c:formatCode>
                <c:ptCount val="36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'zk80+826'!$W$6:$W$32</c:f>
              <c:numCache>
                <c:formatCode>0.00_ </c:formatCode>
                <c:ptCount val="27"/>
                <c:pt idx="0">
                  <c:v>0</c:v>
                </c:pt>
                <c:pt idx="1">
                  <c:v>-9.99999999997669E-2</c:v>
                </c:pt>
                <c:pt idx="2">
                  <c:v>0.29999999999930099</c:v>
                </c:pt>
                <c:pt idx="3">
                  <c:v>0.80000000000168803</c:v>
                </c:pt>
                <c:pt idx="4">
                  <c:v>-0.50000000000061096</c:v>
                </c:pt>
                <c:pt idx="5">
                  <c:v>0.29999999999930099</c:v>
                </c:pt>
                <c:pt idx="6">
                  <c:v>0.29999999999930099</c:v>
                </c:pt>
                <c:pt idx="7">
                  <c:v>0.10000000000154299</c:v>
                </c:pt>
                <c:pt idx="8">
                  <c:v>0.49999999999705802</c:v>
                </c:pt>
                <c:pt idx="9">
                  <c:v>0.29999999999930099</c:v>
                </c:pt>
                <c:pt idx="10">
                  <c:v>-9.9999999996214201E-2</c:v>
                </c:pt>
                <c:pt idx="11">
                  <c:v>0.69999999999481599</c:v>
                </c:pt>
                <c:pt idx="12">
                  <c:v>0.29999999999930083</c:v>
                </c:pt>
                <c:pt idx="13">
                  <c:v>0.60000000000037801</c:v>
                </c:pt>
                <c:pt idx="14">
                  <c:v>0</c:v>
                </c:pt>
                <c:pt idx="15">
                  <c:v>0.14999999999965041</c:v>
                </c:pt>
                <c:pt idx="16">
                  <c:v>4.9999999999883471E-2</c:v>
                </c:pt>
                <c:pt idx="17">
                  <c:v>0.25000000000030553</c:v>
                </c:pt>
                <c:pt idx="18">
                  <c:v>0.14999999999965041</c:v>
                </c:pt>
                <c:pt idx="19">
                  <c:v>0.15000000000053859</c:v>
                </c:pt>
                <c:pt idx="20">
                  <c:v>-0.39999999999995595</c:v>
                </c:pt>
                <c:pt idx="21">
                  <c:v>0.14999999999965</c:v>
                </c:pt>
                <c:pt idx="22">
                  <c:v>-1.0000000000030003</c:v>
                </c:pt>
              </c:numCache>
            </c:numRef>
          </c:val>
        </c:ser>
        <c:ser>
          <c:idx val="1"/>
          <c:order val="1"/>
          <c:tx>
            <c:strRef>
              <c:f>'zk80+826'!$Y$4:$AA$4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'zk80+826'!$S$6:$S$41</c:f>
              <c:numCache>
                <c:formatCode>m"月"d"日";@</c:formatCode>
                <c:ptCount val="36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'zk80+826'!$AA$6:$AA$31</c:f>
              <c:numCache>
                <c:formatCode>0.00_ </c:formatCode>
                <c:ptCount val="26"/>
                <c:pt idx="0">
                  <c:v>0</c:v>
                </c:pt>
                <c:pt idx="1">
                  <c:v>0.30000000000107702</c:v>
                </c:pt>
                <c:pt idx="2">
                  <c:v>-0.799999999999912</c:v>
                </c:pt>
                <c:pt idx="3">
                  <c:v>-0.20000000000130999</c:v>
                </c:pt>
                <c:pt idx="4">
                  <c:v>-0.29999999999930099</c:v>
                </c:pt>
                <c:pt idx="5">
                  <c:v>9.99999999997669E-2</c:v>
                </c:pt>
                <c:pt idx="6">
                  <c:v>-0.29999999999930099</c:v>
                </c:pt>
                <c:pt idx="7">
                  <c:v>-0.29999999999930099</c:v>
                </c:pt>
                <c:pt idx="8">
                  <c:v>-0.29999999999930099</c:v>
                </c:pt>
                <c:pt idx="9">
                  <c:v>-0.20000000000130999</c:v>
                </c:pt>
                <c:pt idx="10">
                  <c:v>-0.39999999999729102</c:v>
                </c:pt>
                <c:pt idx="11">
                  <c:v>-0.29999999999930099</c:v>
                </c:pt>
                <c:pt idx="12">
                  <c:v>0.199999999995981</c:v>
                </c:pt>
                <c:pt idx="13">
                  <c:v>-0.79999999999458304</c:v>
                </c:pt>
                <c:pt idx="14">
                  <c:v>-0.20000000000486301</c:v>
                </c:pt>
                <c:pt idx="15">
                  <c:v>-0.19999999999686899</c:v>
                </c:pt>
                <c:pt idx="16">
                  <c:v>-0.14999999999965</c:v>
                </c:pt>
                <c:pt idx="17">
                  <c:v>-0.14999999999965</c:v>
                </c:pt>
                <c:pt idx="18">
                  <c:v>-0.14999999999965</c:v>
                </c:pt>
                <c:pt idx="19">
                  <c:v>0.14999999999520999</c:v>
                </c:pt>
                <c:pt idx="20">
                  <c:v>-0.44999999999451001</c:v>
                </c:pt>
                <c:pt idx="21">
                  <c:v>0.19999999999509299</c:v>
                </c:pt>
                <c:pt idx="22">
                  <c:v>-0.17083333333330544</c:v>
                </c:pt>
              </c:numCache>
            </c:numRef>
          </c:val>
        </c:ser>
        <c:ser>
          <c:idx val="2"/>
          <c:order val="2"/>
          <c:tx>
            <c:strRef>
              <c:f>'zk80+826'!$AC$4:$AE$4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'zk80+826'!$S$6:$S$41</c:f>
              <c:numCache>
                <c:formatCode>m"月"d"日";@</c:formatCode>
                <c:ptCount val="36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-0.30000000000107702</c:v>
                </c:pt>
                <c:pt idx="3">
                  <c:v>-0.19999999999953399</c:v>
                </c:pt>
                <c:pt idx="4">
                  <c:v>-0.29999999999930099</c:v>
                </c:pt>
                <c:pt idx="5">
                  <c:v>-0.50000000000061096</c:v>
                </c:pt>
                <c:pt idx="6">
                  <c:v>0.30000000000107702</c:v>
                </c:pt>
                <c:pt idx="7">
                  <c:v>-9.99999999997669E-2</c:v>
                </c:pt>
                <c:pt idx="8">
                  <c:v>-9.99999999997669E-2</c:v>
                </c:pt>
                <c:pt idx="9">
                  <c:v>9.9999999997990599E-2</c:v>
                </c:pt>
                <c:pt idx="10">
                  <c:v>-0.29999999999752403</c:v>
                </c:pt>
                <c:pt idx="11">
                  <c:v>-9.99999999997669E-2</c:v>
                </c:pt>
                <c:pt idx="12">
                  <c:v>-9.99999999997669E-2</c:v>
                </c:pt>
                <c:pt idx="13">
                  <c:v>-0.20000000000308699</c:v>
                </c:pt>
                <c:pt idx="14">
                  <c:v>0</c:v>
                </c:pt>
                <c:pt idx="15">
                  <c:v>-4.9999999999883499E-2</c:v>
                </c:pt>
                <c:pt idx="16">
                  <c:v>-4.9999999999883499E-2</c:v>
                </c:pt>
                <c:pt idx="17">
                  <c:v>4.99999999981071E-2</c:v>
                </c:pt>
                <c:pt idx="18">
                  <c:v>-0.149999999997874</c:v>
                </c:pt>
                <c:pt idx="19">
                  <c:v>-4.9999999999883499E-2</c:v>
                </c:pt>
                <c:pt idx="20">
                  <c:v>-4.9999999999883499E-2</c:v>
                </c:pt>
                <c:pt idx="21">
                  <c:v>4.99999999981071E-2</c:v>
                </c:pt>
              </c:numCache>
            </c:numRef>
          </c:val>
        </c:ser>
        <c:dLbls/>
        <c:marker val="1"/>
        <c:axId val="403500416"/>
        <c:axId val="403646336"/>
      </c:lineChart>
      <c:dateAx>
        <c:axId val="403500416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646336"/>
        <c:crossesAt val="-50"/>
        <c:auto val="1"/>
        <c:lblOffset val="100"/>
        <c:baseTimeUnit val="days"/>
        <c:majorUnit val="4"/>
        <c:majorTimeUnit val="days"/>
      </c:dateAx>
      <c:valAx>
        <c:axId val="403646336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500416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k80+826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7016794679806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'zk80+826'!$C$4:$G$4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'zk80+826'!$A$6:$A$34</c:f>
              <c:numCache>
                <c:formatCode>m"月"d"日";@</c:formatCode>
                <c:ptCount val="29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'zk80+826'!$F$6:$F$24</c:f>
              <c:numCache>
                <c:formatCode>0.00_ </c:formatCode>
                <c:ptCount val="19"/>
                <c:pt idx="0">
                  <c:v>0</c:v>
                </c:pt>
                <c:pt idx="1">
                  <c:v>0.10000000008858501</c:v>
                </c:pt>
                <c:pt idx="2">
                  <c:v>-0.199999999949796</c:v>
                </c:pt>
                <c:pt idx="3">
                  <c:v>-0.49999999998817701</c:v>
                </c:pt>
                <c:pt idx="4">
                  <c:v>-0.59999999996307496</c:v>
                </c:pt>
                <c:pt idx="5">
                  <c:v>-0.79999999991286996</c:v>
                </c:pt>
                <c:pt idx="6">
                  <c:v>-0.99999999997635303</c:v>
                </c:pt>
                <c:pt idx="7">
                  <c:v>-0.90000000000145497</c:v>
                </c:pt>
                <c:pt idx="8">
                  <c:v>-1.39999999998963</c:v>
                </c:pt>
                <c:pt idx="9">
                  <c:v>-1.5999999999394301</c:v>
                </c:pt>
                <c:pt idx="10">
                  <c:v>-1.69999999991433</c:v>
                </c:pt>
                <c:pt idx="11">
                  <c:v>-1.9999999999527101</c:v>
                </c:pt>
                <c:pt idx="12">
                  <c:v>-2.2000000000161899</c:v>
                </c:pt>
                <c:pt idx="13">
                  <c:v>-1.9999999999527101</c:v>
                </c:pt>
                <c:pt idx="14">
                  <c:v>-2.5999999999157799</c:v>
                </c:pt>
                <c:pt idx="15">
                  <c:v>-2.79999999997926</c:v>
                </c:pt>
                <c:pt idx="16">
                  <c:v>-2.700000000004362</c:v>
                </c:pt>
                <c:pt idx="17">
                  <c:v>-3.1999999999925386</c:v>
                </c:pt>
                <c:pt idx="18">
                  <c:v>-3.4999999999172324</c:v>
                </c:pt>
              </c:numCache>
            </c:numRef>
          </c:val>
        </c:ser>
        <c:ser>
          <c:idx val="1"/>
          <c:order val="1"/>
          <c:tx>
            <c:strRef>
              <c:f>'zk80+826'!$H$4:$L$4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 cap="rnd" cmpd="sng" algn="ctr">
                <a:solidFill>
                  <a:srgbClr val="FF0000"/>
                </a:solidFill>
                <a:prstDash val="solid"/>
                <a:round/>
              </a:ln>
            </c:spPr>
            <c:trendlineType val="movingAvg"/>
            <c:period val="2"/>
          </c:trendline>
          <c:cat>
            <c:numRef>
              <c:f>'zk80+826'!$A$6:$A$34</c:f>
              <c:numCache>
                <c:formatCode>m"月"d"日";@</c:formatCode>
                <c:ptCount val="29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'zk80+826'!$K$6:$K$30</c:f>
              <c:numCache>
                <c:formatCode>0.00_ </c:formatCode>
                <c:ptCount val="25"/>
                <c:pt idx="0">
                  <c:v>0</c:v>
                </c:pt>
                <c:pt idx="1">
                  <c:v>-0.199999999949796</c:v>
                </c:pt>
                <c:pt idx="2">
                  <c:v>-0.39999999989959201</c:v>
                </c:pt>
                <c:pt idx="3">
                  <c:v>-0.49999999998817701</c:v>
                </c:pt>
                <c:pt idx="4">
                  <c:v>-0.69999999993797202</c:v>
                </c:pt>
                <c:pt idx="5">
                  <c:v>-0.90000000000145497</c:v>
                </c:pt>
                <c:pt idx="6">
                  <c:v>-1.1999999999261499</c:v>
                </c:pt>
                <c:pt idx="7">
                  <c:v>-1.2999999999010501</c:v>
                </c:pt>
                <c:pt idx="8">
                  <c:v>-1.4999999999645299</c:v>
                </c:pt>
                <c:pt idx="9">
                  <c:v>-2.1999999999024999</c:v>
                </c:pt>
                <c:pt idx="10">
                  <c:v>-1.8999999999778101</c:v>
                </c:pt>
                <c:pt idx="11">
                  <c:v>-2.0999999999275998</c:v>
                </c:pt>
                <c:pt idx="12">
                  <c:v>-2.2999999999910901</c:v>
                </c:pt>
                <c:pt idx="13">
                  <c:v>-2.39999999996598</c:v>
                </c:pt>
                <c:pt idx="14">
                  <c:v>-2.70000000000437</c:v>
                </c:pt>
                <c:pt idx="15">
                  <c:v>-2.8999999999541601</c:v>
                </c:pt>
                <c:pt idx="16">
                  <c:v>-3.69999999998072</c:v>
                </c:pt>
                <c:pt idx="17">
                  <c:v>-3.3000000000811283</c:v>
                </c:pt>
                <c:pt idx="18">
                  <c:v>-3.5000000000309242</c:v>
                </c:pt>
                <c:pt idx="19">
                  <c:v>-3.5000000000309242</c:v>
                </c:pt>
                <c:pt idx="20">
                  <c:v>-3.9000000000442028</c:v>
                </c:pt>
                <c:pt idx="21">
                  <c:v>-4.1000000001076859</c:v>
                </c:pt>
                <c:pt idx="22">
                  <c:v>-0.10000000000331953</c:v>
                </c:pt>
              </c:numCache>
            </c:numRef>
          </c:val>
        </c:ser>
        <c:ser>
          <c:idx val="2"/>
          <c:order val="2"/>
          <c:tx>
            <c:strRef>
              <c:f>'zk80+826'!$M$4:$Q$4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'zk80+826'!$A$6:$A$34</c:f>
              <c:numCache>
                <c:formatCode>m"月"d"日";@</c:formatCode>
                <c:ptCount val="29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  <c:pt idx="19">
                  <c:v>45055</c:v>
                </c:pt>
                <c:pt idx="20">
                  <c:v>45057</c:v>
                </c:pt>
                <c:pt idx="21">
                  <c:v>45059</c:v>
                </c:pt>
              </c:numCache>
            </c:numRef>
          </c:cat>
          <c:val>
            <c:numRef>
              <c:f>'zk80+826'!$P$6:$P$28</c:f>
              <c:numCache>
                <c:formatCode>0.00_ </c:formatCode>
                <c:ptCount val="23"/>
                <c:pt idx="0">
                  <c:v>0</c:v>
                </c:pt>
                <c:pt idx="1">
                  <c:v>-0.10000000008858501</c:v>
                </c:pt>
                <c:pt idx="2">
                  <c:v>-0.40000000001327901</c:v>
                </c:pt>
                <c:pt idx="3">
                  <c:v>-0.60000000007676102</c:v>
                </c:pt>
                <c:pt idx="4">
                  <c:v>-0.90000000000145497</c:v>
                </c:pt>
                <c:pt idx="5">
                  <c:v>-1.00000000009004</c:v>
                </c:pt>
                <c:pt idx="6">
                  <c:v>-1.1000000000649399</c:v>
                </c:pt>
                <c:pt idx="7">
                  <c:v>-1.2000000000398401</c:v>
                </c:pt>
                <c:pt idx="8">
                  <c:v>-1.30000000001473</c:v>
                </c:pt>
                <c:pt idx="9">
                  <c:v>-0.90000000000145497</c:v>
                </c:pt>
                <c:pt idx="10">
                  <c:v>-1.5000000000782201</c:v>
                </c:pt>
                <c:pt idx="11">
                  <c:v>-1.60000000005311</c:v>
                </c:pt>
                <c:pt idx="12">
                  <c:v>-1.9000000000914907</c:v>
                </c:pt>
                <c:pt idx="13">
                  <c:v>-1.8000000000029059</c:v>
                </c:pt>
                <c:pt idx="14">
                  <c:v>-2.1000000000412871</c:v>
                </c:pt>
                <c:pt idx="15">
                  <c:v>-2.0000000000663891</c:v>
                </c:pt>
                <c:pt idx="16">
                  <c:v>-2.1000000000412871</c:v>
                </c:pt>
                <c:pt idx="17">
                  <c:v>-2.200000000016185</c:v>
                </c:pt>
                <c:pt idx="18">
                  <c:v>-2.299999999991083</c:v>
                </c:pt>
                <c:pt idx="19">
                  <c:v>-2.9000000000678439</c:v>
                </c:pt>
                <c:pt idx="20">
                  <c:v>-2.5000000000545648</c:v>
                </c:pt>
                <c:pt idx="21">
                  <c:v>-2.6000000000294627</c:v>
                </c:pt>
              </c:numCache>
            </c:numRef>
          </c:val>
        </c:ser>
        <c:dLbls/>
        <c:marker val="1"/>
        <c:axId val="403729792"/>
        <c:axId val="403740544"/>
      </c:lineChart>
      <c:lineChart>
        <c:grouping val="standard"/>
        <c:ser>
          <c:idx val="3"/>
          <c:order val="3"/>
          <c:tx>
            <c:strRef>
              <c:f>'zk80+826'!$AG$3:$AG$5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'zk80+826'!$A$6:$A$24</c:f>
              <c:numCache>
                <c:formatCode>m"月"d"日";@</c:formatCode>
                <c:ptCount val="19"/>
                <c:pt idx="0">
                  <c:v>45031</c:v>
                </c:pt>
                <c:pt idx="1">
                  <c:v>45032</c:v>
                </c:pt>
                <c:pt idx="2">
                  <c:v>45033</c:v>
                </c:pt>
                <c:pt idx="3">
                  <c:v>45034</c:v>
                </c:pt>
                <c:pt idx="4">
                  <c:v>45035</c:v>
                </c:pt>
                <c:pt idx="5">
                  <c:v>45036</c:v>
                </c:pt>
                <c:pt idx="6">
                  <c:v>45037</c:v>
                </c:pt>
                <c:pt idx="7">
                  <c:v>45038</c:v>
                </c:pt>
                <c:pt idx="8">
                  <c:v>45039</c:v>
                </c:pt>
                <c:pt idx="9">
                  <c:v>45040</c:v>
                </c:pt>
                <c:pt idx="10">
                  <c:v>45041</c:v>
                </c:pt>
                <c:pt idx="11">
                  <c:v>45042</c:v>
                </c:pt>
                <c:pt idx="12">
                  <c:v>45043</c:v>
                </c:pt>
                <c:pt idx="13">
                  <c:v>45044</c:v>
                </c:pt>
                <c:pt idx="14">
                  <c:v>45045</c:v>
                </c:pt>
                <c:pt idx="15">
                  <c:v>45047</c:v>
                </c:pt>
                <c:pt idx="16">
                  <c:v>45049</c:v>
                </c:pt>
                <c:pt idx="17">
                  <c:v>45051</c:v>
                </c:pt>
                <c:pt idx="18">
                  <c:v>45053</c:v>
                </c:pt>
              </c:numCache>
            </c:numRef>
          </c:cat>
          <c:val>
            <c:numRef>
              <c:f>'zk80+826'!$AG$6:$AG$31</c:f>
              <c:numCache>
                <c:formatCode>0.0_ </c:formatCode>
                <c:ptCount val="26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</c:numCache>
            </c:numRef>
          </c:val>
        </c:ser>
        <c:dLbls/>
        <c:marker val="1"/>
        <c:axId val="403746816"/>
        <c:axId val="403748352"/>
      </c:lineChart>
      <c:dateAx>
        <c:axId val="40372979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740544"/>
        <c:crossesAt val="-50"/>
        <c:auto val="1"/>
        <c:lblOffset val="100"/>
        <c:baseTimeUnit val="days"/>
        <c:majorUnit val="4"/>
        <c:majorTimeUnit val="days"/>
      </c:dateAx>
      <c:valAx>
        <c:axId val="403740544"/>
        <c:scaling>
          <c:orientation val="minMax"/>
          <c:max val="1"/>
          <c:min val="-5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729792"/>
        <c:crosses val="autoZero"/>
        <c:crossBetween val="midCat"/>
        <c:majorUnit val="1.2"/>
        <c:minorUnit val="0.5"/>
      </c:valAx>
      <c:dateAx>
        <c:axId val="40374681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3748352"/>
        <c:crosses val="autoZero"/>
        <c:auto val="1"/>
        <c:lblOffset val="100"/>
        <c:baseTimeUnit val="days"/>
      </c:dateAx>
      <c:valAx>
        <c:axId val="403748352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74681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断面周边位移累计量变化趋势图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19785426192795"/>
          <c:y val="7.1174377224199311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2780689828863998"/>
          <c:y val="0.22301304863582402"/>
          <c:w val="0.81159584383864602"/>
          <c:h val="0.62040332147093691"/>
        </c:manualLayout>
      </c:layout>
      <c:lineChart>
        <c:grouping val="standard"/>
        <c:ser>
          <c:idx val="0"/>
          <c:order val="0"/>
          <c:tx>
            <c:strRef>
              <c:f>'zk80+860'!$U$4:$W$4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'zk80+860'!$S$6:$S$27</c:f>
              <c:numCache>
                <c:formatCode>m"月"d"日";@</c:formatCode>
                <c:ptCount val="22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'zk80+860'!$V$6:$V$32</c:f>
              <c:numCache>
                <c:formatCode>0.00_ </c:formatCode>
                <c:ptCount val="27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-0.999999999999446</c:v>
                </c:pt>
                <c:pt idx="4">
                  <c:v>-0.79999999999813598</c:v>
                </c:pt>
                <c:pt idx="5">
                  <c:v>-0.99999999999766898</c:v>
                </c:pt>
                <c:pt idx="6">
                  <c:v>-0.70000000000014495</c:v>
                </c:pt>
                <c:pt idx="7">
                  <c:v>-1.3000000000005201</c:v>
                </c:pt>
                <c:pt idx="8">
                  <c:v>-1.59999999999627</c:v>
                </c:pt>
                <c:pt idx="9">
                  <c:v>-1.7999999999958001</c:v>
                </c:pt>
                <c:pt idx="10">
                  <c:v>-1.9000000000009001</c:v>
                </c:pt>
                <c:pt idx="11">
                  <c:v>-2.1999999999948701</c:v>
                </c:pt>
                <c:pt idx="12">
                  <c:v>-2.3999999999944102</c:v>
                </c:pt>
                <c:pt idx="13">
                  <c:v>-2.2999999999999701</c:v>
                </c:pt>
                <c:pt idx="14">
                  <c:v>-2.7999999999934699</c:v>
                </c:pt>
                <c:pt idx="15">
                  <c:v>-2.99999999999301</c:v>
                </c:pt>
                <c:pt idx="16">
                  <c:v>-3.1999999999925399</c:v>
                </c:pt>
                <c:pt idx="17">
                  <c:v>-3.0999999999998802</c:v>
                </c:pt>
                <c:pt idx="18">
                  <c:v>-3.5999999999916099</c:v>
                </c:pt>
                <c:pt idx="19">
                  <c:v>-3.7999999999911398</c:v>
                </c:pt>
                <c:pt idx="20">
                  <c:v>-3.9999999999906799</c:v>
                </c:pt>
                <c:pt idx="21">
                  <c:v>-3.8999999999997899</c:v>
                </c:pt>
                <c:pt idx="22">
                  <c:v>-3.0999999999945502</c:v>
                </c:pt>
              </c:numCache>
            </c:numRef>
          </c:val>
        </c:ser>
        <c:ser>
          <c:idx val="1"/>
          <c:order val="1"/>
          <c:tx>
            <c:strRef>
              <c:f>'zk80+860'!$Y$4:$AA$4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>
                <a:solidFill>
                  <a:srgbClr val="FF0000"/>
                </a:solidFill>
              </a:ln>
            </c:spPr>
            <c:trendlineType val="movingAvg"/>
            <c:period val="2"/>
          </c:trendline>
          <c:cat>
            <c:numRef>
              <c:f>'zk80+860'!$S$6:$S$27</c:f>
              <c:numCache>
                <c:formatCode>m"月"d"日";@</c:formatCode>
                <c:ptCount val="22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'zk80+860'!$Z$6:$Z$33</c:f>
              <c:numCache>
                <c:formatCode>0.00_ </c:formatCode>
                <c:ptCount val="28"/>
                <c:pt idx="0">
                  <c:v>0</c:v>
                </c:pt>
                <c:pt idx="1">
                  <c:v>-0.30000000000107702</c:v>
                </c:pt>
                <c:pt idx="2">
                  <c:v>-0.60000000000215403</c:v>
                </c:pt>
                <c:pt idx="3">
                  <c:v>-0.50000000000061096</c:v>
                </c:pt>
                <c:pt idx="4">
                  <c:v>-1.2000000000043101</c:v>
                </c:pt>
                <c:pt idx="5">
                  <c:v>-1.5000000000053899</c:v>
                </c:pt>
                <c:pt idx="6">
                  <c:v>-1.4000000000002899</c:v>
                </c:pt>
                <c:pt idx="7">
                  <c:v>-2.1000000000075398</c:v>
                </c:pt>
                <c:pt idx="8">
                  <c:v>-2.4000000000086201</c:v>
                </c:pt>
                <c:pt idx="9">
                  <c:v>-2.7000000000096902</c:v>
                </c:pt>
                <c:pt idx="10">
                  <c:v>-2.6000000000010499</c:v>
                </c:pt>
                <c:pt idx="11">
                  <c:v>-3.3000000000118499</c:v>
                </c:pt>
                <c:pt idx="12">
                  <c:v>-3.6000000000129302</c:v>
                </c:pt>
                <c:pt idx="13">
                  <c:v>-4.2000000000008697</c:v>
                </c:pt>
                <c:pt idx="14">
                  <c:v>-4.2000000000150797</c:v>
                </c:pt>
                <c:pt idx="15">
                  <c:v>-4.5000000000161604</c:v>
                </c:pt>
                <c:pt idx="16">
                  <c:v>-4.4000000000004</c:v>
                </c:pt>
                <c:pt idx="17">
                  <c:v>-5.1000000000183103</c:v>
                </c:pt>
                <c:pt idx="18">
                  <c:v>-5.4000000000193902</c:v>
                </c:pt>
                <c:pt idx="19">
                  <c:v>-5.70000000002047</c:v>
                </c:pt>
                <c:pt idx="20">
                  <c:v>-4.6999999999997</c:v>
                </c:pt>
                <c:pt idx="21">
                  <c:v>-4.5999999999999401</c:v>
                </c:pt>
                <c:pt idx="22">
                  <c:v>-4.09999999999933</c:v>
                </c:pt>
              </c:numCache>
            </c:numRef>
          </c:val>
        </c:ser>
        <c:ser>
          <c:idx val="2"/>
          <c:order val="2"/>
          <c:tx>
            <c:strRef>
              <c:f>'zk80+860'!$AC$4:$AE$4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'zk80+860'!$S$6:$S$27</c:f>
              <c:numCache>
                <c:formatCode>m"月"d"日";@</c:formatCode>
                <c:ptCount val="22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'zk80+860'!$AD$6:$AD$37</c:f>
              <c:numCache>
                <c:formatCode>0.00_ </c:formatCode>
                <c:ptCount val="32"/>
                <c:pt idx="0">
                  <c:v>0</c:v>
                </c:pt>
                <c:pt idx="1">
                  <c:v>-0.19999999999953399</c:v>
                </c:pt>
                <c:pt idx="2">
                  <c:v>-0.39999999999906799</c:v>
                </c:pt>
                <c:pt idx="3">
                  <c:v>-0.59999999999860198</c:v>
                </c:pt>
                <c:pt idx="4">
                  <c:v>-0.79999999999813598</c:v>
                </c:pt>
                <c:pt idx="5">
                  <c:v>-0.70000000000014495</c:v>
                </c:pt>
                <c:pt idx="6">
                  <c:v>-1.1999999999972</c:v>
                </c:pt>
                <c:pt idx="7">
                  <c:v>-1.3999999999967401</c:v>
                </c:pt>
                <c:pt idx="8">
                  <c:v>-1.1999999999989801</c:v>
                </c:pt>
                <c:pt idx="9">
                  <c:v>-1.7999999999958001</c:v>
                </c:pt>
                <c:pt idx="10">
                  <c:v>-1.9999999999953399</c:v>
                </c:pt>
                <c:pt idx="11">
                  <c:v>-2.1999999999948701</c:v>
                </c:pt>
                <c:pt idx="12">
                  <c:v>-1.6999999999995901</c:v>
                </c:pt>
                <c:pt idx="13">
                  <c:v>-2.59999999999394</c:v>
                </c:pt>
                <c:pt idx="14">
                  <c:v>-2.7999999999934699</c:v>
                </c:pt>
                <c:pt idx="15">
                  <c:v>-2.6999999999990401</c:v>
                </c:pt>
                <c:pt idx="16">
                  <c:v>-3.1999999999925399</c:v>
                </c:pt>
                <c:pt idx="17">
                  <c:v>-3.39999999999208</c:v>
                </c:pt>
                <c:pt idx="18">
                  <c:v>-3.5999999999916099</c:v>
                </c:pt>
                <c:pt idx="19">
                  <c:v>-3.3999999999991801</c:v>
                </c:pt>
                <c:pt idx="20">
                  <c:v>-3.9999999999906799</c:v>
                </c:pt>
                <c:pt idx="21">
                  <c:v>-4.09999999999933</c:v>
                </c:pt>
              </c:numCache>
            </c:numRef>
          </c:val>
        </c:ser>
        <c:dLbls/>
        <c:marker val="1"/>
        <c:axId val="403861504"/>
        <c:axId val="403863808"/>
      </c:lineChart>
      <c:lineChart>
        <c:grouping val="standard"/>
        <c:ser>
          <c:idx val="3"/>
          <c:order val="3"/>
          <c:tx>
            <c:strRef>
              <c:f>'zk80+860'!$AG$3:$AG$5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'zk80+860'!$S$6:$S$27</c:f>
              <c:numCache>
                <c:formatCode>m"月"d"日";@</c:formatCode>
                <c:ptCount val="22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  <c:pt idx="21">
                  <c:v>73</c:v>
                </c:pt>
              </c:numCache>
            </c:numRef>
          </c:val>
        </c:ser>
        <c:dLbls/>
        <c:marker val="1"/>
        <c:axId val="403874176"/>
        <c:axId val="403875712"/>
      </c:lineChart>
      <c:dateAx>
        <c:axId val="40386150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25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48654352168243103"/>
              <c:y val="0.9217081850533810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863808"/>
        <c:crossesAt val="-50"/>
        <c:auto val="1"/>
        <c:lblOffset val="100"/>
        <c:baseTimeUnit val="days"/>
        <c:majorUnit val="4"/>
        <c:majorTimeUnit val="days"/>
      </c:dateAx>
      <c:valAx>
        <c:axId val="403863808"/>
        <c:scaling>
          <c:orientation val="minMax"/>
          <c:max val="2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25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周边位移累计量（mm）</a:t>
                </a:r>
              </a:p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1.0352102213638402E-2"/>
              <c:y val="0.30960854092526807"/>
            </c:manualLayout>
          </c:layout>
          <c:spPr>
            <a:noFill/>
            <a:ln w="3175">
              <a:noFill/>
            </a:ln>
          </c:spPr>
        </c:title>
        <c:numFmt formatCode="0.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25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861504"/>
        <c:crosses val="autoZero"/>
        <c:crossBetween val="midCat"/>
        <c:majorUnit val="1.6"/>
        <c:minorUnit val="0.1"/>
      </c:valAx>
      <c:dateAx>
        <c:axId val="403874176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3875712"/>
        <c:crosses val="autoZero"/>
        <c:auto val="1"/>
        <c:lblOffset val="100"/>
        <c:baseTimeUnit val="days"/>
      </c:dateAx>
      <c:valAx>
        <c:axId val="403875712"/>
        <c:scaling>
          <c:orientation val="minMax"/>
          <c:max val="100"/>
        </c:scaling>
        <c:axPos val="r"/>
        <c:numFmt formatCode="0.0_ " sourceLinked="1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874176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7.7568134171907818E-2"/>
          <c:y val="9.725446240928122E-2"/>
          <c:w val="0.86325000000000107"/>
          <c:h val="9.9250000000000213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断面拱顶沉降变化速率趋势图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9959845225532"/>
          <c:y val="6.3680747187433709E-3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4496261889997803"/>
          <c:w val="0.81712139880361501"/>
          <c:h val="0.6086104392968732"/>
        </c:manualLayout>
      </c:layout>
      <c:lineChart>
        <c:grouping val="standard"/>
        <c:ser>
          <c:idx val="0"/>
          <c:order val="0"/>
          <c:tx>
            <c:strRef>
              <c:f>'zk80+860'!$C$4:$G$4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'zk80+860'!$A$6:$A$38</c:f>
              <c:numCache>
                <c:formatCode>m"月"d"日";@</c:formatCode>
                <c:ptCount val="33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'zk80+860'!$G$6:$G$34</c:f>
              <c:numCache>
                <c:formatCode>0.00_ </c:formatCode>
                <c:ptCount val="29"/>
                <c:pt idx="0">
                  <c:v>0</c:v>
                </c:pt>
                <c:pt idx="1">
                  <c:v>-0.29999999992469401</c:v>
                </c:pt>
                <c:pt idx="2">
                  <c:v>-0.30000000003838101</c:v>
                </c:pt>
                <c:pt idx="3">
                  <c:v>9.9999999974897905E-2</c:v>
                </c:pt>
                <c:pt idx="4">
                  <c:v>-0.69999999993797202</c:v>
                </c:pt>
                <c:pt idx="5">
                  <c:v>-0.30000000003838101</c:v>
                </c:pt>
                <c:pt idx="6">
                  <c:v>-0.40000000001327901</c:v>
                </c:pt>
                <c:pt idx="7">
                  <c:v>-0.199999999949796</c:v>
                </c:pt>
                <c:pt idx="8">
                  <c:v>-0.30000000003838101</c:v>
                </c:pt>
                <c:pt idx="9">
                  <c:v>-0.30000000003838101</c:v>
                </c:pt>
                <c:pt idx="10">
                  <c:v>0.10000000008858501</c:v>
                </c:pt>
                <c:pt idx="11">
                  <c:v>-0.70000000005165897</c:v>
                </c:pt>
                <c:pt idx="12">
                  <c:v>-0.30000000003838101</c:v>
                </c:pt>
                <c:pt idx="13">
                  <c:v>-0.29999999992469401</c:v>
                </c:pt>
                <c:pt idx="14">
                  <c:v>0.40000000001327901</c:v>
                </c:pt>
                <c:pt idx="15">
                  <c:v>-0.50000000004501999</c:v>
                </c:pt>
                <c:pt idx="16">
                  <c:v>-0.149999999962347</c:v>
                </c:pt>
                <c:pt idx="17">
                  <c:v>-0.15000000001919001</c:v>
                </c:pt>
                <c:pt idx="18">
                  <c:v>-4.9999999987449001E-2</c:v>
                </c:pt>
                <c:pt idx="19">
                  <c:v>-0.24999999999408801</c:v>
                </c:pt>
                <c:pt idx="20">
                  <c:v>4.9999999987449001E-2</c:v>
                </c:pt>
                <c:pt idx="21">
                  <c:v>0.20000000000663901</c:v>
                </c:pt>
                <c:pt idx="22">
                  <c:v>-4.0999999999939991</c:v>
                </c:pt>
              </c:numCache>
            </c:numRef>
          </c:val>
        </c:ser>
        <c:ser>
          <c:idx val="1"/>
          <c:order val="1"/>
          <c:tx>
            <c:strRef>
              <c:f>'zk80+860'!$H$4:$L$4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'zk80+860'!$A$6:$A$38</c:f>
              <c:numCache>
                <c:formatCode>m"月"d"日";@</c:formatCode>
                <c:ptCount val="33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'zk80+860'!$L$6:$L$35</c:f>
              <c:numCache>
                <c:formatCode>0.00_ </c:formatCode>
                <c:ptCount val="30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9.9999999974897905E-2</c:v>
                </c:pt>
                <c:pt idx="4">
                  <c:v>-0.49999999998817701</c:v>
                </c:pt>
                <c:pt idx="5">
                  <c:v>-0.20000000006348301</c:v>
                </c:pt>
                <c:pt idx="6">
                  <c:v>-0.40000000001327901</c:v>
                </c:pt>
                <c:pt idx="7">
                  <c:v>0</c:v>
                </c:pt>
                <c:pt idx="8">
                  <c:v>-0.199999999949796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-0.20000000006348273</c:v>
                </c:pt>
                <c:pt idx="13">
                  <c:v>-9.9999999974897946E-2</c:v>
                </c:pt>
                <c:pt idx="14">
                  <c:v>-0.30000000003838068</c:v>
                </c:pt>
                <c:pt idx="15">
                  <c:v>-9.9999999974897946E-2</c:v>
                </c:pt>
                <c:pt idx="16">
                  <c:v>-0.14999999996234692</c:v>
                </c:pt>
                <c:pt idx="17">
                  <c:v>-5.0000000044292392E-2</c:v>
                </c:pt>
                <c:pt idx="18">
                  <c:v>-9.9999999974897946E-2</c:v>
                </c:pt>
                <c:pt idx="19">
                  <c:v>-0.10000000003174137</c:v>
                </c:pt>
                <c:pt idx="20">
                  <c:v>-9.9999999974897946E-2</c:v>
                </c:pt>
                <c:pt idx="21">
                  <c:v>4.9999999987448973E-2</c:v>
                </c:pt>
              </c:numCache>
            </c:numRef>
          </c:val>
        </c:ser>
        <c:ser>
          <c:idx val="2"/>
          <c:order val="2"/>
          <c:tx>
            <c:strRef>
              <c:f>'zk80+860'!$M$4:$Q$4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'zk80+860'!$A$6:$A$38</c:f>
              <c:numCache>
                <c:formatCode>m"月"d"日";@</c:formatCode>
                <c:ptCount val="33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'zk80+860'!$Q$6:$Q$31</c:f>
              <c:numCache>
                <c:formatCode>0.00_ </c:formatCode>
                <c:ptCount val="26"/>
                <c:pt idx="0">
                  <c:v>0</c:v>
                </c:pt>
                <c:pt idx="1">
                  <c:v>-0.20000000006348301</c:v>
                </c:pt>
                <c:pt idx="2">
                  <c:v>-0.199999999949796</c:v>
                </c:pt>
                <c:pt idx="3">
                  <c:v>-0.30000000003838068</c:v>
                </c:pt>
                <c:pt idx="4">
                  <c:v>-9.9999999974897946E-2</c:v>
                </c:pt>
                <c:pt idx="5">
                  <c:v>-0.20000000006348301</c:v>
                </c:pt>
                <c:pt idx="6">
                  <c:v>-0.199999999949796</c:v>
                </c:pt>
                <c:pt idx="7">
                  <c:v>9.9999999974897905E-2</c:v>
                </c:pt>
                <c:pt idx="8">
                  <c:v>-0.49999999998817701</c:v>
                </c:pt>
                <c:pt idx="9">
                  <c:v>-0.199999999949796</c:v>
                </c:pt>
                <c:pt idx="10">
                  <c:v>9.9999999974897905E-2</c:v>
                </c:pt>
                <c:pt idx="11">
                  <c:v>-0.49999999998817701</c:v>
                </c:pt>
                <c:pt idx="12">
                  <c:v>-0.20000000006348301</c:v>
                </c:pt>
                <c:pt idx="13">
                  <c:v>-0.199999999949796</c:v>
                </c:pt>
                <c:pt idx="14">
                  <c:v>9.9999999974897905E-2</c:v>
                </c:pt>
                <c:pt idx="15">
                  <c:v>-0.24999999999408828</c:v>
                </c:pt>
                <c:pt idx="16">
                  <c:v>-9.9999999974897946E-2</c:v>
                </c:pt>
                <c:pt idx="17">
                  <c:v>-0.10000000003174137</c:v>
                </c:pt>
                <c:pt idx="18">
                  <c:v>-0.14999999996234692</c:v>
                </c:pt>
                <c:pt idx="19">
                  <c:v>-5.0000000044292392E-2</c:v>
                </c:pt>
                <c:pt idx="20">
                  <c:v>-9.9999999974897946E-2</c:v>
                </c:pt>
                <c:pt idx="21">
                  <c:v>-4.9999999987448973E-2</c:v>
                </c:pt>
              </c:numCache>
            </c:numRef>
          </c:val>
        </c:ser>
        <c:dLbls/>
        <c:marker val="1"/>
        <c:axId val="403786368"/>
        <c:axId val="403800832"/>
      </c:lineChart>
      <c:dateAx>
        <c:axId val="4037863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549638769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800832"/>
        <c:crossesAt val="-50"/>
        <c:auto val="1"/>
        <c:lblOffset val="100"/>
        <c:baseTimeUnit val="days"/>
        <c:majorUnit val="4"/>
        <c:majorTimeUnit val="days"/>
      </c:dateAx>
      <c:valAx>
        <c:axId val="403800832"/>
        <c:scaling>
          <c:orientation val="minMax"/>
          <c:max val="1.5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629407148850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786368"/>
        <c:crosses val="autoZero"/>
        <c:crossBetween val="midCat"/>
        <c:majorUnit val="0.70000000000000107"/>
        <c:minorUnit val="0.5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718191411640603"/>
          <c:y val="0.112709239725421"/>
          <c:w val="0.62825000000000109"/>
          <c:h val="9.1250000000000012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ZK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80+860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周边位移变化速率趋势图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562628615085"/>
          <c:y val="1.14883801807925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1867715554052501"/>
          <c:y val="0.232226624538175"/>
          <c:w val="0.81712139880361501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'zk80+860'!$U$4:$W$4</c:f>
              <c:strCache>
                <c:ptCount val="1"/>
                <c:pt idx="0">
                  <c:v>AB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'zk80+860'!$S$6:$S$41</c:f>
              <c:numCache>
                <c:formatCode>m"月"d"日";@</c:formatCode>
                <c:ptCount val="36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'zk80+860'!$W$6:$W$32</c:f>
              <c:numCache>
                <c:formatCode>0.00_ </c:formatCode>
                <c:ptCount val="27"/>
                <c:pt idx="0">
                  <c:v>0</c:v>
                </c:pt>
                <c:pt idx="1">
                  <c:v>0.19999999999953399</c:v>
                </c:pt>
                <c:pt idx="2">
                  <c:v>0.19999999999953399</c:v>
                </c:pt>
                <c:pt idx="3">
                  <c:v>0.60000000000037801</c:v>
                </c:pt>
                <c:pt idx="4">
                  <c:v>-0.20000000000130999</c:v>
                </c:pt>
                <c:pt idx="5">
                  <c:v>0.19999999999953399</c:v>
                </c:pt>
                <c:pt idx="6">
                  <c:v>-0.29999999999752403</c:v>
                </c:pt>
                <c:pt idx="7">
                  <c:v>0.60000000000037801</c:v>
                </c:pt>
                <c:pt idx="8">
                  <c:v>0.299999999995748</c:v>
                </c:pt>
                <c:pt idx="9">
                  <c:v>0.19999999999953399</c:v>
                </c:pt>
                <c:pt idx="10">
                  <c:v>0.100000000005096</c:v>
                </c:pt>
                <c:pt idx="11">
                  <c:v>0.29999999999397198</c:v>
                </c:pt>
                <c:pt idx="12">
                  <c:v>0.19999999999953399</c:v>
                </c:pt>
                <c:pt idx="13">
                  <c:v>-9.9999999994437899E-2</c:v>
                </c:pt>
                <c:pt idx="14">
                  <c:v>0.49999999999350597</c:v>
                </c:pt>
                <c:pt idx="15">
                  <c:v>9.99999999997669E-2</c:v>
                </c:pt>
                <c:pt idx="16">
                  <c:v>9.99999999997669E-2</c:v>
                </c:pt>
                <c:pt idx="17">
                  <c:v>-4.9999999996330799E-2</c:v>
                </c:pt>
                <c:pt idx="18">
                  <c:v>0.249999999995865</c:v>
                </c:pt>
                <c:pt idx="19">
                  <c:v>9.99999999997669E-2</c:v>
                </c:pt>
                <c:pt idx="20">
                  <c:v>9.99999999997669E-2</c:v>
                </c:pt>
                <c:pt idx="21">
                  <c:v>-4.99999999954426E-2</c:v>
                </c:pt>
                <c:pt idx="22">
                  <c:v>-3.399999999999185</c:v>
                </c:pt>
              </c:numCache>
            </c:numRef>
          </c:val>
        </c:ser>
        <c:ser>
          <c:idx val="1"/>
          <c:order val="1"/>
          <c:tx>
            <c:strRef>
              <c:f>'zk80+860'!$Y$4:$AA$4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'zk80+860'!$S$6:$S$41</c:f>
              <c:numCache>
                <c:formatCode>m"月"d"日";@</c:formatCode>
                <c:ptCount val="36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'zk80+860'!$AA$6:$AA$31</c:f>
              <c:numCache>
                <c:formatCode>0.00_ </c:formatCode>
                <c:ptCount val="26"/>
                <c:pt idx="0">
                  <c:v>0</c:v>
                </c:pt>
                <c:pt idx="1">
                  <c:v>-0.30000000000107702</c:v>
                </c:pt>
                <c:pt idx="2">
                  <c:v>-0.30000000000107702</c:v>
                </c:pt>
                <c:pt idx="3">
                  <c:v>0.10000000000154299</c:v>
                </c:pt>
                <c:pt idx="4">
                  <c:v>-0.700000000003698</c:v>
                </c:pt>
                <c:pt idx="5">
                  <c:v>-0.30000000000107702</c:v>
                </c:pt>
                <c:pt idx="6">
                  <c:v>0.100000000005096</c:v>
                </c:pt>
                <c:pt idx="7">
                  <c:v>-0.70000000000725005</c:v>
                </c:pt>
                <c:pt idx="8">
                  <c:v>-0.30000000000107702</c:v>
                </c:pt>
                <c:pt idx="9">
                  <c:v>-0.30000000000107702</c:v>
                </c:pt>
                <c:pt idx="10">
                  <c:v>0.100000000008649</c:v>
                </c:pt>
                <c:pt idx="11">
                  <c:v>-0.70000000001080298</c:v>
                </c:pt>
                <c:pt idx="12">
                  <c:v>-0.30000000000107702</c:v>
                </c:pt>
                <c:pt idx="13">
                  <c:v>-0.59999999998794395</c:v>
                </c:pt>
                <c:pt idx="14">
                  <c:v>-1.4210854715202E-11</c:v>
                </c:pt>
                <c:pt idx="15">
                  <c:v>-0.15000000000053901</c:v>
                </c:pt>
                <c:pt idx="16">
                  <c:v>5.0000000007877098E-2</c:v>
                </c:pt>
                <c:pt idx="17">
                  <c:v>-0.35000000000895398</c:v>
                </c:pt>
                <c:pt idx="18">
                  <c:v>-0.15000000000053901</c:v>
                </c:pt>
                <c:pt idx="19">
                  <c:v>-0.15000000000053901</c:v>
                </c:pt>
                <c:pt idx="20">
                  <c:v>0.50000000001038103</c:v>
                </c:pt>
                <c:pt idx="21">
                  <c:v>4.9999999999883499E-2</c:v>
                </c:pt>
                <c:pt idx="22">
                  <c:v>-0.12916666666643958</c:v>
                </c:pt>
              </c:numCache>
            </c:numRef>
          </c:val>
        </c:ser>
        <c:ser>
          <c:idx val="2"/>
          <c:order val="2"/>
          <c:tx>
            <c:strRef>
              <c:f>'zk80+860'!$AC$4:$AE$4</c:f>
              <c:strCache>
                <c:ptCount val="1"/>
                <c:pt idx="0">
                  <c:v>AC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'zk80+860'!$S$6:$S$41</c:f>
              <c:numCache>
                <c:formatCode>m"月"d"日";@</c:formatCode>
                <c:ptCount val="36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'zk80+860'!$AE$6:$AE$38</c:f>
              <c:numCache>
                <c:formatCode>0.00_ </c:formatCode>
                <c:ptCount val="33"/>
                <c:pt idx="0">
                  <c:v>0</c:v>
                </c:pt>
                <c:pt idx="1">
                  <c:v>-0.19999999999953399</c:v>
                </c:pt>
                <c:pt idx="2">
                  <c:v>-0.19999999999953399</c:v>
                </c:pt>
                <c:pt idx="3">
                  <c:v>-0.19999999999953399</c:v>
                </c:pt>
                <c:pt idx="4">
                  <c:v>-0.19999999999953399</c:v>
                </c:pt>
                <c:pt idx="5">
                  <c:v>9.9999999997990599E-2</c:v>
                </c:pt>
                <c:pt idx="6">
                  <c:v>-0.49999999999705802</c:v>
                </c:pt>
                <c:pt idx="7">
                  <c:v>-0.19999999999953399</c:v>
                </c:pt>
                <c:pt idx="8">
                  <c:v>0.199999999997758</c:v>
                </c:pt>
                <c:pt idx="9">
                  <c:v>-0.59999999999682496</c:v>
                </c:pt>
                <c:pt idx="10">
                  <c:v>-0.19999999999953399</c:v>
                </c:pt>
                <c:pt idx="11">
                  <c:v>-0.19999999999953399</c:v>
                </c:pt>
                <c:pt idx="12">
                  <c:v>0.499999999995282</c:v>
                </c:pt>
                <c:pt idx="13">
                  <c:v>-0.89999999999434999</c:v>
                </c:pt>
                <c:pt idx="14">
                  <c:v>-0.19999999999953399</c:v>
                </c:pt>
                <c:pt idx="15">
                  <c:v>4.9999999997218901E-2</c:v>
                </c:pt>
                <c:pt idx="16">
                  <c:v>-0.24999999999675299</c:v>
                </c:pt>
                <c:pt idx="17">
                  <c:v>-9.99999999997669E-2</c:v>
                </c:pt>
                <c:pt idx="18">
                  <c:v>-9.99999999997669E-2</c:v>
                </c:pt>
                <c:pt idx="19">
                  <c:v>9.9999999996214201E-2</c:v>
                </c:pt>
                <c:pt idx="20">
                  <c:v>-0.299999999995748</c:v>
                </c:pt>
                <c:pt idx="21">
                  <c:v>-5.0000000004324398E-2</c:v>
                </c:pt>
              </c:numCache>
            </c:numRef>
          </c:val>
        </c:ser>
        <c:dLbls/>
        <c:marker val="1"/>
        <c:axId val="403917824"/>
        <c:axId val="403953152"/>
      </c:lineChart>
      <c:dateAx>
        <c:axId val="403917824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66142964503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953152"/>
        <c:crossesAt val="-50"/>
        <c:auto val="1"/>
        <c:lblOffset val="100"/>
        <c:baseTimeUnit val="days"/>
        <c:majorUnit val="4"/>
        <c:majorTimeUnit val="days"/>
      </c:dateAx>
      <c:valAx>
        <c:axId val="403953152"/>
        <c:scaling>
          <c:orientation val="minMax"/>
          <c:max val="2"/>
          <c:min val="-2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拱顶沉降速率（mm）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5516616760899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0.00_ " sourceLinked="1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3917824"/>
        <c:crosses val="autoZero"/>
        <c:crossBetween val="midCat"/>
        <c:majorUnit val="0.8"/>
        <c:minorUnit val="0.1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8.048254531563841E-3"/>
          <c:y val="0.11464968152866201"/>
          <c:w val="0.99749999999999894"/>
          <c:h val="4.250000000000001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Z</a:t>
            </a:r>
            <a:r>
              <a:rPr lang="en-US" altLang="zh-CN"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k80+860</a:t>
            </a:r>
            <a:r>
              <a:rPr sz="1200" b="1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面拱顶累计沉降变化趋势图</a:t>
            </a:r>
            <a:endParaRPr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70167946798061"/>
          <c:y val="1.4672417540164202E-2"/>
        </c:manualLayout>
      </c:layout>
      <c:spPr>
        <a:noFill/>
        <a:ln w="3175">
          <a:noFill/>
        </a:ln>
      </c:spPr>
    </c:title>
    <c:plotArea>
      <c:layout>
        <c:manualLayout>
          <c:layoutTarget val="inner"/>
          <c:xMode val="edge"/>
          <c:yMode val="edge"/>
          <c:x val="0.13121779365208203"/>
          <c:y val="0.232226624538175"/>
          <c:w val="0.78138247152095086"/>
          <c:h val="0.62134643997525796"/>
        </c:manualLayout>
      </c:layout>
      <c:lineChart>
        <c:grouping val="standard"/>
        <c:ser>
          <c:idx val="0"/>
          <c:order val="0"/>
          <c:tx>
            <c:strRef>
              <c:f>'zk80+860'!$C$4:$G$4</c:f>
              <c:strCache>
                <c:ptCount val="1"/>
                <c:pt idx="0">
                  <c:v>G1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trendline>
            <c:name>趋势线</c:name>
            <c:spPr>
              <a:ln w="34925">
                <a:solidFill>
                  <a:srgbClr val="FF0000"/>
                </a:solidFill>
              </a:ln>
            </c:spPr>
            <c:trendlineType val="movingAvg"/>
            <c:period val="2"/>
          </c:trendline>
          <c:cat>
            <c:numRef>
              <c:f>'zk80+860'!$A$6:$A$34</c:f>
              <c:numCache>
                <c:formatCode>m"月"d"日";@</c:formatCode>
                <c:ptCount val="29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'zk80+860'!$F$6:$F$27</c:f>
              <c:numCache>
                <c:formatCode>0.00_ </c:formatCode>
                <c:ptCount val="22"/>
                <c:pt idx="0">
                  <c:v>0</c:v>
                </c:pt>
                <c:pt idx="1">
                  <c:v>-0.29999999992469401</c:v>
                </c:pt>
                <c:pt idx="2">
                  <c:v>-0.59999999996307496</c:v>
                </c:pt>
                <c:pt idx="3">
                  <c:v>-0.49999999998817701</c:v>
                </c:pt>
                <c:pt idx="4">
                  <c:v>-1.1999999999261499</c:v>
                </c:pt>
                <c:pt idx="5">
                  <c:v>-1.4999999999645299</c:v>
                </c:pt>
                <c:pt idx="6">
                  <c:v>-1.8999999999778101</c:v>
                </c:pt>
                <c:pt idx="7">
                  <c:v>-2.0999999999275998</c:v>
                </c:pt>
                <c:pt idx="8">
                  <c:v>-2.39999999996598</c:v>
                </c:pt>
                <c:pt idx="9">
                  <c:v>-2.70000000000437</c:v>
                </c:pt>
                <c:pt idx="10">
                  <c:v>-2.5999999999157799</c:v>
                </c:pt>
                <c:pt idx="11">
                  <c:v>-3.2999999999674401</c:v>
                </c:pt>
                <c:pt idx="12">
                  <c:v>-3.6000000000058199</c:v>
                </c:pt>
                <c:pt idx="13">
                  <c:v>-3.8999999999305102</c:v>
                </c:pt>
                <c:pt idx="14">
                  <c:v>-3.49999999991724</c:v>
                </c:pt>
                <c:pt idx="15">
                  <c:v>-4.5000000000072804</c:v>
                </c:pt>
                <c:pt idx="16">
                  <c:v>-4.7999999999319698</c:v>
                </c:pt>
                <c:pt idx="17">
                  <c:v>-5.0999999999703496</c:v>
                </c:pt>
                <c:pt idx="18">
                  <c:v>-5.1999999999452502</c:v>
                </c:pt>
                <c:pt idx="19">
                  <c:v>-5.6999999999334197</c:v>
                </c:pt>
                <c:pt idx="20">
                  <c:v>-5.5999999999585297</c:v>
                </c:pt>
                <c:pt idx="21">
                  <c:v>-5.1999999999452502</c:v>
                </c:pt>
              </c:numCache>
            </c:numRef>
          </c:val>
        </c:ser>
        <c:ser>
          <c:idx val="1"/>
          <c:order val="1"/>
          <c:tx>
            <c:strRef>
              <c:f>'zk80+860'!$H$4:$L$4</c:f>
              <c:strCache>
                <c:ptCount val="1"/>
                <c:pt idx="0">
                  <c:v>G2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'zk80+860'!$A$6:$A$34</c:f>
              <c:numCache>
                <c:formatCode>m"月"d"日";@</c:formatCode>
                <c:ptCount val="29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'zk80+860'!$K$6:$K$30</c:f>
              <c:numCache>
                <c:formatCode>0.00_ </c:formatCode>
                <c:ptCount val="25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-0.30000000003838101</c:v>
                </c:pt>
                <c:pt idx="4">
                  <c:v>-0.80000000002655702</c:v>
                </c:pt>
                <c:pt idx="5">
                  <c:v>-1.00000000009004</c:v>
                </c:pt>
                <c:pt idx="6">
                  <c:v>-1.4000000001033199</c:v>
                </c:pt>
                <c:pt idx="7">
                  <c:v>-1.4000000001033199</c:v>
                </c:pt>
                <c:pt idx="8">
                  <c:v>-1.60000000005311</c:v>
                </c:pt>
                <c:pt idx="9">
                  <c:v>-1.8000000000029099</c:v>
                </c:pt>
                <c:pt idx="10">
                  <c:v>-1.70000000002801</c:v>
                </c:pt>
                <c:pt idx="11">
                  <c:v>-2.2000000000161899</c:v>
                </c:pt>
                <c:pt idx="12">
                  <c:v>-2.4000000000796726</c:v>
                </c:pt>
                <c:pt idx="13">
                  <c:v>-2.5000000000545706</c:v>
                </c:pt>
                <c:pt idx="14">
                  <c:v>-2.8000000000929512</c:v>
                </c:pt>
                <c:pt idx="15">
                  <c:v>-3.0000000000427471</c:v>
                </c:pt>
                <c:pt idx="16">
                  <c:v>-3.299999999967441</c:v>
                </c:pt>
                <c:pt idx="17">
                  <c:v>-3.4000000000560258</c:v>
                </c:pt>
                <c:pt idx="18">
                  <c:v>-3.6000000000058217</c:v>
                </c:pt>
                <c:pt idx="19">
                  <c:v>-3.8000000000693044</c:v>
                </c:pt>
                <c:pt idx="20">
                  <c:v>-4.0000000000191003</c:v>
                </c:pt>
                <c:pt idx="21">
                  <c:v>-3.9000000000442023</c:v>
                </c:pt>
                <c:pt idx="22">
                  <c:v>-0.17333333333150833</c:v>
                </c:pt>
              </c:numCache>
            </c:numRef>
          </c:val>
        </c:ser>
        <c:ser>
          <c:idx val="2"/>
          <c:order val="2"/>
          <c:tx>
            <c:strRef>
              <c:f>'zk80+860'!$M$4:$Q$4</c:f>
              <c:strCache>
                <c:ptCount val="1"/>
                <c:pt idx="0">
                  <c:v>G3</c:v>
                </c:pt>
              </c:strCache>
            </c:strRef>
          </c:tx>
          <c:spPr>
            <a:ln w="12700" cap="rnd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  <c:marker>
            <c:symbol val="triangle"/>
            <c:size val="5"/>
            <c:spPr>
              <a:solidFill>
                <a:srgbClr val="000000">
                  <a:alpha val="100000"/>
                </a:srgbClr>
              </a:solidFill>
              <a:ln w="6350" cap="flat" cmpd="sng" algn="ctr">
                <a:solidFill>
                  <a:srgbClr val="000000">
                    <a:alpha val="100000"/>
                  </a:srgbClr>
                </a:solidFill>
                <a:prstDash val="solid"/>
                <a:round/>
              </a:ln>
            </c:spPr>
          </c:marker>
          <c:cat>
            <c:numRef>
              <c:f>'zk80+860'!$A$6:$A$34</c:f>
              <c:numCache>
                <c:formatCode>m"月"d"日";@</c:formatCode>
                <c:ptCount val="29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  <c:pt idx="19">
                  <c:v>45061</c:v>
                </c:pt>
                <c:pt idx="20">
                  <c:v>45063</c:v>
                </c:pt>
                <c:pt idx="21">
                  <c:v>45065</c:v>
                </c:pt>
              </c:numCache>
            </c:numRef>
          </c:cat>
          <c:val>
            <c:numRef>
              <c:f>'zk80+860'!$P$6:$P$28</c:f>
              <c:numCache>
                <c:formatCode>0.00_ </c:formatCode>
                <c:ptCount val="23"/>
                <c:pt idx="0">
                  <c:v>0</c:v>
                </c:pt>
                <c:pt idx="1">
                  <c:v>-0.20000000006348301</c:v>
                </c:pt>
                <c:pt idx="2">
                  <c:v>-0.40000000001327901</c:v>
                </c:pt>
                <c:pt idx="3">
                  <c:v>-0.70000000005165974</c:v>
                </c:pt>
                <c:pt idx="4">
                  <c:v>-0.80000000002655769</c:v>
                </c:pt>
                <c:pt idx="5">
                  <c:v>-1.0000000000900406</c:v>
                </c:pt>
                <c:pt idx="6">
                  <c:v>-1.2000000000398368</c:v>
                </c:pt>
                <c:pt idx="7">
                  <c:v>-1.1000000000649388</c:v>
                </c:pt>
                <c:pt idx="8">
                  <c:v>-1.6000000000531158</c:v>
                </c:pt>
                <c:pt idx="9">
                  <c:v>-1.8000000000029117</c:v>
                </c:pt>
                <c:pt idx="10">
                  <c:v>-1.7000000000280138</c:v>
                </c:pt>
                <c:pt idx="11">
                  <c:v>-2.2000000000161908</c:v>
                </c:pt>
                <c:pt idx="12">
                  <c:v>-2.400000000079674</c:v>
                </c:pt>
                <c:pt idx="13">
                  <c:v>-2.6000000000294698</c:v>
                </c:pt>
                <c:pt idx="14">
                  <c:v>-2.5000000000545719</c:v>
                </c:pt>
                <c:pt idx="15">
                  <c:v>-3.0000000000427485</c:v>
                </c:pt>
                <c:pt idx="16">
                  <c:v>-3.1999999999925444</c:v>
                </c:pt>
                <c:pt idx="17">
                  <c:v>-3.4000000000560271</c:v>
                </c:pt>
                <c:pt idx="18">
                  <c:v>-3.6999999999807209</c:v>
                </c:pt>
                <c:pt idx="19">
                  <c:v>-3.8000000000693057</c:v>
                </c:pt>
                <c:pt idx="20">
                  <c:v>-4.0000000000191012</c:v>
                </c:pt>
                <c:pt idx="21">
                  <c:v>-4.0999999999939991</c:v>
                </c:pt>
              </c:numCache>
            </c:numRef>
          </c:val>
        </c:ser>
        <c:dLbls/>
        <c:marker val="1"/>
        <c:axId val="404032512"/>
        <c:axId val="404039168"/>
      </c:lineChart>
      <c:lineChart>
        <c:grouping val="standard"/>
        <c:ser>
          <c:idx val="3"/>
          <c:order val="3"/>
          <c:tx>
            <c:strRef>
              <c:f>'zk80+860'!$AG$3:$AG$5</c:f>
              <c:strCache>
                <c:ptCount val="1"/>
                <c:pt idx="0">
                  <c:v>至掌子面距离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ysDot"/>
              <a:round/>
            </a:ln>
          </c:spPr>
          <c:marker>
            <c:symbol val="circle"/>
            <c:size val="2"/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</c:spPr>
          </c:marker>
          <c:cat>
            <c:numRef>
              <c:f>'zk80+860'!$A$6:$A$24</c:f>
              <c:numCache>
                <c:formatCode>m"月"d"日";@</c:formatCode>
                <c:ptCount val="19"/>
                <c:pt idx="0">
                  <c:v>45037</c:v>
                </c:pt>
                <c:pt idx="1">
                  <c:v>45038</c:v>
                </c:pt>
                <c:pt idx="2">
                  <c:v>45039</c:v>
                </c:pt>
                <c:pt idx="3">
                  <c:v>45040</c:v>
                </c:pt>
                <c:pt idx="4">
                  <c:v>45041</c:v>
                </c:pt>
                <c:pt idx="5">
                  <c:v>45042</c:v>
                </c:pt>
                <c:pt idx="6">
                  <c:v>45043</c:v>
                </c:pt>
                <c:pt idx="7">
                  <c:v>45044</c:v>
                </c:pt>
                <c:pt idx="8">
                  <c:v>45045</c:v>
                </c:pt>
                <c:pt idx="9">
                  <c:v>45046</c:v>
                </c:pt>
                <c:pt idx="10">
                  <c:v>45047</c:v>
                </c:pt>
                <c:pt idx="11">
                  <c:v>45048</c:v>
                </c:pt>
                <c:pt idx="12">
                  <c:v>45049</c:v>
                </c:pt>
                <c:pt idx="13">
                  <c:v>45050</c:v>
                </c:pt>
                <c:pt idx="14">
                  <c:v>45051</c:v>
                </c:pt>
                <c:pt idx="15">
                  <c:v>45053</c:v>
                </c:pt>
                <c:pt idx="16">
                  <c:v>45055</c:v>
                </c:pt>
                <c:pt idx="17">
                  <c:v>45057</c:v>
                </c:pt>
                <c:pt idx="18">
                  <c:v>45059</c:v>
                </c:pt>
              </c:numCache>
            </c:numRef>
          </c:cat>
          <c:val>
            <c:numRef>
              <c:f>'zk80+860'!$AG$6:$AG$31</c:f>
              <c:numCache>
                <c:formatCode>0.0_ </c:formatCode>
                <c:ptCount val="2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43</c:v>
                </c:pt>
                <c:pt idx="12">
                  <c:v>46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58</c:v>
                </c:pt>
                <c:pt idx="17">
                  <c:v>61</c:v>
                </c:pt>
                <c:pt idx="18">
                  <c:v>64</c:v>
                </c:pt>
                <c:pt idx="19">
                  <c:v>67</c:v>
                </c:pt>
                <c:pt idx="20">
                  <c:v>70</c:v>
                </c:pt>
                <c:pt idx="21">
                  <c:v>73</c:v>
                </c:pt>
              </c:numCache>
            </c:numRef>
          </c:val>
        </c:ser>
        <c:dLbls/>
        <c:marker val="1"/>
        <c:axId val="404041088"/>
        <c:axId val="404051072"/>
      </c:lineChart>
      <c:dateAx>
        <c:axId val="404032512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日期</a:t>
                </a:r>
              </a:p>
            </c:rich>
          </c:tx>
          <c:layout>
            <c:manualLayout>
              <c:xMode val="edge"/>
              <c:yMode val="edge"/>
              <c:x val="0.50389149209109818"/>
              <c:y val="0.92143002825283693"/>
            </c:manualLayout>
          </c:layout>
          <c:spPr>
            <a:noFill/>
            <a:ln w="3175">
              <a:noFill/>
            </a:ln>
          </c:spPr>
        </c:title>
        <c:numFmt formatCode="m/d;@" sourceLinked="0"/>
        <c:majorTickMark val="in"/>
        <c:tickLblPos val="low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4039168"/>
        <c:crossesAt val="-50"/>
        <c:auto val="1"/>
        <c:lblOffset val="100"/>
        <c:baseTimeUnit val="days"/>
        <c:majorUnit val="4"/>
        <c:majorTimeUnit val="days"/>
      </c:dateAx>
      <c:valAx>
        <c:axId val="404039168"/>
        <c:scaling>
          <c:orientation val="minMax"/>
          <c:max val="1"/>
          <c:min val="-6"/>
        </c:scaling>
        <c:axPos val="l"/>
        <c:majorGridlines>
          <c:spPr>
            <a:ln w="3175" cap="flat" cmpd="sng" algn="ctr">
              <a:solidFill>
                <a:srgbClr val="000000">
                  <a:alpha val="100000"/>
                </a:srgb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100" b="0" i="0" u="none" strike="noStrike" kern="1200" baseline="0">
                    <a:solidFill>
                      <a:srgbClr val="000000">
                        <a:alpha val="100000"/>
                      </a:srgbClr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sz="800" b="0" i="0" u="none" strike="noStrike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rPr>
                  <a:t>拱顶累计下沉量（mm）</a:t>
                </a:r>
                <a:endParaRPr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</a:endParaRPr>
              </a:p>
            </c:rich>
          </c:tx>
          <c:layout>
            <c:manualLayout>
              <c:xMode val="edge"/>
              <c:yMode val="edge"/>
              <c:x val="9.727710416566053E-3"/>
              <c:y val="0.31071467977331008"/>
            </c:manualLayout>
          </c:layout>
          <c:spPr>
            <a:noFill/>
            <a:ln w="3175">
              <a:noFill/>
            </a:ln>
          </c:spPr>
        </c:title>
        <c:numFmt formatCode="#,##0.00_ " sourceLinked="0"/>
        <c:majorTickMark val="in"/>
        <c:tickLblPos val="nextTo"/>
        <c:spPr>
          <a:ln w="3175" cap="flat" cmpd="sng" algn="ctr">
            <a:solidFill>
              <a:srgbClr val="000000">
                <a:alpha val="100000"/>
              </a:srgbClr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4032512"/>
        <c:crosses val="autoZero"/>
        <c:crossBetween val="midCat"/>
        <c:majorUnit val="1.4"/>
        <c:minorUnit val="0.5"/>
      </c:valAx>
      <c:dateAx>
        <c:axId val="404041088"/>
        <c:scaling>
          <c:orientation val="minMax"/>
        </c:scaling>
        <c:delete val="1"/>
        <c:axPos val="b"/>
        <c:numFmt formatCode="m&quot;月&quot;d&quot;日&quot;;@" sourceLinked="0"/>
        <c:tickLblPos val="none"/>
        <c:crossAx val="404051072"/>
        <c:crosses val="autoZero"/>
        <c:auto val="1"/>
        <c:lblOffset val="100"/>
        <c:baseTimeUnit val="days"/>
      </c:dateAx>
      <c:valAx>
        <c:axId val="404051072"/>
        <c:scaling>
          <c:orientation val="minMax"/>
          <c:max val="100"/>
          <c:min val="0"/>
        </c:scaling>
        <c:axPos val="r"/>
        <c:numFmt formatCode="#,##0.00_ " sourceLinked="0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404041088"/>
        <c:crosses val="max"/>
        <c:crossBetween val="midCat"/>
        <c:majorUnit val="20"/>
      </c:valAx>
      <c:spPr>
        <a:noFill/>
        <a:ln w="12700">
          <a:solidFill>
            <a:srgbClr val="000000">
              <a:alpha val="100000"/>
            </a:srgbClr>
          </a:solidFill>
          <a:prstDash val="solid"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77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929107021131603"/>
          <c:y val="9.7118544895263906E-2"/>
          <c:w val="0.79072937968643608"/>
          <c:h val="9.3565374391896008E-2"/>
        </c:manualLayout>
      </c:layout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77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solidFill>
      <a:srgbClr val="FFFFFF">
        <a:alpha val="100000"/>
      </a:srgbClr>
    </a:solidFill>
    <a:ln w="12700" cap="flat" cmpd="sng" algn="ctr">
      <a:solidFill>
        <a:srgbClr val="000000">
          <a:alpha val="100000"/>
        </a:srgbClr>
      </a:solidFill>
      <a:prstDash val="solid"/>
      <a:round/>
    </a:ln>
  </c:spPr>
  <c:txPr>
    <a:bodyPr rot="0" wrap="square" anchor="ctr" anchorCtr="1"/>
    <a:lstStyle/>
    <a:p>
      <a:pPr>
        <a:defRPr lang="zh-CN" sz="8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chart" Target="../charts/chart6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chart" Target="../charts/chart80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4" Type="http://schemas.openxmlformats.org/officeDocument/2006/relationships/chart" Target="../charts/chart8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chart" Target="../charts/chart8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chart" Target="../charts/chart9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4" Type="http://schemas.openxmlformats.org/officeDocument/2006/relationships/chart" Target="../charts/chart96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chart" Target="../charts/chart100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chart" Target="../charts/chart104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7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4" Type="http://schemas.openxmlformats.org/officeDocument/2006/relationships/chart" Target="../charts/chart108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chart" Target="../charts/chart11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chart" Target="../charts/chart116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4" Type="http://schemas.openxmlformats.org/officeDocument/2006/relationships/chart" Target="../charts/chart120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chart" Target="../charts/chart124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4" Type="http://schemas.openxmlformats.org/officeDocument/2006/relationships/chart" Target="../charts/chart12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4" Type="http://schemas.openxmlformats.org/officeDocument/2006/relationships/chart" Target="../charts/chart132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chart" Target="../charts/chart136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9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4" Type="http://schemas.openxmlformats.org/officeDocument/2006/relationships/chart" Target="../charts/chart140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3.xml"/><Relationship Id="rId2" Type="http://schemas.openxmlformats.org/officeDocument/2006/relationships/chart" Target="../charts/chart142.xml"/><Relationship Id="rId1" Type="http://schemas.openxmlformats.org/officeDocument/2006/relationships/chart" Target="../charts/chart141.xml"/><Relationship Id="rId4" Type="http://schemas.openxmlformats.org/officeDocument/2006/relationships/chart" Target="../charts/chart144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chart" Target="../charts/chart148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1.xml"/><Relationship Id="rId2" Type="http://schemas.openxmlformats.org/officeDocument/2006/relationships/chart" Target="../charts/chart150.xml"/><Relationship Id="rId1" Type="http://schemas.openxmlformats.org/officeDocument/2006/relationships/chart" Target="../charts/chart149.xml"/><Relationship Id="rId4" Type="http://schemas.openxmlformats.org/officeDocument/2006/relationships/chart" Target="../charts/chart152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5.xml"/><Relationship Id="rId2" Type="http://schemas.openxmlformats.org/officeDocument/2006/relationships/chart" Target="../charts/chart154.xml"/><Relationship Id="rId1" Type="http://schemas.openxmlformats.org/officeDocument/2006/relationships/chart" Target="../charts/chart153.xml"/><Relationship Id="rId4" Type="http://schemas.openxmlformats.org/officeDocument/2006/relationships/chart" Target="../charts/chart156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chart" Target="../charts/chart160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3.xml"/><Relationship Id="rId2" Type="http://schemas.openxmlformats.org/officeDocument/2006/relationships/chart" Target="../charts/chart162.xml"/><Relationship Id="rId1" Type="http://schemas.openxmlformats.org/officeDocument/2006/relationships/chart" Target="../charts/chart161.xml"/><Relationship Id="rId4" Type="http://schemas.openxmlformats.org/officeDocument/2006/relationships/chart" Target="../charts/chart164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7.xml"/><Relationship Id="rId2" Type="http://schemas.openxmlformats.org/officeDocument/2006/relationships/chart" Target="../charts/chart166.xml"/><Relationship Id="rId1" Type="http://schemas.openxmlformats.org/officeDocument/2006/relationships/chart" Target="../charts/chart165.xml"/><Relationship Id="rId4" Type="http://schemas.openxmlformats.org/officeDocument/2006/relationships/chart" Target="../charts/chart16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chart" Target="../charts/chart172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5.xml"/><Relationship Id="rId2" Type="http://schemas.openxmlformats.org/officeDocument/2006/relationships/chart" Target="../charts/chart174.xml"/><Relationship Id="rId1" Type="http://schemas.openxmlformats.org/officeDocument/2006/relationships/chart" Target="../charts/chart173.xml"/><Relationship Id="rId4" Type="http://schemas.openxmlformats.org/officeDocument/2006/relationships/chart" Target="../charts/chart176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9.xml"/><Relationship Id="rId2" Type="http://schemas.openxmlformats.org/officeDocument/2006/relationships/chart" Target="../charts/chart178.xml"/><Relationship Id="rId1" Type="http://schemas.openxmlformats.org/officeDocument/2006/relationships/chart" Target="../charts/chart177.xml"/><Relationship Id="rId4" Type="http://schemas.openxmlformats.org/officeDocument/2006/relationships/chart" Target="../charts/chart180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chart" Target="../charts/chart184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7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4" Type="http://schemas.openxmlformats.org/officeDocument/2006/relationships/chart" Target="../charts/chart188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1.xml"/><Relationship Id="rId2" Type="http://schemas.openxmlformats.org/officeDocument/2006/relationships/chart" Target="../charts/chart190.xml"/><Relationship Id="rId1" Type="http://schemas.openxmlformats.org/officeDocument/2006/relationships/chart" Target="../charts/chart189.xml"/><Relationship Id="rId4" Type="http://schemas.openxmlformats.org/officeDocument/2006/relationships/chart" Target="../charts/chart192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4" Type="http://schemas.openxmlformats.org/officeDocument/2006/relationships/chart" Target="../charts/chart196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9.xml"/><Relationship Id="rId2" Type="http://schemas.openxmlformats.org/officeDocument/2006/relationships/chart" Target="../charts/chart198.xml"/><Relationship Id="rId1" Type="http://schemas.openxmlformats.org/officeDocument/2006/relationships/chart" Target="../charts/chart197.xml"/><Relationship Id="rId4" Type="http://schemas.openxmlformats.org/officeDocument/2006/relationships/chart" Target="../charts/chart200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3.xml"/><Relationship Id="rId2" Type="http://schemas.openxmlformats.org/officeDocument/2006/relationships/chart" Target="../charts/chart202.xml"/><Relationship Id="rId1" Type="http://schemas.openxmlformats.org/officeDocument/2006/relationships/chart" Target="../charts/chart201.xml"/><Relationship Id="rId4" Type="http://schemas.openxmlformats.org/officeDocument/2006/relationships/chart" Target="../charts/chart204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Relationship Id="rId4" Type="http://schemas.openxmlformats.org/officeDocument/2006/relationships/chart" Target="../charts/chart20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1.xml"/><Relationship Id="rId2" Type="http://schemas.openxmlformats.org/officeDocument/2006/relationships/chart" Target="../charts/chart210.xml"/><Relationship Id="rId1" Type="http://schemas.openxmlformats.org/officeDocument/2006/relationships/chart" Target="../charts/chart209.xml"/><Relationship Id="rId4" Type="http://schemas.openxmlformats.org/officeDocument/2006/relationships/chart" Target="../charts/chart212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5.xml"/><Relationship Id="rId2" Type="http://schemas.openxmlformats.org/officeDocument/2006/relationships/chart" Target="../charts/chart214.xml"/><Relationship Id="rId1" Type="http://schemas.openxmlformats.org/officeDocument/2006/relationships/chart" Target="../charts/chart213.xml"/><Relationship Id="rId4" Type="http://schemas.openxmlformats.org/officeDocument/2006/relationships/chart" Target="../charts/chart21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Relationship Id="rId4" Type="http://schemas.openxmlformats.org/officeDocument/2006/relationships/chart" Target="../charts/chart22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3.xml"/><Relationship Id="rId2" Type="http://schemas.openxmlformats.org/officeDocument/2006/relationships/chart" Target="../charts/chart222.xml"/><Relationship Id="rId1" Type="http://schemas.openxmlformats.org/officeDocument/2006/relationships/chart" Target="../charts/chart221.xml"/><Relationship Id="rId4" Type="http://schemas.openxmlformats.org/officeDocument/2006/relationships/chart" Target="../charts/chart224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7.xml"/><Relationship Id="rId2" Type="http://schemas.openxmlformats.org/officeDocument/2006/relationships/chart" Target="../charts/chart226.xml"/><Relationship Id="rId1" Type="http://schemas.openxmlformats.org/officeDocument/2006/relationships/chart" Target="../charts/chart225.xml"/><Relationship Id="rId4" Type="http://schemas.openxmlformats.org/officeDocument/2006/relationships/chart" Target="../charts/chart228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4" Type="http://schemas.openxmlformats.org/officeDocument/2006/relationships/chart" Target="../charts/chart232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5.xml"/><Relationship Id="rId2" Type="http://schemas.openxmlformats.org/officeDocument/2006/relationships/chart" Target="../charts/chart234.xml"/><Relationship Id="rId1" Type="http://schemas.openxmlformats.org/officeDocument/2006/relationships/chart" Target="../charts/chart233.xml"/><Relationship Id="rId4" Type="http://schemas.openxmlformats.org/officeDocument/2006/relationships/chart" Target="../charts/chart236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9.xml"/><Relationship Id="rId2" Type="http://schemas.openxmlformats.org/officeDocument/2006/relationships/chart" Target="../charts/chart238.xml"/><Relationship Id="rId1" Type="http://schemas.openxmlformats.org/officeDocument/2006/relationships/chart" Target="../charts/chart237.xml"/><Relationship Id="rId4" Type="http://schemas.openxmlformats.org/officeDocument/2006/relationships/chart" Target="../charts/chart240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4" Type="http://schemas.openxmlformats.org/officeDocument/2006/relationships/chart" Target="../charts/chart244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7.xml"/><Relationship Id="rId2" Type="http://schemas.openxmlformats.org/officeDocument/2006/relationships/chart" Target="../charts/chart246.xml"/><Relationship Id="rId1" Type="http://schemas.openxmlformats.org/officeDocument/2006/relationships/chart" Target="../charts/chart245.xml"/><Relationship Id="rId4" Type="http://schemas.openxmlformats.org/officeDocument/2006/relationships/chart" Target="../charts/chart24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1.xml"/><Relationship Id="rId2" Type="http://schemas.openxmlformats.org/officeDocument/2006/relationships/chart" Target="../charts/chart250.xml"/><Relationship Id="rId1" Type="http://schemas.openxmlformats.org/officeDocument/2006/relationships/chart" Target="../charts/chart249.xml"/><Relationship Id="rId4" Type="http://schemas.openxmlformats.org/officeDocument/2006/relationships/chart" Target="../charts/chart252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4" Type="http://schemas.openxmlformats.org/officeDocument/2006/relationships/chart" Target="../charts/chart25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9.xml"/><Relationship Id="rId2" Type="http://schemas.openxmlformats.org/officeDocument/2006/relationships/chart" Target="../charts/chart258.xml"/><Relationship Id="rId1" Type="http://schemas.openxmlformats.org/officeDocument/2006/relationships/chart" Target="../charts/chart257.xml"/><Relationship Id="rId4" Type="http://schemas.openxmlformats.org/officeDocument/2006/relationships/chart" Target="../charts/chart26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3.xml"/><Relationship Id="rId2" Type="http://schemas.openxmlformats.org/officeDocument/2006/relationships/chart" Target="../charts/chart262.xml"/><Relationship Id="rId1" Type="http://schemas.openxmlformats.org/officeDocument/2006/relationships/chart" Target="../charts/chart261.xml"/><Relationship Id="rId4" Type="http://schemas.openxmlformats.org/officeDocument/2006/relationships/chart" Target="../charts/chart2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35</xdr:row>
      <xdr:rowOff>76200</xdr:rowOff>
    </xdr:from>
    <xdr:to>
      <xdr:col>15</xdr:col>
      <xdr:colOff>180975</xdr:colOff>
      <xdr:row>51</xdr:row>
      <xdr:rowOff>172085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104775</xdr:rowOff>
    </xdr:from>
    <xdr:to>
      <xdr:col>7</xdr:col>
      <xdr:colOff>581025</xdr:colOff>
      <xdr:row>50</xdr:row>
      <xdr:rowOff>19050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247650</xdr:colOff>
      <xdr:row>38</xdr:row>
      <xdr:rowOff>0</xdr:rowOff>
    </xdr:from>
    <xdr:to>
      <xdr:col>26</xdr:col>
      <xdr:colOff>47625</xdr:colOff>
      <xdr:row>52</xdr:row>
      <xdr:rowOff>142875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400050</xdr:colOff>
      <xdr:row>35</xdr:row>
      <xdr:rowOff>76200</xdr:rowOff>
    </xdr:from>
    <xdr:to>
      <xdr:col>15</xdr:col>
      <xdr:colOff>171450</xdr:colOff>
      <xdr:row>51</xdr:row>
      <xdr:rowOff>172085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390525</xdr:colOff>
      <xdr:row>37</xdr:row>
      <xdr:rowOff>114300</xdr:rowOff>
    </xdr:from>
    <xdr:to>
      <xdr:col>32</xdr:col>
      <xdr:colOff>47625</xdr:colOff>
      <xdr:row>54</xdr:row>
      <xdr:rowOff>29210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533400</xdr:colOff>
      <xdr:row>35</xdr:row>
      <xdr:rowOff>19050</xdr:rowOff>
    </xdr:from>
    <xdr:to>
      <xdr:col>7</xdr:col>
      <xdr:colOff>219075</xdr:colOff>
      <xdr:row>51</xdr:row>
      <xdr:rowOff>114300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95250</xdr:rowOff>
    </xdr:from>
    <xdr:to>
      <xdr:col>25</xdr:col>
      <xdr:colOff>695325</xdr:colOff>
      <xdr:row>49</xdr:row>
      <xdr:rowOff>57150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34</xdr:row>
      <xdr:rowOff>76200</xdr:rowOff>
    </xdr:from>
    <xdr:to>
      <xdr:col>15</xdr:col>
      <xdr:colOff>180975</xdr:colOff>
      <xdr:row>50</xdr:row>
      <xdr:rowOff>172085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409575</xdr:colOff>
      <xdr:row>34</xdr:row>
      <xdr:rowOff>133350</xdr:rowOff>
    </xdr:from>
    <xdr:to>
      <xdr:col>32</xdr:col>
      <xdr:colOff>66675</xdr:colOff>
      <xdr:row>51</xdr:row>
      <xdr:rowOff>48260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257175</xdr:colOff>
      <xdr:row>34</xdr:row>
      <xdr:rowOff>76200</xdr:rowOff>
    </xdr:from>
    <xdr:to>
      <xdr:col>7</xdr:col>
      <xdr:colOff>647700</xdr:colOff>
      <xdr:row>50</xdr:row>
      <xdr:rowOff>171450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39</xdr:row>
      <xdr:rowOff>47625</xdr:rowOff>
    </xdr:from>
    <xdr:to>
      <xdr:col>25</xdr:col>
      <xdr:colOff>514350</xdr:colOff>
      <xdr:row>54</xdr:row>
      <xdr:rowOff>9525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361950</xdr:colOff>
      <xdr:row>38</xdr:row>
      <xdr:rowOff>161925</xdr:rowOff>
    </xdr:from>
    <xdr:to>
      <xdr:col>15</xdr:col>
      <xdr:colOff>133350</xdr:colOff>
      <xdr:row>55</xdr:row>
      <xdr:rowOff>76835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209550</xdr:colOff>
      <xdr:row>39</xdr:row>
      <xdr:rowOff>85725</xdr:rowOff>
    </xdr:from>
    <xdr:to>
      <xdr:col>31</xdr:col>
      <xdr:colOff>1009650</xdr:colOff>
      <xdr:row>56</xdr:row>
      <xdr:rowOff>635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152400</xdr:colOff>
      <xdr:row>38</xdr:row>
      <xdr:rowOff>47625</xdr:rowOff>
    </xdr:from>
    <xdr:to>
      <xdr:col>7</xdr:col>
      <xdr:colOff>542925</xdr:colOff>
      <xdr:row>54</xdr:row>
      <xdr:rowOff>142875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266700</xdr:colOff>
      <xdr:row>36</xdr:row>
      <xdr:rowOff>76200</xdr:rowOff>
    </xdr:from>
    <xdr:to>
      <xdr:col>25</xdr:col>
      <xdr:colOff>28575</xdr:colOff>
      <xdr:row>51</xdr:row>
      <xdr:rowOff>38100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371475</xdr:colOff>
      <xdr:row>35</xdr:row>
      <xdr:rowOff>161925</xdr:rowOff>
    </xdr:from>
    <xdr:to>
      <xdr:col>15</xdr:col>
      <xdr:colOff>142875</xdr:colOff>
      <xdr:row>52</xdr:row>
      <xdr:rowOff>76835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285750</xdr:colOff>
      <xdr:row>37</xdr:row>
      <xdr:rowOff>19050</xdr:rowOff>
    </xdr:from>
    <xdr:to>
      <xdr:col>31</xdr:col>
      <xdr:colOff>371475</xdr:colOff>
      <xdr:row>53</xdr:row>
      <xdr:rowOff>114935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200025</xdr:colOff>
      <xdr:row>35</xdr:row>
      <xdr:rowOff>161925</xdr:rowOff>
    </xdr:from>
    <xdr:to>
      <xdr:col>7</xdr:col>
      <xdr:colOff>590550</xdr:colOff>
      <xdr:row>52</xdr:row>
      <xdr:rowOff>76200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38</xdr:row>
      <xdr:rowOff>66675</xdr:rowOff>
    </xdr:from>
    <xdr:to>
      <xdr:col>25</xdr:col>
      <xdr:colOff>552450</xdr:colOff>
      <xdr:row>53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38</xdr:row>
      <xdr:rowOff>28575</xdr:rowOff>
    </xdr:from>
    <xdr:to>
      <xdr:col>15</xdr:col>
      <xdr:colOff>104775</xdr:colOff>
      <xdr:row>54</xdr:row>
      <xdr:rowOff>124460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57150</xdr:colOff>
      <xdr:row>38</xdr:row>
      <xdr:rowOff>123825</xdr:rowOff>
    </xdr:from>
    <xdr:to>
      <xdr:col>31</xdr:col>
      <xdr:colOff>857250</xdr:colOff>
      <xdr:row>55</xdr:row>
      <xdr:rowOff>38735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209550</xdr:colOff>
      <xdr:row>37</xdr:row>
      <xdr:rowOff>76200</xdr:rowOff>
    </xdr:from>
    <xdr:to>
      <xdr:col>7</xdr:col>
      <xdr:colOff>600075</xdr:colOff>
      <xdr:row>53</xdr:row>
      <xdr:rowOff>171450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38</xdr:row>
      <xdr:rowOff>104775</xdr:rowOff>
    </xdr:from>
    <xdr:to>
      <xdr:col>25</xdr:col>
      <xdr:colOff>552450</xdr:colOff>
      <xdr:row>53</xdr:row>
      <xdr:rowOff>66675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419100</xdr:colOff>
      <xdr:row>37</xdr:row>
      <xdr:rowOff>9525</xdr:rowOff>
    </xdr:from>
    <xdr:to>
      <xdr:col>15</xdr:col>
      <xdr:colOff>190500</xdr:colOff>
      <xdr:row>53</xdr:row>
      <xdr:rowOff>105410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381000</xdr:colOff>
      <xdr:row>37</xdr:row>
      <xdr:rowOff>76200</xdr:rowOff>
    </xdr:from>
    <xdr:to>
      <xdr:col>32</xdr:col>
      <xdr:colOff>38100</xdr:colOff>
      <xdr:row>53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161925</xdr:colOff>
      <xdr:row>36</xdr:row>
      <xdr:rowOff>66675</xdr:rowOff>
    </xdr:from>
    <xdr:to>
      <xdr:col>7</xdr:col>
      <xdr:colOff>552450</xdr:colOff>
      <xdr:row>52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36</xdr:row>
      <xdr:rowOff>85725</xdr:rowOff>
    </xdr:from>
    <xdr:to>
      <xdr:col>25</xdr:col>
      <xdr:colOff>609600</xdr:colOff>
      <xdr:row>51</xdr:row>
      <xdr:rowOff>47625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36</xdr:row>
      <xdr:rowOff>66675</xdr:rowOff>
    </xdr:from>
    <xdr:to>
      <xdr:col>15</xdr:col>
      <xdr:colOff>276225</xdr:colOff>
      <xdr:row>52</xdr:row>
      <xdr:rowOff>162560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409575</xdr:colOff>
      <xdr:row>37</xdr:row>
      <xdr:rowOff>57150</xdr:rowOff>
    </xdr:from>
    <xdr:to>
      <xdr:col>32</xdr:col>
      <xdr:colOff>66675</xdr:colOff>
      <xdr:row>53</xdr:row>
      <xdr:rowOff>153035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257175</xdr:colOff>
      <xdr:row>37</xdr:row>
      <xdr:rowOff>0</xdr:rowOff>
    </xdr:from>
    <xdr:to>
      <xdr:col>7</xdr:col>
      <xdr:colOff>647700</xdr:colOff>
      <xdr:row>53</xdr:row>
      <xdr:rowOff>95250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161925</xdr:colOff>
      <xdr:row>37</xdr:row>
      <xdr:rowOff>47625</xdr:rowOff>
    </xdr:from>
    <xdr:to>
      <xdr:col>25</xdr:col>
      <xdr:colOff>676275</xdr:colOff>
      <xdr:row>52</xdr:row>
      <xdr:rowOff>9525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466725</xdr:colOff>
      <xdr:row>37</xdr:row>
      <xdr:rowOff>76200</xdr:rowOff>
    </xdr:from>
    <xdr:to>
      <xdr:col>15</xdr:col>
      <xdr:colOff>238125</xdr:colOff>
      <xdr:row>53</xdr:row>
      <xdr:rowOff>172085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428625</xdr:colOff>
      <xdr:row>36</xdr:row>
      <xdr:rowOff>47625</xdr:rowOff>
    </xdr:from>
    <xdr:to>
      <xdr:col>32</xdr:col>
      <xdr:colOff>85725</xdr:colOff>
      <xdr:row>52</xdr:row>
      <xdr:rowOff>143510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35</xdr:row>
      <xdr:rowOff>171450</xdr:rowOff>
    </xdr:from>
    <xdr:to>
      <xdr:col>7</xdr:col>
      <xdr:colOff>581025</xdr:colOff>
      <xdr:row>52</xdr:row>
      <xdr:rowOff>85725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276225</xdr:colOff>
      <xdr:row>36</xdr:row>
      <xdr:rowOff>19050</xdr:rowOff>
    </xdr:from>
    <xdr:to>
      <xdr:col>15</xdr:col>
      <xdr:colOff>47625</xdr:colOff>
      <xdr:row>52</xdr:row>
      <xdr:rowOff>114935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152400</xdr:colOff>
      <xdr:row>34</xdr:row>
      <xdr:rowOff>104775</xdr:rowOff>
    </xdr:from>
    <xdr:to>
      <xdr:col>7</xdr:col>
      <xdr:colOff>542925</xdr:colOff>
      <xdr:row>51</xdr:row>
      <xdr:rowOff>19050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35</xdr:row>
      <xdr:rowOff>66675</xdr:rowOff>
    </xdr:from>
    <xdr:to>
      <xdr:col>25</xdr:col>
      <xdr:colOff>695325</xdr:colOff>
      <xdr:row>50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33</xdr:row>
      <xdr:rowOff>133350</xdr:rowOff>
    </xdr:from>
    <xdr:to>
      <xdr:col>15</xdr:col>
      <xdr:colOff>276225</xdr:colOff>
      <xdr:row>50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35</xdr:row>
      <xdr:rowOff>76200</xdr:rowOff>
    </xdr:from>
    <xdr:to>
      <xdr:col>32</xdr:col>
      <xdr:colOff>104775</xdr:colOff>
      <xdr:row>51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34</xdr:row>
      <xdr:rowOff>104775</xdr:rowOff>
    </xdr:from>
    <xdr:to>
      <xdr:col>7</xdr:col>
      <xdr:colOff>581025</xdr:colOff>
      <xdr:row>51</xdr:row>
      <xdr:rowOff>19050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36</xdr:row>
      <xdr:rowOff>66675</xdr:rowOff>
    </xdr:from>
    <xdr:to>
      <xdr:col>25</xdr:col>
      <xdr:colOff>695325</xdr:colOff>
      <xdr:row>51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36</xdr:row>
      <xdr:rowOff>104775</xdr:rowOff>
    </xdr:from>
    <xdr:to>
      <xdr:col>15</xdr:col>
      <xdr:colOff>276225</xdr:colOff>
      <xdr:row>53</xdr:row>
      <xdr:rowOff>19685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36</xdr:row>
      <xdr:rowOff>76200</xdr:rowOff>
    </xdr:from>
    <xdr:to>
      <xdr:col>32</xdr:col>
      <xdr:colOff>104775</xdr:colOff>
      <xdr:row>52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37</xdr:row>
      <xdr:rowOff>9525</xdr:rowOff>
    </xdr:from>
    <xdr:to>
      <xdr:col>7</xdr:col>
      <xdr:colOff>581025</xdr:colOff>
      <xdr:row>53</xdr:row>
      <xdr:rowOff>104775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37</xdr:row>
      <xdr:rowOff>66675</xdr:rowOff>
    </xdr:from>
    <xdr:to>
      <xdr:col>25</xdr:col>
      <xdr:colOff>695325</xdr:colOff>
      <xdr:row>52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35</xdr:row>
      <xdr:rowOff>133350</xdr:rowOff>
    </xdr:from>
    <xdr:to>
      <xdr:col>15</xdr:col>
      <xdr:colOff>276225</xdr:colOff>
      <xdr:row>52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37</xdr:row>
      <xdr:rowOff>76200</xdr:rowOff>
    </xdr:from>
    <xdr:to>
      <xdr:col>32</xdr:col>
      <xdr:colOff>104775</xdr:colOff>
      <xdr:row>53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36</xdr:row>
      <xdr:rowOff>104775</xdr:rowOff>
    </xdr:from>
    <xdr:to>
      <xdr:col>7</xdr:col>
      <xdr:colOff>581025</xdr:colOff>
      <xdr:row>53</xdr:row>
      <xdr:rowOff>19050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35</xdr:row>
      <xdr:rowOff>66675</xdr:rowOff>
    </xdr:from>
    <xdr:to>
      <xdr:col>25</xdr:col>
      <xdr:colOff>695325</xdr:colOff>
      <xdr:row>50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33</xdr:row>
      <xdr:rowOff>133350</xdr:rowOff>
    </xdr:from>
    <xdr:to>
      <xdr:col>15</xdr:col>
      <xdr:colOff>276225</xdr:colOff>
      <xdr:row>50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35</xdr:row>
      <xdr:rowOff>76200</xdr:rowOff>
    </xdr:from>
    <xdr:to>
      <xdr:col>32</xdr:col>
      <xdr:colOff>104775</xdr:colOff>
      <xdr:row>51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34</xdr:row>
      <xdr:rowOff>95250</xdr:rowOff>
    </xdr:from>
    <xdr:to>
      <xdr:col>7</xdr:col>
      <xdr:colOff>581025</xdr:colOff>
      <xdr:row>51</xdr:row>
      <xdr:rowOff>9525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36</xdr:row>
      <xdr:rowOff>66675</xdr:rowOff>
    </xdr:from>
    <xdr:to>
      <xdr:col>25</xdr:col>
      <xdr:colOff>695325</xdr:colOff>
      <xdr:row>51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34</xdr:row>
      <xdr:rowOff>133350</xdr:rowOff>
    </xdr:from>
    <xdr:to>
      <xdr:col>15</xdr:col>
      <xdr:colOff>276225</xdr:colOff>
      <xdr:row>51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36</xdr:row>
      <xdr:rowOff>76200</xdr:rowOff>
    </xdr:from>
    <xdr:to>
      <xdr:col>32</xdr:col>
      <xdr:colOff>104775</xdr:colOff>
      <xdr:row>52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35</xdr:row>
      <xdr:rowOff>95250</xdr:rowOff>
    </xdr:from>
    <xdr:to>
      <xdr:col>7</xdr:col>
      <xdr:colOff>581025</xdr:colOff>
      <xdr:row>52</xdr:row>
      <xdr:rowOff>9525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35</xdr:row>
      <xdr:rowOff>66675</xdr:rowOff>
    </xdr:from>
    <xdr:to>
      <xdr:col>25</xdr:col>
      <xdr:colOff>695325</xdr:colOff>
      <xdr:row>50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33</xdr:row>
      <xdr:rowOff>133350</xdr:rowOff>
    </xdr:from>
    <xdr:to>
      <xdr:col>15</xdr:col>
      <xdr:colOff>276225</xdr:colOff>
      <xdr:row>50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35</xdr:row>
      <xdr:rowOff>76200</xdr:rowOff>
    </xdr:from>
    <xdr:to>
      <xdr:col>32</xdr:col>
      <xdr:colOff>104775</xdr:colOff>
      <xdr:row>51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34</xdr:row>
      <xdr:rowOff>95250</xdr:rowOff>
    </xdr:from>
    <xdr:to>
      <xdr:col>7</xdr:col>
      <xdr:colOff>581025</xdr:colOff>
      <xdr:row>51</xdr:row>
      <xdr:rowOff>9525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32</xdr:row>
      <xdr:rowOff>133350</xdr:rowOff>
    </xdr:from>
    <xdr:to>
      <xdr:col>15</xdr:col>
      <xdr:colOff>276225</xdr:colOff>
      <xdr:row>49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95250</xdr:rowOff>
    </xdr:from>
    <xdr:to>
      <xdr:col>7</xdr:col>
      <xdr:colOff>581025</xdr:colOff>
      <xdr:row>50</xdr:row>
      <xdr:rowOff>9525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32</xdr:row>
      <xdr:rowOff>133350</xdr:rowOff>
    </xdr:from>
    <xdr:to>
      <xdr:col>15</xdr:col>
      <xdr:colOff>276225</xdr:colOff>
      <xdr:row>49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85725</xdr:rowOff>
    </xdr:from>
    <xdr:to>
      <xdr:col>7</xdr:col>
      <xdr:colOff>581025</xdr:colOff>
      <xdr:row>50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30</xdr:row>
      <xdr:rowOff>133350</xdr:rowOff>
    </xdr:from>
    <xdr:to>
      <xdr:col>15</xdr:col>
      <xdr:colOff>276225</xdr:colOff>
      <xdr:row>47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33</xdr:row>
      <xdr:rowOff>66675</xdr:rowOff>
    </xdr:from>
    <xdr:to>
      <xdr:col>25</xdr:col>
      <xdr:colOff>695325</xdr:colOff>
      <xdr:row>48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31</xdr:row>
      <xdr:rowOff>133350</xdr:rowOff>
    </xdr:from>
    <xdr:to>
      <xdr:col>15</xdr:col>
      <xdr:colOff>276225</xdr:colOff>
      <xdr:row>48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33</xdr:row>
      <xdr:rowOff>76200</xdr:rowOff>
    </xdr:from>
    <xdr:to>
      <xdr:col>32</xdr:col>
      <xdr:colOff>104775</xdr:colOff>
      <xdr:row>49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32</xdr:row>
      <xdr:rowOff>85725</xdr:rowOff>
    </xdr:from>
    <xdr:to>
      <xdr:col>7</xdr:col>
      <xdr:colOff>581025</xdr:colOff>
      <xdr:row>49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323850</xdr:colOff>
      <xdr:row>32</xdr:row>
      <xdr:rowOff>66675</xdr:rowOff>
    </xdr:from>
    <xdr:to>
      <xdr:col>26</xdr:col>
      <xdr:colOff>123825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30</xdr:row>
      <xdr:rowOff>133350</xdr:rowOff>
    </xdr:from>
    <xdr:to>
      <xdr:col>15</xdr:col>
      <xdr:colOff>276225</xdr:colOff>
      <xdr:row>47</xdr:row>
      <xdr:rowOff>48260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33</xdr:row>
      <xdr:rowOff>66675</xdr:rowOff>
    </xdr:from>
    <xdr:to>
      <xdr:col>25</xdr:col>
      <xdr:colOff>695325</xdr:colOff>
      <xdr:row>48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31</xdr:row>
      <xdr:rowOff>152400</xdr:rowOff>
    </xdr:from>
    <xdr:to>
      <xdr:col>15</xdr:col>
      <xdr:colOff>504825</xdr:colOff>
      <xdr:row>48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33</xdr:row>
      <xdr:rowOff>66675</xdr:rowOff>
    </xdr:from>
    <xdr:to>
      <xdr:col>32</xdr:col>
      <xdr:colOff>104775</xdr:colOff>
      <xdr:row>49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32</xdr:row>
      <xdr:rowOff>85725</xdr:rowOff>
    </xdr:from>
    <xdr:to>
      <xdr:col>7</xdr:col>
      <xdr:colOff>581025</xdr:colOff>
      <xdr:row>49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33</xdr:row>
      <xdr:rowOff>66675</xdr:rowOff>
    </xdr:from>
    <xdr:to>
      <xdr:col>25</xdr:col>
      <xdr:colOff>695325</xdr:colOff>
      <xdr:row>48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31</xdr:row>
      <xdr:rowOff>152400</xdr:rowOff>
    </xdr:from>
    <xdr:to>
      <xdr:col>15</xdr:col>
      <xdr:colOff>504825</xdr:colOff>
      <xdr:row>48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33</xdr:row>
      <xdr:rowOff>66675</xdr:rowOff>
    </xdr:from>
    <xdr:to>
      <xdr:col>32</xdr:col>
      <xdr:colOff>104775</xdr:colOff>
      <xdr:row>49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32</xdr:row>
      <xdr:rowOff>85725</xdr:rowOff>
    </xdr:from>
    <xdr:to>
      <xdr:col>7</xdr:col>
      <xdr:colOff>581025</xdr:colOff>
      <xdr:row>49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66675</xdr:rowOff>
    </xdr:from>
    <xdr:to>
      <xdr:col>32</xdr:col>
      <xdr:colOff>104775</xdr:colOff>
      <xdr:row>50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85725</xdr:rowOff>
    </xdr:from>
    <xdr:to>
      <xdr:col>7</xdr:col>
      <xdr:colOff>581025</xdr:colOff>
      <xdr:row>50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36</xdr:row>
      <xdr:rowOff>66675</xdr:rowOff>
    </xdr:from>
    <xdr:to>
      <xdr:col>25</xdr:col>
      <xdr:colOff>695325</xdr:colOff>
      <xdr:row>51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34</xdr:row>
      <xdr:rowOff>152400</xdr:rowOff>
    </xdr:from>
    <xdr:to>
      <xdr:col>15</xdr:col>
      <xdr:colOff>504825</xdr:colOff>
      <xdr:row>51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36</xdr:row>
      <xdr:rowOff>66675</xdr:rowOff>
    </xdr:from>
    <xdr:to>
      <xdr:col>32</xdr:col>
      <xdr:colOff>104775</xdr:colOff>
      <xdr:row>52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35</xdr:row>
      <xdr:rowOff>85725</xdr:rowOff>
    </xdr:from>
    <xdr:to>
      <xdr:col>7</xdr:col>
      <xdr:colOff>581025</xdr:colOff>
      <xdr:row>52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85725</xdr:rowOff>
    </xdr:from>
    <xdr:to>
      <xdr:col>7</xdr:col>
      <xdr:colOff>581025</xdr:colOff>
      <xdr:row>48</xdr:row>
      <xdr:rowOff>0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66675</xdr:rowOff>
    </xdr:from>
    <xdr:to>
      <xdr:col>32</xdr:col>
      <xdr:colOff>104775</xdr:colOff>
      <xdr:row>50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66675</xdr:rowOff>
    </xdr:from>
    <xdr:to>
      <xdr:col>7</xdr:col>
      <xdr:colOff>581025</xdr:colOff>
      <xdr:row>49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447674</xdr:colOff>
      <xdr:row>32</xdr:row>
      <xdr:rowOff>66675</xdr:rowOff>
    </xdr:from>
    <xdr:to>
      <xdr:col>32</xdr:col>
      <xdr:colOff>285749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33</xdr:row>
      <xdr:rowOff>66675</xdr:rowOff>
    </xdr:from>
    <xdr:to>
      <xdr:col>25</xdr:col>
      <xdr:colOff>695325</xdr:colOff>
      <xdr:row>48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31</xdr:row>
      <xdr:rowOff>152400</xdr:rowOff>
    </xdr:from>
    <xdr:to>
      <xdr:col>15</xdr:col>
      <xdr:colOff>504825</xdr:colOff>
      <xdr:row>48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33</xdr:row>
      <xdr:rowOff>66675</xdr:rowOff>
    </xdr:from>
    <xdr:to>
      <xdr:col>32</xdr:col>
      <xdr:colOff>104775</xdr:colOff>
      <xdr:row>49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32</xdr:row>
      <xdr:rowOff>66675</xdr:rowOff>
    </xdr:from>
    <xdr:to>
      <xdr:col>7</xdr:col>
      <xdr:colOff>581025</xdr:colOff>
      <xdr:row>48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66675</xdr:rowOff>
    </xdr:from>
    <xdr:to>
      <xdr:col>32</xdr:col>
      <xdr:colOff>104775</xdr:colOff>
      <xdr:row>48</xdr:row>
      <xdr:rowOff>162560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33</xdr:row>
      <xdr:rowOff>66675</xdr:rowOff>
    </xdr:from>
    <xdr:to>
      <xdr:col>25</xdr:col>
      <xdr:colOff>695325</xdr:colOff>
      <xdr:row>48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31</xdr:row>
      <xdr:rowOff>152400</xdr:rowOff>
    </xdr:from>
    <xdr:to>
      <xdr:col>15</xdr:col>
      <xdr:colOff>504825</xdr:colOff>
      <xdr:row>48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33</xdr:row>
      <xdr:rowOff>76200</xdr:rowOff>
    </xdr:from>
    <xdr:to>
      <xdr:col>32</xdr:col>
      <xdr:colOff>104775</xdr:colOff>
      <xdr:row>49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32</xdr:row>
      <xdr:rowOff>66675</xdr:rowOff>
    </xdr:from>
    <xdr:to>
      <xdr:col>7</xdr:col>
      <xdr:colOff>581025</xdr:colOff>
      <xdr:row>48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35</xdr:row>
      <xdr:rowOff>66675</xdr:rowOff>
    </xdr:from>
    <xdr:to>
      <xdr:col>25</xdr:col>
      <xdr:colOff>695325</xdr:colOff>
      <xdr:row>50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33</xdr:row>
      <xdr:rowOff>152400</xdr:rowOff>
    </xdr:from>
    <xdr:to>
      <xdr:col>15</xdr:col>
      <xdr:colOff>504825</xdr:colOff>
      <xdr:row>50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35</xdr:row>
      <xdr:rowOff>76200</xdr:rowOff>
    </xdr:from>
    <xdr:to>
      <xdr:col>32</xdr:col>
      <xdr:colOff>104775</xdr:colOff>
      <xdr:row>51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34</xdr:row>
      <xdr:rowOff>66675</xdr:rowOff>
    </xdr:from>
    <xdr:to>
      <xdr:col>7</xdr:col>
      <xdr:colOff>581025</xdr:colOff>
      <xdr:row>50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66675</xdr:rowOff>
    </xdr:from>
    <xdr:to>
      <xdr:col>7</xdr:col>
      <xdr:colOff>581025</xdr:colOff>
      <xdr:row>49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66675</xdr:rowOff>
    </xdr:from>
    <xdr:to>
      <xdr:col>7</xdr:col>
      <xdr:colOff>581025</xdr:colOff>
      <xdr:row>49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35</xdr:row>
      <xdr:rowOff>66675</xdr:rowOff>
    </xdr:from>
    <xdr:to>
      <xdr:col>25</xdr:col>
      <xdr:colOff>695325</xdr:colOff>
      <xdr:row>50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33</xdr:row>
      <xdr:rowOff>152400</xdr:rowOff>
    </xdr:from>
    <xdr:to>
      <xdr:col>15</xdr:col>
      <xdr:colOff>504825</xdr:colOff>
      <xdr:row>50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35</xdr:row>
      <xdr:rowOff>76200</xdr:rowOff>
    </xdr:from>
    <xdr:to>
      <xdr:col>32</xdr:col>
      <xdr:colOff>104775</xdr:colOff>
      <xdr:row>51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34</xdr:row>
      <xdr:rowOff>66675</xdr:rowOff>
    </xdr:from>
    <xdr:to>
      <xdr:col>7</xdr:col>
      <xdr:colOff>581025</xdr:colOff>
      <xdr:row>50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40</xdr:row>
      <xdr:rowOff>66675</xdr:rowOff>
    </xdr:from>
    <xdr:to>
      <xdr:col>25</xdr:col>
      <xdr:colOff>695325</xdr:colOff>
      <xdr:row>55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38</xdr:row>
      <xdr:rowOff>152400</xdr:rowOff>
    </xdr:from>
    <xdr:to>
      <xdr:col>15</xdr:col>
      <xdr:colOff>504825</xdr:colOff>
      <xdr:row>55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40</xdr:row>
      <xdr:rowOff>76200</xdr:rowOff>
    </xdr:from>
    <xdr:to>
      <xdr:col>32</xdr:col>
      <xdr:colOff>104775</xdr:colOff>
      <xdr:row>56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39</xdr:row>
      <xdr:rowOff>66675</xdr:rowOff>
    </xdr:from>
    <xdr:to>
      <xdr:col>7</xdr:col>
      <xdr:colOff>581025</xdr:colOff>
      <xdr:row>55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38</xdr:row>
      <xdr:rowOff>66675</xdr:rowOff>
    </xdr:from>
    <xdr:to>
      <xdr:col>25</xdr:col>
      <xdr:colOff>695325</xdr:colOff>
      <xdr:row>53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36</xdr:row>
      <xdr:rowOff>152400</xdr:rowOff>
    </xdr:from>
    <xdr:to>
      <xdr:col>15</xdr:col>
      <xdr:colOff>504825</xdr:colOff>
      <xdr:row>53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38</xdr:row>
      <xdr:rowOff>76200</xdr:rowOff>
    </xdr:from>
    <xdr:to>
      <xdr:col>32</xdr:col>
      <xdr:colOff>104775</xdr:colOff>
      <xdr:row>54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37</xdr:row>
      <xdr:rowOff>66675</xdr:rowOff>
    </xdr:from>
    <xdr:to>
      <xdr:col>7</xdr:col>
      <xdr:colOff>581025</xdr:colOff>
      <xdr:row>53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66675</xdr:rowOff>
    </xdr:from>
    <xdr:to>
      <xdr:col>7</xdr:col>
      <xdr:colOff>581025</xdr:colOff>
      <xdr:row>49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34</xdr:row>
      <xdr:rowOff>66675</xdr:rowOff>
    </xdr:from>
    <xdr:to>
      <xdr:col>25</xdr:col>
      <xdr:colOff>695325</xdr:colOff>
      <xdr:row>49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32</xdr:row>
      <xdr:rowOff>152400</xdr:rowOff>
    </xdr:from>
    <xdr:to>
      <xdr:col>15</xdr:col>
      <xdr:colOff>504825</xdr:colOff>
      <xdr:row>49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34</xdr:row>
      <xdr:rowOff>76200</xdr:rowOff>
    </xdr:from>
    <xdr:to>
      <xdr:col>32</xdr:col>
      <xdr:colOff>104775</xdr:colOff>
      <xdr:row>50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33</xdr:row>
      <xdr:rowOff>66675</xdr:rowOff>
    </xdr:from>
    <xdr:to>
      <xdr:col>7</xdr:col>
      <xdr:colOff>581025</xdr:colOff>
      <xdr:row>49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32</xdr:row>
      <xdr:rowOff>66675</xdr:rowOff>
    </xdr:from>
    <xdr:to>
      <xdr:col>25</xdr:col>
      <xdr:colOff>695325</xdr:colOff>
      <xdr:row>47</xdr:row>
      <xdr:rowOff>28575</xdr:rowOff>
    </xdr:to>
    <xdr:graphicFrame macro="">
      <xdr:nvGraphicFramePr>
        <xdr:cNvPr id="2" name="Chart 1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733425</xdr:colOff>
      <xdr:row>30</xdr:row>
      <xdr:rowOff>152400</xdr:rowOff>
    </xdr:from>
    <xdr:to>
      <xdr:col>15</xdr:col>
      <xdr:colOff>504825</xdr:colOff>
      <xdr:row>47</xdr:row>
      <xdr:rowOff>67310</xdr:rowOff>
    </xdr:to>
    <xdr:graphicFrame macro="">
      <xdr:nvGraphicFramePr>
        <xdr:cNvPr id="3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447675</xdr:colOff>
      <xdr:row>32</xdr:row>
      <xdr:rowOff>76200</xdr:rowOff>
    </xdr:from>
    <xdr:to>
      <xdr:col>32</xdr:col>
      <xdr:colOff>104775</xdr:colOff>
      <xdr:row>48</xdr:row>
      <xdr:rowOff>172085</xdr:rowOff>
    </xdr:to>
    <xdr:graphicFrame macro="">
      <xdr:nvGraphicFramePr>
        <xdr:cNvPr id="4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190500</xdr:colOff>
      <xdr:row>31</xdr:row>
      <xdr:rowOff>66675</xdr:rowOff>
    </xdr:from>
    <xdr:to>
      <xdr:col>7</xdr:col>
      <xdr:colOff>581025</xdr:colOff>
      <xdr:row>47</xdr:row>
      <xdr:rowOff>161925</xdr:rowOff>
    </xdr:to>
    <xdr:graphicFrame macro="">
      <xdr:nvGraphicFramePr>
        <xdr:cNvPr id="5" name="Chart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I55"/>
  <sheetViews>
    <sheetView topLeftCell="A3" workbookViewId="0">
      <selection activeCell="P6" sqref="F6:F29 K6:K29 P6:P2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5" width="9" style="10"/>
  </cols>
  <sheetData>
    <row r="1" spans="1:35" ht="22.5">
      <c r="A1" s="74" t="s">
        <v>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</row>
    <row r="2" spans="1:35">
      <c r="A2" s="12" t="s">
        <v>1</v>
      </c>
      <c r="B2" s="12"/>
      <c r="C2" s="79">
        <v>44462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</row>
    <row r="3" spans="1:35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</row>
    <row r="4" spans="1:35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</row>
    <row r="5" spans="1:35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</row>
    <row r="6" spans="1:35">
      <c r="A6" s="21">
        <v>44462</v>
      </c>
      <c r="B6" s="22">
        <v>789.24300000000005</v>
      </c>
      <c r="C6" s="27">
        <v>5.6795</v>
      </c>
      <c r="D6" s="23">
        <f t="shared" ref="D6:D29" si="0">C6+B6</f>
        <v>794.92250000000001</v>
      </c>
      <c r="E6" s="24">
        <v>0</v>
      </c>
      <c r="F6" s="25">
        <v>0</v>
      </c>
      <c r="G6" s="26">
        <v>0</v>
      </c>
      <c r="H6" s="6">
        <v>6.7866999999999997</v>
      </c>
      <c r="I6" s="35">
        <f t="shared" ref="I6:I29" si="1">H6+B6</f>
        <v>796.02970000000005</v>
      </c>
      <c r="J6" s="24">
        <v>0</v>
      </c>
      <c r="K6" s="25">
        <v>0</v>
      </c>
      <c r="L6" s="26">
        <v>0</v>
      </c>
      <c r="M6" s="6">
        <v>5.7149999999999999</v>
      </c>
      <c r="N6" s="35">
        <f t="shared" ref="N6:N29" si="2">M6+B6</f>
        <v>794.95799999999997</v>
      </c>
      <c r="O6" s="24">
        <v>0</v>
      </c>
      <c r="P6" s="25">
        <v>0</v>
      </c>
      <c r="Q6" s="26">
        <v>0</v>
      </c>
      <c r="R6" s="41"/>
      <c r="S6" s="21">
        <f t="shared" ref="S6:S29" si="3">A6</f>
        <v>44462</v>
      </c>
      <c r="T6" s="42">
        <v>9.1258999999999997</v>
      </c>
      <c r="U6" s="43">
        <v>0</v>
      </c>
      <c r="V6" s="44">
        <v>0</v>
      </c>
      <c r="W6" s="45">
        <f>U6/(S6-S11)</f>
        <v>0</v>
      </c>
      <c r="X6" s="29">
        <v>11.9184</v>
      </c>
      <c r="Y6" s="43">
        <v>0</v>
      </c>
      <c r="Z6" s="44">
        <v>0</v>
      </c>
      <c r="AA6" s="45">
        <v>0</v>
      </c>
      <c r="AB6" s="49">
        <v>8.6710999999999991</v>
      </c>
      <c r="AC6" s="43">
        <v>0</v>
      </c>
      <c r="AD6" s="44">
        <v>0</v>
      </c>
      <c r="AE6" s="45">
        <v>0</v>
      </c>
      <c r="AF6" s="50">
        <v>79055</v>
      </c>
      <c r="AG6" s="58">
        <f t="shared" ref="AG6:AG29" si="4">AF6-79045</f>
        <v>10</v>
      </c>
      <c r="AH6" s="59"/>
      <c r="AI6" s="60"/>
    </row>
    <row r="7" spans="1:35">
      <c r="A7" s="21">
        <v>44463</v>
      </c>
      <c r="B7" s="22">
        <v>789.24300000000005</v>
      </c>
      <c r="C7" s="27">
        <v>5.6792999999999996</v>
      </c>
      <c r="D7" s="23">
        <f t="shared" si="0"/>
        <v>794.92229999999995</v>
      </c>
      <c r="E7" s="24">
        <f t="shared" ref="E7:E29" si="5">(D7-D6)*1000</f>
        <v>-0.199999999949796</v>
      </c>
      <c r="F7" s="25">
        <f t="shared" ref="F7:F29" si="6">F6+E7</f>
        <v>-0.199999999949796</v>
      </c>
      <c r="G7" s="26">
        <f t="shared" ref="G7:G29" si="7">E7/(A7-A6)</f>
        <v>-0.199999999949796</v>
      </c>
      <c r="H7" s="6">
        <v>6.7865000000000002</v>
      </c>
      <c r="I7" s="35">
        <f t="shared" si="1"/>
        <v>796.02949999999998</v>
      </c>
      <c r="J7" s="24">
        <f t="shared" ref="J7:J29" si="8">(I7-I6)*1000</f>
        <v>-0.199999999949796</v>
      </c>
      <c r="K7" s="25">
        <f t="shared" ref="K7:K29" si="9">K6+J7</f>
        <v>-0.199999999949796</v>
      </c>
      <c r="L7" s="26">
        <f t="shared" ref="L7:L29" si="10">J7/(A7-A6)</f>
        <v>-0.199999999949796</v>
      </c>
      <c r="M7" s="6">
        <v>5.7150999999999996</v>
      </c>
      <c r="N7" s="35">
        <f t="shared" si="2"/>
        <v>794.95809999999994</v>
      </c>
      <c r="O7" s="24">
        <f t="shared" ref="O7:O29" si="11">(N7-N6)*1000</f>
        <v>9.9999999974897905E-2</v>
      </c>
      <c r="P7" s="25">
        <f t="shared" ref="P7:P29" si="12">P6+O7</f>
        <v>9.9999999974897905E-2</v>
      </c>
      <c r="Q7" s="26">
        <f t="shared" ref="Q7:Q29" si="13">O7/(A7-A6)</f>
        <v>9.9999999974897905E-2</v>
      </c>
      <c r="R7" s="41"/>
      <c r="S7" s="21">
        <f t="shared" si="3"/>
        <v>44463</v>
      </c>
      <c r="T7" s="42">
        <v>9.1257000000000001</v>
      </c>
      <c r="U7" s="43">
        <f t="shared" ref="U7:U29" si="14">(T7-T6)*1000</f>
        <v>-0.19999999999953399</v>
      </c>
      <c r="V7" s="44">
        <f t="shared" ref="V7:V29" si="15">V6+U7</f>
        <v>-0.19999999999953399</v>
      </c>
      <c r="W7" s="45">
        <f t="shared" ref="W7:W29" si="16">U7/(S6-S7)</f>
        <v>0.19999999999953399</v>
      </c>
      <c r="X7" s="29">
        <v>11.9185</v>
      </c>
      <c r="Y7" s="43">
        <f t="shared" ref="Y7:Y29" si="17">(X7-X6)*1000</f>
        <v>9.99999999997669E-2</v>
      </c>
      <c r="Z7" s="44">
        <f t="shared" ref="Z7:Z29" si="18">Z6+Y7</f>
        <v>9.99999999997669E-2</v>
      </c>
      <c r="AA7" s="45">
        <f t="shared" ref="AA7:AA29" si="19">Y7/(S7-S6)</f>
        <v>9.99999999997669E-2</v>
      </c>
      <c r="AB7" s="49">
        <v>8.6714000000000002</v>
      </c>
      <c r="AC7" s="43">
        <f t="shared" ref="AC7:AC29" si="20">(AB7-AB6)*1000</f>
        <v>0.30000000000107702</v>
      </c>
      <c r="AD7" s="44">
        <f t="shared" ref="AD7:AD29" si="21">AD6+AC7</f>
        <v>0.30000000000107702</v>
      </c>
      <c r="AE7" s="45">
        <f t="shared" ref="AE7:AE29" si="22">AC7/(S7-S6)</f>
        <v>0.30000000000107702</v>
      </c>
      <c r="AF7" s="50">
        <v>79061</v>
      </c>
      <c r="AG7" s="58">
        <f t="shared" si="4"/>
        <v>16</v>
      </c>
      <c r="AH7" s="59"/>
      <c r="AI7" s="60"/>
    </row>
    <row r="8" spans="1:35">
      <c r="A8" s="21">
        <v>44464</v>
      </c>
      <c r="B8" s="22">
        <v>789.24300000000005</v>
      </c>
      <c r="C8" s="27">
        <v>5.6790000000000003</v>
      </c>
      <c r="D8" s="23">
        <f t="shared" si="0"/>
        <v>794.92200000000003</v>
      </c>
      <c r="E8" s="24">
        <f t="shared" si="5"/>
        <v>-0.30000000003838101</v>
      </c>
      <c r="F8" s="25">
        <f t="shared" si="6"/>
        <v>-0.49999999998817701</v>
      </c>
      <c r="G8" s="26">
        <f t="shared" si="7"/>
        <v>-0.30000000003838101</v>
      </c>
      <c r="H8" s="6">
        <v>6.7864000000000004</v>
      </c>
      <c r="I8" s="35">
        <f t="shared" si="1"/>
        <v>796.02940000000001</v>
      </c>
      <c r="J8" s="24">
        <f t="shared" si="8"/>
        <v>-0.10000000008858501</v>
      </c>
      <c r="K8" s="25">
        <f t="shared" si="9"/>
        <v>-0.30000000003838101</v>
      </c>
      <c r="L8" s="26">
        <f t="shared" si="10"/>
        <v>-0.10000000008858501</v>
      </c>
      <c r="M8" s="6">
        <v>5.7149000000000001</v>
      </c>
      <c r="N8" s="35">
        <f t="shared" si="2"/>
        <v>794.9579</v>
      </c>
      <c r="O8" s="24">
        <f t="shared" si="11"/>
        <v>-0.199999999949796</v>
      </c>
      <c r="P8" s="25">
        <f t="shared" si="12"/>
        <v>-9.9999999974897905E-2</v>
      </c>
      <c r="Q8" s="26">
        <f t="shared" si="13"/>
        <v>-0.199999999949796</v>
      </c>
      <c r="R8" s="41"/>
      <c r="S8" s="21">
        <f t="shared" si="3"/>
        <v>44464</v>
      </c>
      <c r="T8" s="42">
        <v>9.1255000000000006</v>
      </c>
      <c r="U8" s="43">
        <f t="shared" si="14"/>
        <v>-0.19999999999953399</v>
      </c>
      <c r="V8" s="44">
        <f t="shared" si="15"/>
        <v>-0.39999999999906799</v>
      </c>
      <c r="W8" s="45">
        <f t="shared" si="16"/>
        <v>0.19999999999953399</v>
      </c>
      <c r="X8" s="29">
        <v>11.9183</v>
      </c>
      <c r="Y8" s="43">
        <f t="shared" si="17"/>
        <v>-0.19999999999953399</v>
      </c>
      <c r="Z8" s="44">
        <f t="shared" si="18"/>
        <v>-9.99999999997669E-2</v>
      </c>
      <c r="AA8" s="45">
        <f t="shared" si="19"/>
        <v>-0.19999999999953399</v>
      </c>
      <c r="AB8" s="49">
        <v>8.6712000000000007</v>
      </c>
      <c r="AC8" s="43">
        <f t="shared" si="20"/>
        <v>-0.19999999999953399</v>
      </c>
      <c r="AD8" s="44">
        <f t="shared" si="21"/>
        <v>0.10000000000154299</v>
      </c>
      <c r="AE8" s="45">
        <f t="shared" si="22"/>
        <v>-0.19999999999953399</v>
      </c>
      <c r="AF8" s="50">
        <v>79067</v>
      </c>
      <c r="AG8" s="58">
        <f t="shared" si="4"/>
        <v>22</v>
      </c>
      <c r="AH8" s="59"/>
      <c r="AI8" s="60"/>
    </row>
    <row r="9" spans="1:35">
      <c r="A9" s="21">
        <v>44465</v>
      </c>
      <c r="B9" s="22">
        <v>789.24300000000005</v>
      </c>
      <c r="C9" s="27">
        <v>5.6791</v>
      </c>
      <c r="D9" s="23">
        <f t="shared" si="0"/>
        <v>794.9221</v>
      </c>
      <c r="E9" s="24">
        <f t="shared" si="5"/>
        <v>9.9999999974897905E-2</v>
      </c>
      <c r="F9" s="25">
        <f t="shared" si="6"/>
        <v>-0.40000000001327901</v>
      </c>
      <c r="G9" s="26">
        <f t="shared" si="7"/>
        <v>9.9999999974897905E-2</v>
      </c>
      <c r="H9" s="6">
        <v>6.7862</v>
      </c>
      <c r="I9" s="35">
        <f t="shared" si="1"/>
        <v>796.02919999999995</v>
      </c>
      <c r="J9" s="24">
        <f t="shared" si="8"/>
        <v>-0.199999999949796</v>
      </c>
      <c r="K9" s="25">
        <f t="shared" si="9"/>
        <v>-0.49999999998817701</v>
      </c>
      <c r="L9" s="26">
        <f t="shared" si="10"/>
        <v>-0.199999999949796</v>
      </c>
      <c r="M9" s="6">
        <v>5.7146999999999997</v>
      </c>
      <c r="N9" s="35">
        <f t="shared" si="2"/>
        <v>794.95770000000005</v>
      </c>
      <c r="O9" s="24">
        <f t="shared" si="11"/>
        <v>-0.20000000006348301</v>
      </c>
      <c r="P9" s="25">
        <f t="shared" si="12"/>
        <v>-0.30000000003838101</v>
      </c>
      <c r="Q9" s="26">
        <f t="shared" si="13"/>
        <v>-0.20000000006348301</v>
      </c>
      <c r="R9" s="41"/>
      <c r="S9" s="21">
        <f t="shared" si="3"/>
        <v>44465</v>
      </c>
      <c r="T9" s="42">
        <v>9.1254000000000008</v>
      </c>
      <c r="U9" s="43">
        <f t="shared" si="14"/>
        <v>-9.99999999997669E-2</v>
      </c>
      <c r="V9" s="44">
        <f t="shared" si="15"/>
        <v>-0.49999999999883499</v>
      </c>
      <c r="W9" s="45">
        <f t="shared" si="16"/>
        <v>9.99999999997669E-2</v>
      </c>
      <c r="X9" s="29">
        <v>11.918100000000001</v>
      </c>
      <c r="Y9" s="43">
        <f t="shared" si="17"/>
        <v>-0.19999999999953399</v>
      </c>
      <c r="Z9" s="44">
        <f t="shared" si="18"/>
        <v>-0.29999999999930099</v>
      </c>
      <c r="AA9" s="45">
        <f t="shared" si="19"/>
        <v>-0.19999999999953399</v>
      </c>
      <c r="AB9" s="49">
        <v>8.6709999999999994</v>
      </c>
      <c r="AC9" s="43">
        <f t="shared" si="20"/>
        <v>-0.20000000000130999</v>
      </c>
      <c r="AD9" s="44">
        <f t="shared" si="21"/>
        <v>-9.99999999997669E-2</v>
      </c>
      <c r="AE9" s="45">
        <f t="shared" si="22"/>
        <v>-0.20000000000130999</v>
      </c>
      <c r="AF9" s="50">
        <v>79073</v>
      </c>
      <c r="AG9" s="58">
        <f t="shared" si="4"/>
        <v>28</v>
      </c>
      <c r="AH9" s="59"/>
      <c r="AI9" s="60"/>
    </row>
    <row r="10" spans="1:35">
      <c r="A10" s="21">
        <v>44466</v>
      </c>
      <c r="B10" s="22">
        <v>789.24300000000005</v>
      </c>
      <c r="C10" s="27">
        <v>5.6788999999999996</v>
      </c>
      <c r="D10" s="23">
        <f t="shared" si="0"/>
        <v>794.92190000000005</v>
      </c>
      <c r="E10" s="24">
        <f t="shared" si="5"/>
        <v>-0.199999999949796</v>
      </c>
      <c r="F10" s="25">
        <f t="shared" si="6"/>
        <v>-0.59999999996307496</v>
      </c>
      <c r="G10" s="26">
        <f t="shared" si="7"/>
        <v>-0.199999999949796</v>
      </c>
      <c r="H10" s="6">
        <v>6.7862999999999998</v>
      </c>
      <c r="I10" s="35">
        <f t="shared" si="1"/>
        <v>796.02930000000003</v>
      </c>
      <c r="J10" s="24">
        <f t="shared" si="8"/>
        <v>9.9999999974897905E-2</v>
      </c>
      <c r="K10" s="25">
        <f t="shared" si="9"/>
        <v>-0.40000000001327901</v>
      </c>
      <c r="L10" s="26">
        <f t="shared" si="10"/>
        <v>9.9999999974897905E-2</v>
      </c>
      <c r="M10" s="6">
        <v>5.7145999999999999</v>
      </c>
      <c r="N10" s="35">
        <f t="shared" si="2"/>
        <v>794.95759999999996</v>
      </c>
      <c r="O10" s="24">
        <f t="shared" si="11"/>
        <v>-9.9999999974897905E-2</v>
      </c>
      <c r="P10" s="25">
        <f t="shared" si="12"/>
        <v>-0.40000000001327901</v>
      </c>
      <c r="Q10" s="26">
        <f t="shared" si="13"/>
        <v>-9.9999999974897905E-2</v>
      </c>
      <c r="R10" s="41"/>
      <c r="S10" s="21">
        <f t="shared" si="3"/>
        <v>44466</v>
      </c>
      <c r="T10" s="42">
        <v>9.1250999999999998</v>
      </c>
      <c r="U10" s="43">
        <f t="shared" si="14"/>
        <v>-0.30000000000107702</v>
      </c>
      <c r="V10" s="44">
        <f t="shared" si="15"/>
        <v>-0.799999999999912</v>
      </c>
      <c r="W10" s="45">
        <f t="shared" si="16"/>
        <v>0.30000000000107702</v>
      </c>
      <c r="X10" s="29">
        <v>11.918200000000001</v>
      </c>
      <c r="Y10" s="43">
        <f t="shared" si="17"/>
        <v>9.99999999997669E-2</v>
      </c>
      <c r="Z10" s="44">
        <f t="shared" si="18"/>
        <v>-0.19999999999953399</v>
      </c>
      <c r="AA10" s="45">
        <f t="shared" si="19"/>
        <v>9.99999999997669E-2</v>
      </c>
      <c r="AB10" s="49">
        <v>8.6710999999999991</v>
      </c>
      <c r="AC10" s="43">
        <f t="shared" si="20"/>
        <v>9.99999999997669E-2</v>
      </c>
      <c r="AD10" s="44">
        <f t="shared" si="21"/>
        <v>0</v>
      </c>
      <c r="AE10" s="45">
        <f t="shared" si="22"/>
        <v>9.99999999997669E-2</v>
      </c>
      <c r="AF10" s="50">
        <v>79079</v>
      </c>
      <c r="AG10" s="58">
        <f t="shared" si="4"/>
        <v>34</v>
      </c>
      <c r="AH10" s="59"/>
      <c r="AI10" s="60"/>
    </row>
    <row r="11" spans="1:35">
      <c r="A11" s="21">
        <v>44467</v>
      </c>
      <c r="B11" s="22">
        <v>789.24300000000005</v>
      </c>
      <c r="C11" s="27">
        <v>5.6787000000000001</v>
      </c>
      <c r="D11" s="23">
        <f t="shared" si="0"/>
        <v>794.92169999999999</v>
      </c>
      <c r="E11" s="24">
        <f t="shared" si="5"/>
        <v>-0.199999999949796</v>
      </c>
      <c r="F11" s="25">
        <f t="shared" si="6"/>
        <v>-0.79999999991286996</v>
      </c>
      <c r="G11" s="26">
        <f t="shared" si="7"/>
        <v>-0.199999999949796</v>
      </c>
      <c r="H11" s="6">
        <v>6.7858000000000001</v>
      </c>
      <c r="I11" s="35">
        <f t="shared" si="1"/>
        <v>796.02880000000005</v>
      </c>
      <c r="J11" s="24">
        <f t="shared" si="8"/>
        <v>-0.49999999998817701</v>
      </c>
      <c r="K11" s="25">
        <f t="shared" si="9"/>
        <v>-0.90000000000145497</v>
      </c>
      <c r="L11" s="26">
        <f t="shared" si="10"/>
        <v>-0.49999999998817701</v>
      </c>
      <c r="M11" s="6">
        <v>5.7142999999999997</v>
      </c>
      <c r="N11" s="35">
        <f t="shared" si="2"/>
        <v>794.95730000000003</v>
      </c>
      <c r="O11" s="24">
        <f t="shared" si="11"/>
        <v>-0.30000000003838101</v>
      </c>
      <c r="P11" s="25">
        <f t="shared" si="12"/>
        <v>-0.70000000005165897</v>
      </c>
      <c r="Q11" s="26">
        <f t="shared" si="13"/>
        <v>-0.30000000003838101</v>
      </c>
      <c r="R11" s="41"/>
      <c r="S11" s="21">
        <f t="shared" si="3"/>
        <v>44467</v>
      </c>
      <c r="T11" s="42">
        <v>9.1249000000000002</v>
      </c>
      <c r="U11" s="43">
        <f t="shared" si="14"/>
        <v>-0.19999999999953399</v>
      </c>
      <c r="V11" s="44">
        <f t="shared" si="15"/>
        <v>-0.999999999999446</v>
      </c>
      <c r="W11" s="45">
        <f t="shared" si="16"/>
        <v>0.19999999999953399</v>
      </c>
      <c r="X11" s="29">
        <v>11.9177</v>
      </c>
      <c r="Y11" s="43">
        <f t="shared" si="17"/>
        <v>-0.50000000000061096</v>
      </c>
      <c r="Z11" s="44">
        <f t="shared" si="18"/>
        <v>-0.70000000000014495</v>
      </c>
      <c r="AA11" s="45">
        <f t="shared" si="19"/>
        <v>-0.50000000000061096</v>
      </c>
      <c r="AB11" s="49">
        <v>8.6706000000000003</v>
      </c>
      <c r="AC11" s="43">
        <f t="shared" si="20"/>
        <v>-0.49999999999883499</v>
      </c>
      <c r="AD11" s="44">
        <f t="shared" si="21"/>
        <v>-0.49999999999883499</v>
      </c>
      <c r="AE11" s="45">
        <f t="shared" si="22"/>
        <v>-0.49999999999883499</v>
      </c>
      <c r="AF11" s="50">
        <v>79085</v>
      </c>
      <c r="AG11" s="58">
        <f t="shared" si="4"/>
        <v>40</v>
      </c>
      <c r="AH11" s="61"/>
      <c r="AI11" s="60"/>
    </row>
    <row r="12" spans="1:35">
      <c r="A12" s="21">
        <v>44468</v>
      </c>
      <c r="B12" s="22">
        <v>789.24300000000005</v>
      </c>
      <c r="C12" s="27">
        <v>5.6787999999999998</v>
      </c>
      <c r="D12" s="23">
        <f t="shared" si="0"/>
        <v>794.92179999999996</v>
      </c>
      <c r="E12" s="24">
        <f t="shared" si="5"/>
        <v>9.9999999974897905E-2</v>
      </c>
      <c r="F12" s="25">
        <f t="shared" si="6"/>
        <v>-0.69999999993797202</v>
      </c>
      <c r="G12" s="26">
        <f t="shared" si="7"/>
        <v>9.9999999974897905E-2</v>
      </c>
      <c r="H12" s="6">
        <v>6.7855999999999996</v>
      </c>
      <c r="I12" s="35">
        <f t="shared" si="1"/>
        <v>796.02859999999998</v>
      </c>
      <c r="J12" s="24">
        <f t="shared" si="8"/>
        <v>-0.199999999949796</v>
      </c>
      <c r="K12" s="25">
        <f t="shared" si="9"/>
        <v>-1.09999999995125</v>
      </c>
      <c r="L12" s="26">
        <f t="shared" si="10"/>
        <v>-0.199999999949796</v>
      </c>
      <c r="M12" s="6">
        <v>5.7141999999999999</v>
      </c>
      <c r="N12" s="35">
        <f t="shared" si="2"/>
        <v>794.95719999999994</v>
      </c>
      <c r="O12" s="24">
        <f t="shared" si="11"/>
        <v>-9.9999999974897905E-2</v>
      </c>
      <c r="P12" s="25">
        <f t="shared" si="12"/>
        <v>-0.80000000002655702</v>
      </c>
      <c r="Q12" s="26">
        <f t="shared" si="13"/>
        <v>-9.9999999974897905E-2</v>
      </c>
      <c r="R12" s="41"/>
      <c r="S12" s="21">
        <f t="shared" si="3"/>
        <v>44468</v>
      </c>
      <c r="T12" s="42">
        <v>9.125</v>
      </c>
      <c r="U12" s="43">
        <f t="shared" si="14"/>
        <v>9.99999999997669E-2</v>
      </c>
      <c r="V12" s="44">
        <f t="shared" si="15"/>
        <v>-0.89999999999967895</v>
      </c>
      <c r="W12" s="45">
        <f t="shared" si="16"/>
        <v>-9.99999999997669E-2</v>
      </c>
      <c r="X12" s="29">
        <v>11.9175</v>
      </c>
      <c r="Y12" s="43">
        <f t="shared" si="17"/>
        <v>-0.19999999999953399</v>
      </c>
      <c r="Z12" s="44">
        <f t="shared" si="18"/>
        <v>-0.89999999999967895</v>
      </c>
      <c r="AA12" s="45">
        <f t="shared" si="19"/>
        <v>-0.19999999999953399</v>
      </c>
      <c r="AB12" s="49">
        <v>8.6704000000000008</v>
      </c>
      <c r="AC12" s="43">
        <f t="shared" si="20"/>
        <v>-0.19999999999953399</v>
      </c>
      <c r="AD12" s="44">
        <f t="shared" si="21"/>
        <v>-0.69999999999836904</v>
      </c>
      <c r="AE12" s="45">
        <f t="shared" si="22"/>
        <v>-0.19999999999953399</v>
      </c>
      <c r="AF12" s="50">
        <v>79091</v>
      </c>
      <c r="AG12" s="58">
        <f t="shared" si="4"/>
        <v>46</v>
      </c>
      <c r="AH12" s="61"/>
      <c r="AI12" s="60"/>
    </row>
    <row r="13" spans="1:35">
      <c r="A13" s="21">
        <v>44469</v>
      </c>
      <c r="B13" s="22">
        <v>789.24300000000005</v>
      </c>
      <c r="C13" s="27">
        <v>5.6783000000000001</v>
      </c>
      <c r="D13" s="23">
        <f t="shared" si="0"/>
        <v>794.92129999999997</v>
      </c>
      <c r="E13" s="24">
        <f t="shared" si="5"/>
        <v>-0.49999999998817701</v>
      </c>
      <c r="F13" s="25">
        <f t="shared" si="6"/>
        <v>-1.1999999999261499</v>
      </c>
      <c r="G13" s="26">
        <f t="shared" si="7"/>
        <v>-0.49999999998817701</v>
      </c>
      <c r="H13" s="6">
        <v>6.7854000000000001</v>
      </c>
      <c r="I13" s="35">
        <f t="shared" si="1"/>
        <v>796.02840000000003</v>
      </c>
      <c r="J13" s="24">
        <f t="shared" si="8"/>
        <v>-0.20000000006348301</v>
      </c>
      <c r="K13" s="25">
        <f t="shared" si="9"/>
        <v>-1.30000000001473</v>
      </c>
      <c r="L13" s="26">
        <f t="shared" si="10"/>
        <v>-0.20000000006348301</v>
      </c>
      <c r="M13" s="6">
        <v>5.7141000000000002</v>
      </c>
      <c r="N13" s="35">
        <f t="shared" si="2"/>
        <v>794.95709999999997</v>
      </c>
      <c r="O13" s="24">
        <f t="shared" si="11"/>
        <v>-9.9999999974897905E-2</v>
      </c>
      <c r="P13" s="25">
        <f t="shared" si="12"/>
        <v>-0.90000000000145497</v>
      </c>
      <c r="Q13" s="26">
        <f t="shared" si="13"/>
        <v>-9.9999999974897905E-2</v>
      </c>
      <c r="R13" s="41"/>
      <c r="S13" s="21">
        <f t="shared" si="3"/>
        <v>44469</v>
      </c>
      <c r="T13" s="42">
        <v>9.1244999999999994</v>
      </c>
      <c r="U13" s="43">
        <f t="shared" si="14"/>
        <v>-0.50000000000061096</v>
      </c>
      <c r="V13" s="44">
        <f t="shared" si="15"/>
        <v>-1.4000000000002899</v>
      </c>
      <c r="W13" s="45">
        <f t="shared" si="16"/>
        <v>0.50000000000061096</v>
      </c>
      <c r="X13" s="29">
        <v>11.9176</v>
      </c>
      <c r="Y13" s="43">
        <f t="shared" si="17"/>
        <v>9.99999999997669E-2</v>
      </c>
      <c r="Z13" s="44">
        <f t="shared" si="18"/>
        <v>-0.799999999999912</v>
      </c>
      <c r="AA13" s="45">
        <f t="shared" si="19"/>
        <v>9.99999999997669E-2</v>
      </c>
      <c r="AB13" s="49">
        <v>8.67</v>
      </c>
      <c r="AC13" s="43">
        <f t="shared" si="20"/>
        <v>-0.40000000000084401</v>
      </c>
      <c r="AD13" s="44">
        <f t="shared" si="21"/>
        <v>-1.0999999999992101</v>
      </c>
      <c r="AE13" s="45">
        <f t="shared" si="22"/>
        <v>-0.40000000000084401</v>
      </c>
      <c r="AF13" s="50">
        <v>79097</v>
      </c>
      <c r="AG13" s="58">
        <f t="shared" si="4"/>
        <v>52</v>
      </c>
      <c r="AH13" s="61"/>
      <c r="AI13" s="60"/>
    </row>
    <row r="14" spans="1:35">
      <c r="A14" s="21">
        <v>44470</v>
      </c>
      <c r="B14" s="22">
        <v>789.24300000000005</v>
      </c>
      <c r="C14" s="27">
        <v>5.6780999999999997</v>
      </c>
      <c r="D14" s="23">
        <f t="shared" si="0"/>
        <v>794.92110000000002</v>
      </c>
      <c r="E14" s="24">
        <f t="shared" si="5"/>
        <v>-0.20000000006348301</v>
      </c>
      <c r="F14" s="25">
        <f t="shared" si="6"/>
        <v>-1.39999999998963</v>
      </c>
      <c r="G14" s="26">
        <f t="shared" si="7"/>
        <v>-0.20000000006348301</v>
      </c>
      <c r="H14" s="6">
        <v>6.7854999999999999</v>
      </c>
      <c r="I14" s="35">
        <f t="shared" si="1"/>
        <v>796.02850000000001</v>
      </c>
      <c r="J14" s="24">
        <f t="shared" si="8"/>
        <v>9.9999999974897905E-2</v>
      </c>
      <c r="K14" s="25">
        <f t="shared" si="9"/>
        <v>-1.2000000000398401</v>
      </c>
      <c r="L14" s="26">
        <f t="shared" si="10"/>
        <v>9.9999999974897905E-2</v>
      </c>
      <c r="M14" s="6">
        <v>5.7141999999999999</v>
      </c>
      <c r="N14" s="35">
        <f t="shared" si="2"/>
        <v>794.95719999999994</v>
      </c>
      <c r="O14" s="24">
        <f t="shared" si="11"/>
        <v>9.9999999974897905E-2</v>
      </c>
      <c r="P14" s="25">
        <f t="shared" si="12"/>
        <v>-0.80000000002655702</v>
      </c>
      <c r="Q14" s="26">
        <f t="shared" si="13"/>
        <v>9.9999999974897905E-2</v>
      </c>
      <c r="R14" s="41"/>
      <c r="S14" s="21">
        <f t="shared" si="3"/>
        <v>44470</v>
      </c>
      <c r="T14" s="42">
        <v>9.1242999999999999</v>
      </c>
      <c r="U14" s="43">
        <f t="shared" si="14"/>
        <v>-0.19999999999953399</v>
      </c>
      <c r="V14" s="44">
        <f t="shared" si="15"/>
        <v>-1.59999999999982</v>
      </c>
      <c r="W14" s="45">
        <f t="shared" si="16"/>
        <v>0.19999999999953399</v>
      </c>
      <c r="X14" s="29">
        <v>11.9171</v>
      </c>
      <c r="Y14" s="43">
        <f t="shared" si="17"/>
        <v>-0.50000000000061096</v>
      </c>
      <c r="Z14" s="44">
        <f t="shared" si="18"/>
        <v>-1.3000000000005201</v>
      </c>
      <c r="AA14" s="45">
        <f t="shared" si="19"/>
        <v>-0.50000000000061096</v>
      </c>
      <c r="AB14" s="49">
        <v>8.67</v>
      </c>
      <c r="AC14" s="43">
        <f t="shared" si="20"/>
        <v>0</v>
      </c>
      <c r="AD14" s="44">
        <f t="shared" si="21"/>
        <v>-1.0999999999992101</v>
      </c>
      <c r="AE14" s="45">
        <f t="shared" si="22"/>
        <v>0</v>
      </c>
      <c r="AF14" s="50">
        <v>79103</v>
      </c>
      <c r="AG14" s="58">
        <f t="shared" si="4"/>
        <v>58</v>
      </c>
      <c r="AH14" s="61"/>
      <c r="AI14" s="60"/>
    </row>
    <row r="15" spans="1:35">
      <c r="A15" s="21">
        <v>44471</v>
      </c>
      <c r="B15" s="22">
        <v>789.24300000000005</v>
      </c>
      <c r="C15" s="27">
        <v>5.6782000000000004</v>
      </c>
      <c r="D15" s="23">
        <f t="shared" si="0"/>
        <v>794.9212</v>
      </c>
      <c r="E15" s="24">
        <f t="shared" si="5"/>
        <v>9.9999999974897905E-2</v>
      </c>
      <c r="F15" s="25">
        <f t="shared" si="6"/>
        <v>-1.30000000001473</v>
      </c>
      <c r="G15" s="26">
        <f t="shared" si="7"/>
        <v>9.9999999974897905E-2</v>
      </c>
      <c r="H15" s="6">
        <v>6.7850000000000001</v>
      </c>
      <c r="I15" s="35">
        <f t="shared" si="1"/>
        <v>796.02800000000002</v>
      </c>
      <c r="J15" s="24">
        <f t="shared" si="8"/>
        <v>-0.49999999998817701</v>
      </c>
      <c r="K15" s="25">
        <f t="shared" si="9"/>
        <v>-1.70000000002801</v>
      </c>
      <c r="L15" s="26">
        <f t="shared" si="10"/>
        <v>-0.49999999998817701</v>
      </c>
      <c r="M15" s="6">
        <v>5.7138999999999998</v>
      </c>
      <c r="N15" s="35">
        <f t="shared" si="2"/>
        <v>794.95690000000002</v>
      </c>
      <c r="O15" s="24">
        <f t="shared" si="11"/>
        <v>-0.30000000003838101</v>
      </c>
      <c r="P15" s="25">
        <f t="shared" si="12"/>
        <v>-1.1000000000649399</v>
      </c>
      <c r="Q15" s="26">
        <f t="shared" si="13"/>
        <v>-0.30000000003838101</v>
      </c>
      <c r="R15" s="41"/>
      <c r="S15" s="21">
        <f t="shared" si="3"/>
        <v>44471</v>
      </c>
      <c r="T15" s="42">
        <v>9.1244999999999994</v>
      </c>
      <c r="U15" s="43">
        <f t="shared" si="14"/>
        <v>0.19999999999953399</v>
      </c>
      <c r="V15" s="44">
        <f t="shared" si="15"/>
        <v>-1.4000000000002899</v>
      </c>
      <c r="W15" s="45">
        <f t="shared" si="16"/>
        <v>-0.19999999999953399</v>
      </c>
      <c r="X15" s="29">
        <v>11.9169</v>
      </c>
      <c r="Y15" s="43">
        <f t="shared" si="17"/>
        <v>-0.19999999999953399</v>
      </c>
      <c r="Z15" s="44">
        <f t="shared" si="18"/>
        <v>-1.50000000000006</v>
      </c>
      <c r="AA15" s="45">
        <f t="shared" si="19"/>
        <v>-0.19999999999953399</v>
      </c>
      <c r="AB15" s="49">
        <v>8.6700999999999997</v>
      </c>
      <c r="AC15" s="43">
        <f t="shared" si="20"/>
        <v>9.99999999997669E-2</v>
      </c>
      <c r="AD15" s="44">
        <f t="shared" si="21"/>
        <v>-0.999999999999446</v>
      </c>
      <c r="AE15" s="45">
        <f t="shared" si="22"/>
        <v>9.99999999997669E-2</v>
      </c>
      <c r="AF15" s="50">
        <v>79109</v>
      </c>
      <c r="AG15" s="58">
        <f t="shared" si="4"/>
        <v>64</v>
      </c>
      <c r="AH15" s="61"/>
      <c r="AI15" s="60"/>
    </row>
    <row r="16" spans="1:35">
      <c r="A16" s="21">
        <v>44472</v>
      </c>
      <c r="B16" s="22">
        <v>789.24300000000005</v>
      </c>
      <c r="C16" s="27">
        <v>5.6776999999999997</v>
      </c>
      <c r="D16" s="23">
        <f t="shared" si="0"/>
        <v>794.92070000000001</v>
      </c>
      <c r="E16" s="24">
        <f t="shared" si="5"/>
        <v>-0.49999999998817701</v>
      </c>
      <c r="F16" s="25">
        <f t="shared" si="6"/>
        <v>-1.8000000000029099</v>
      </c>
      <c r="G16" s="26">
        <f t="shared" si="7"/>
        <v>-0.49999999998817701</v>
      </c>
      <c r="H16" s="6">
        <v>6.7847999999999997</v>
      </c>
      <c r="I16" s="35">
        <f t="shared" si="1"/>
        <v>796.02779999999996</v>
      </c>
      <c r="J16" s="24">
        <f t="shared" si="8"/>
        <v>-0.199999999949796</v>
      </c>
      <c r="K16" s="25">
        <f t="shared" si="9"/>
        <v>-1.8999999999778101</v>
      </c>
      <c r="L16" s="26">
        <f t="shared" si="10"/>
        <v>-0.199999999949796</v>
      </c>
      <c r="M16" s="6">
        <v>5.7138</v>
      </c>
      <c r="N16" s="35">
        <f t="shared" si="2"/>
        <v>794.95680000000004</v>
      </c>
      <c r="O16" s="24">
        <f t="shared" si="11"/>
        <v>-9.9999999974897905E-2</v>
      </c>
      <c r="P16" s="25">
        <f t="shared" si="12"/>
        <v>-1.2000000000398401</v>
      </c>
      <c r="Q16" s="26">
        <f t="shared" si="13"/>
        <v>-9.9999999974897905E-2</v>
      </c>
      <c r="R16" s="41"/>
      <c r="S16" s="21">
        <f t="shared" si="3"/>
        <v>44472</v>
      </c>
      <c r="T16" s="42">
        <v>9.1239000000000008</v>
      </c>
      <c r="U16" s="43">
        <f t="shared" si="14"/>
        <v>-0.59999999999860198</v>
      </c>
      <c r="V16" s="44">
        <f t="shared" si="15"/>
        <v>-1.99999999999889</v>
      </c>
      <c r="W16" s="45">
        <f t="shared" si="16"/>
        <v>0.59999999999860198</v>
      </c>
      <c r="X16" s="29">
        <v>11.916499999999999</v>
      </c>
      <c r="Y16" s="43">
        <f t="shared" si="17"/>
        <v>-0.40000000000084401</v>
      </c>
      <c r="Z16" s="44">
        <f t="shared" si="18"/>
        <v>-1.9000000000009001</v>
      </c>
      <c r="AA16" s="45">
        <f t="shared" si="19"/>
        <v>-0.40000000000084401</v>
      </c>
      <c r="AB16" s="49">
        <v>8.6696000000000009</v>
      </c>
      <c r="AC16" s="43">
        <f t="shared" si="20"/>
        <v>-0.49999999999883499</v>
      </c>
      <c r="AD16" s="44">
        <f t="shared" si="21"/>
        <v>-1.49999999999828</v>
      </c>
      <c r="AE16" s="45">
        <f t="shared" si="22"/>
        <v>-0.49999999999883499</v>
      </c>
      <c r="AF16" s="50">
        <v>79115</v>
      </c>
      <c r="AG16" s="58">
        <f t="shared" si="4"/>
        <v>70</v>
      </c>
      <c r="AH16" s="61"/>
      <c r="AI16" s="60"/>
    </row>
    <row r="17" spans="1:35">
      <c r="A17" s="21">
        <v>44473</v>
      </c>
      <c r="B17" s="22">
        <v>789.24300000000005</v>
      </c>
      <c r="C17" s="27">
        <v>5.6775000000000002</v>
      </c>
      <c r="D17" s="23">
        <f t="shared" si="0"/>
        <v>794.92049999999995</v>
      </c>
      <c r="E17" s="24">
        <f t="shared" si="5"/>
        <v>-0.199999999949796</v>
      </c>
      <c r="F17" s="25">
        <f t="shared" si="6"/>
        <v>-1.9999999999527101</v>
      </c>
      <c r="G17" s="26">
        <f t="shared" si="7"/>
        <v>-0.199999999949796</v>
      </c>
      <c r="H17" s="6">
        <v>6.7849000000000004</v>
      </c>
      <c r="I17" s="35">
        <f t="shared" si="1"/>
        <v>796.02790000000005</v>
      </c>
      <c r="J17" s="24">
        <f t="shared" si="8"/>
        <v>9.9999999974897905E-2</v>
      </c>
      <c r="K17" s="25">
        <f t="shared" si="9"/>
        <v>-1.8000000000029099</v>
      </c>
      <c r="L17" s="26">
        <f t="shared" si="10"/>
        <v>9.9999999974897905E-2</v>
      </c>
      <c r="M17" s="6">
        <v>5.7135999999999996</v>
      </c>
      <c r="N17" s="35">
        <f t="shared" si="2"/>
        <v>794.95659999999998</v>
      </c>
      <c r="O17" s="24">
        <f t="shared" si="11"/>
        <v>-0.199999999949796</v>
      </c>
      <c r="P17" s="25">
        <f t="shared" si="12"/>
        <v>-1.39999999998963</v>
      </c>
      <c r="Q17" s="26">
        <f t="shared" si="13"/>
        <v>-0.199999999949796</v>
      </c>
      <c r="R17" s="41"/>
      <c r="S17" s="21">
        <f t="shared" si="3"/>
        <v>44473</v>
      </c>
      <c r="T17" s="42">
        <v>9.1236999999999995</v>
      </c>
      <c r="U17" s="43">
        <f t="shared" si="14"/>
        <v>-0.20000000000130999</v>
      </c>
      <c r="V17" s="44">
        <f t="shared" si="15"/>
        <v>-2.2000000000002</v>
      </c>
      <c r="W17" s="45">
        <f t="shared" si="16"/>
        <v>0.20000000000130999</v>
      </c>
      <c r="X17" s="29">
        <v>11.916499999999999</v>
      </c>
      <c r="Y17" s="43">
        <f t="shared" si="17"/>
        <v>0</v>
      </c>
      <c r="Z17" s="44">
        <f t="shared" si="18"/>
        <v>-1.9000000000009001</v>
      </c>
      <c r="AA17" s="45">
        <f t="shared" si="19"/>
        <v>0</v>
      </c>
      <c r="AB17" s="49">
        <v>8.6693999999999996</v>
      </c>
      <c r="AC17" s="43">
        <f t="shared" si="20"/>
        <v>-0.20000000000130999</v>
      </c>
      <c r="AD17" s="44">
        <f t="shared" si="21"/>
        <v>-1.6999999999995901</v>
      </c>
      <c r="AE17" s="45">
        <f t="shared" si="22"/>
        <v>-0.20000000000130999</v>
      </c>
      <c r="AF17" s="50">
        <v>79118</v>
      </c>
      <c r="AG17" s="58">
        <f t="shared" si="4"/>
        <v>73</v>
      </c>
      <c r="AH17" s="61"/>
      <c r="AI17" s="52"/>
    </row>
    <row r="18" spans="1:35">
      <c r="A18" s="21">
        <v>44474</v>
      </c>
      <c r="B18" s="22">
        <v>789.24300000000005</v>
      </c>
      <c r="C18" s="27">
        <v>5.6772999999999998</v>
      </c>
      <c r="D18" s="23">
        <f t="shared" si="0"/>
        <v>794.9203</v>
      </c>
      <c r="E18" s="24">
        <f t="shared" si="5"/>
        <v>-0.20000000006348301</v>
      </c>
      <c r="F18" s="25">
        <f t="shared" si="6"/>
        <v>-2.2000000000161899</v>
      </c>
      <c r="G18" s="26">
        <f t="shared" si="7"/>
        <v>-0.20000000006348301</v>
      </c>
      <c r="H18" s="6">
        <v>6.7843999999999998</v>
      </c>
      <c r="I18" s="35">
        <f t="shared" si="1"/>
        <v>796.02739999999994</v>
      </c>
      <c r="J18" s="24">
        <f t="shared" si="8"/>
        <v>-0.49999999998817701</v>
      </c>
      <c r="K18" s="25">
        <f t="shared" si="9"/>
        <v>-2.2999999999910901</v>
      </c>
      <c r="L18" s="26">
        <f t="shared" si="10"/>
        <v>-0.49999999998817701</v>
      </c>
      <c r="M18" s="6">
        <v>5.7135999999999996</v>
      </c>
      <c r="N18" s="35">
        <f t="shared" si="2"/>
        <v>794.95659999999998</v>
      </c>
      <c r="O18" s="24">
        <f t="shared" si="11"/>
        <v>0</v>
      </c>
      <c r="P18" s="25">
        <f t="shared" si="12"/>
        <v>-1.39999999998963</v>
      </c>
      <c r="Q18" s="26">
        <f t="shared" si="13"/>
        <v>0</v>
      </c>
      <c r="R18" s="41"/>
      <c r="S18" s="21">
        <f t="shared" si="3"/>
        <v>44474</v>
      </c>
      <c r="T18" s="42">
        <v>9.1235999999999997</v>
      </c>
      <c r="U18" s="43">
        <f t="shared" si="14"/>
        <v>-9.99999999997669E-2</v>
      </c>
      <c r="V18" s="44">
        <f t="shared" si="15"/>
        <v>-2.2999999999999701</v>
      </c>
      <c r="W18" s="45">
        <f t="shared" si="16"/>
        <v>9.99999999997669E-2</v>
      </c>
      <c r="X18" s="29">
        <v>11.9163</v>
      </c>
      <c r="Y18" s="43">
        <f t="shared" si="17"/>
        <v>-0.19999999999953399</v>
      </c>
      <c r="Z18" s="44">
        <f t="shared" si="18"/>
        <v>-2.10000000000043</v>
      </c>
      <c r="AA18" s="45">
        <f t="shared" si="19"/>
        <v>-0.19999999999953399</v>
      </c>
      <c r="AB18" s="49">
        <v>8.6692000000000107</v>
      </c>
      <c r="AC18" s="43">
        <f t="shared" si="20"/>
        <v>-0.19999999998887599</v>
      </c>
      <c r="AD18" s="44">
        <f t="shared" si="21"/>
        <v>-1.89999999998847</v>
      </c>
      <c r="AE18" s="45">
        <f t="shared" si="22"/>
        <v>-0.19999999998887599</v>
      </c>
      <c r="AF18" s="50">
        <v>79121</v>
      </c>
      <c r="AG18" s="58">
        <f t="shared" si="4"/>
        <v>76</v>
      </c>
      <c r="AH18" s="61"/>
      <c r="AI18" s="52"/>
    </row>
    <row r="19" spans="1:35">
      <c r="A19" s="21">
        <v>44475</v>
      </c>
      <c r="B19" s="22">
        <v>789.24300000000005</v>
      </c>
      <c r="C19" s="27">
        <v>5.6775000000000002</v>
      </c>
      <c r="D19" s="23">
        <f t="shared" si="0"/>
        <v>794.92049999999995</v>
      </c>
      <c r="E19" s="24">
        <f t="shared" si="5"/>
        <v>0.20000000006348301</v>
      </c>
      <c r="F19" s="25">
        <f t="shared" si="6"/>
        <v>-1.9999999999527101</v>
      </c>
      <c r="G19" s="26">
        <f t="shared" si="7"/>
        <v>0.20000000006348301</v>
      </c>
      <c r="H19" s="6">
        <v>6.7842000000000002</v>
      </c>
      <c r="I19" s="35">
        <f t="shared" si="1"/>
        <v>796.02719999999999</v>
      </c>
      <c r="J19" s="24">
        <f t="shared" si="8"/>
        <v>-0.199999999949796</v>
      </c>
      <c r="K19" s="25">
        <f t="shared" si="9"/>
        <v>-2.4999999999408802</v>
      </c>
      <c r="L19" s="26">
        <f t="shared" si="10"/>
        <v>-0.199999999949796</v>
      </c>
      <c r="M19" s="6">
        <v>5.7134999999999998</v>
      </c>
      <c r="N19" s="35">
        <f t="shared" si="2"/>
        <v>794.95650000000001</v>
      </c>
      <c r="O19" s="24">
        <f t="shared" si="11"/>
        <v>-0.10000000008858501</v>
      </c>
      <c r="P19" s="25">
        <f t="shared" si="12"/>
        <v>-1.5000000000782201</v>
      </c>
      <c r="Q19" s="26">
        <f t="shared" si="13"/>
        <v>-0.10000000008858501</v>
      </c>
      <c r="R19" s="41"/>
      <c r="S19" s="21">
        <f t="shared" si="3"/>
        <v>44475</v>
      </c>
      <c r="T19" s="42">
        <v>9.1234999999999999</v>
      </c>
      <c r="U19" s="43">
        <f t="shared" si="14"/>
        <v>-9.99999999997669E-2</v>
      </c>
      <c r="V19" s="44">
        <f t="shared" si="15"/>
        <v>-2.3999999999997401</v>
      </c>
      <c r="W19" s="45">
        <f t="shared" si="16"/>
        <v>9.99999999997669E-2</v>
      </c>
      <c r="X19" s="29">
        <v>11.916399999999999</v>
      </c>
      <c r="Y19" s="43">
        <f t="shared" si="17"/>
        <v>9.99999999997669E-2</v>
      </c>
      <c r="Z19" s="44">
        <f t="shared" si="18"/>
        <v>-2.0000000000006701</v>
      </c>
      <c r="AA19" s="45">
        <f t="shared" si="19"/>
        <v>9.99999999997669E-2</v>
      </c>
      <c r="AB19" s="49">
        <v>8.6694999999999993</v>
      </c>
      <c r="AC19" s="43">
        <f t="shared" si="20"/>
        <v>0.29999999998864302</v>
      </c>
      <c r="AD19" s="44">
        <f t="shared" si="21"/>
        <v>-1.59999999999982</v>
      </c>
      <c r="AE19" s="45">
        <f t="shared" si="22"/>
        <v>0.29999999998864302</v>
      </c>
      <c r="AF19" s="50">
        <v>79124</v>
      </c>
      <c r="AG19" s="58">
        <f t="shared" si="4"/>
        <v>79</v>
      </c>
      <c r="AH19" s="61"/>
      <c r="AI19" s="52"/>
    </row>
    <row r="20" spans="1:35">
      <c r="A20" s="21">
        <v>44476</v>
      </c>
      <c r="B20" s="22">
        <v>789.24300000000005</v>
      </c>
      <c r="C20" s="27">
        <v>5.6768999999999998</v>
      </c>
      <c r="D20" s="23">
        <f t="shared" si="0"/>
        <v>794.91989999999998</v>
      </c>
      <c r="E20" s="24">
        <f t="shared" si="5"/>
        <v>-0.59999999996307496</v>
      </c>
      <c r="F20" s="25">
        <f t="shared" si="6"/>
        <v>-2.5999999999157799</v>
      </c>
      <c r="G20" s="26">
        <f t="shared" si="7"/>
        <v>-0.59999999996307496</v>
      </c>
      <c r="H20" s="6">
        <v>6.7839999999999998</v>
      </c>
      <c r="I20" s="35">
        <f t="shared" si="1"/>
        <v>796.02700000000004</v>
      </c>
      <c r="J20" s="24">
        <f t="shared" si="8"/>
        <v>-0.20000000006348301</v>
      </c>
      <c r="K20" s="25">
        <f t="shared" si="9"/>
        <v>-2.70000000000437</v>
      </c>
      <c r="L20" s="26">
        <f t="shared" si="10"/>
        <v>-0.20000000006348301</v>
      </c>
      <c r="M20" s="6">
        <v>5.7131999999999996</v>
      </c>
      <c r="N20" s="35">
        <f t="shared" si="2"/>
        <v>794.95619999999997</v>
      </c>
      <c r="O20" s="24">
        <f t="shared" si="11"/>
        <v>-0.29999999992469401</v>
      </c>
      <c r="P20" s="25">
        <f t="shared" si="12"/>
        <v>-1.8000000000029099</v>
      </c>
      <c r="Q20" s="26">
        <f t="shared" si="13"/>
        <v>-0.29999999992469401</v>
      </c>
      <c r="R20" s="41"/>
      <c r="S20" s="21">
        <f t="shared" si="3"/>
        <v>44476</v>
      </c>
      <c r="T20" s="42">
        <v>9.1231000000000098</v>
      </c>
      <c r="U20" s="43">
        <f t="shared" si="14"/>
        <v>-0.39999999999018598</v>
      </c>
      <c r="V20" s="44">
        <f t="shared" si="15"/>
        <v>-2.7999999999899199</v>
      </c>
      <c r="W20" s="45">
        <f t="shared" si="16"/>
        <v>0.39999999999018598</v>
      </c>
      <c r="X20" s="29">
        <v>11.915900000000001</v>
      </c>
      <c r="Y20" s="43">
        <f t="shared" si="17"/>
        <v>-0.49999999999883499</v>
      </c>
      <c r="Z20" s="44">
        <f t="shared" si="18"/>
        <v>-2.4999999999995</v>
      </c>
      <c r="AA20" s="45">
        <f t="shared" si="19"/>
        <v>-0.49999999999883499</v>
      </c>
      <c r="AB20" s="49">
        <v>8.6688000000000098</v>
      </c>
      <c r="AC20" s="43">
        <f t="shared" si="20"/>
        <v>-0.69999999998948703</v>
      </c>
      <c r="AD20" s="44">
        <f t="shared" si="21"/>
        <v>-2.2999999999893102</v>
      </c>
      <c r="AE20" s="45">
        <f t="shared" si="22"/>
        <v>-0.69999999998948703</v>
      </c>
      <c r="AF20" s="50">
        <v>79127</v>
      </c>
      <c r="AG20" s="58">
        <f t="shared" si="4"/>
        <v>82</v>
      </c>
      <c r="AH20" s="61"/>
      <c r="AI20" s="52"/>
    </row>
    <row r="21" spans="1:35">
      <c r="A21" s="21">
        <v>44478</v>
      </c>
      <c r="B21" s="22">
        <v>789.24300000000005</v>
      </c>
      <c r="C21" s="27">
        <v>5.6766999999999896</v>
      </c>
      <c r="D21" s="23">
        <f t="shared" si="0"/>
        <v>794.91970000000003</v>
      </c>
      <c r="E21" s="24">
        <f t="shared" si="5"/>
        <v>-0.20000000006348301</v>
      </c>
      <c r="F21" s="25">
        <f t="shared" si="6"/>
        <v>-2.79999999997926</v>
      </c>
      <c r="G21" s="26">
        <f t="shared" si="7"/>
        <v>-0.100000000031741</v>
      </c>
      <c r="H21" s="6">
        <v>6.7842000000000002</v>
      </c>
      <c r="I21" s="35">
        <f t="shared" si="1"/>
        <v>796.02719999999999</v>
      </c>
      <c r="J21" s="24">
        <f t="shared" si="8"/>
        <v>0.20000000006348301</v>
      </c>
      <c r="K21" s="25">
        <f t="shared" si="9"/>
        <v>-2.4999999999408802</v>
      </c>
      <c r="L21" s="26">
        <f t="shared" si="10"/>
        <v>0.100000000031741</v>
      </c>
      <c r="M21" s="6">
        <v>5.7133000000000003</v>
      </c>
      <c r="N21" s="35">
        <f t="shared" si="2"/>
        <v>794.95630000000006</v>
      </c>
      <c r="O21" s="24">
        <f t="shared" si="11"/>
        <v>9.9999999974897905E-2</v>
      </c>
      <c r="P21" s="25">
        <f t="shared" si="12"/>
        <v>-1.70000000002801</v>
      </c>
      <c r="Q21" s="26">
        <f t="shared" si="13"/>
        <v>4.9999999987449001E-2</v>
      </c>
      <c r="R21" s="41"/>
      <c r="S21" s="21">
        <f t="shared" si="3"/>
        <v>44478</v>
      </c>
      <c r="T21" s="42">
        <v>9.1229000000000102</v>
      </c>
      <c r="U21" s="43">
        <f t="shared" si="14"/>
        <v>-0.19999999999953399</v>
      </c>
      <c r="V21" s="44">
        <f t="shared" si="15"/>
        <v>-2.99999999998946</v>
      </c>
      <c r="W21" s="45">
        <f t="shared" si="16"/>
        <v>9.99999999997669E-2</v>
      </c>
      <c r="X21" s="29">
        <v>11.915699999999999</v>
      </c>
      <c r="Y21" s="43">
        <f t="shared" si="17"/>
        <v>-0.20000000000130999</v>
      </c>
      <c r="Z21" s="44">
        <f t="shared" si="18"/>
        <v>-2.7000000000008102</v>
      </c>
      <c r="AA21" s="45">
        <f t="shared" si="19"/>
        <v>-0.100000000000655</v>
      </c>
      <c r="AB21" s="49">
        <v>8.6686000000000103</v>
      </c>
      <c r="AC21" s="43">
        <f t="shared" si="20"/>
        <v>-0.19999999999953399</v>
      </c>
      <c r="AD21" s="44">
        <f t="shared" si="21"/>
        <v>-2.49999999998884</v>
      </c>
      <c r="AE21" s="45">
        <f t="shared" si="22"/>
        <v>-9.99999999997669E-2</v>
      </c>
      <c r="AF21" s="50">
        <v>79130</v>
      </c>
      <c r="AG21" s="58">
        <f t="shared" si="4"/>
        <v>85</v>
      </c>
      <c r="AH21" s="61"/>
      <c r="AI21" s="52"/>
    </row>
    <row r="22" spans="1:35">
      <c r="A22" s="21">
        <v>44480</v>
      </c>
      <c r="B22" s="22">
        <v>789.24300000000005</v>
      </c>
      <c r="C22" s="27">
        <v>5.6768000000000001</v>
      </c>
      <c r="D22" s="23">
        <f t="shared" si="0"/>
        <v>794.91980000000001</v>
      </c>
      <c r="E22" s="24">
        <f t="shared" si="5"/>
        <v>9.9999999974897905E-2</v>
      </c>
      <c r="F22" s="25">
        <f t="shared" si="6"/>
        <v>-2.70000000000437</v>
      </c>
      <c r="G22" s="26">
        <f t="shared" si="7"/>
        <v>4.9999999987449001E-2</v>
      </c>
      <c r="H22" s="6">
        <v>6.7835999999999901</v>
      </c>
      <c r="I22" s="35">
        <f t="shared" si="1"/>
        <v>796.02660000000003</v>
      </c>
      <c r="J22" s="24">
        <f t="shared" si="8"/>
        <v>-0.60000000007676102</v>
      </c>
      <c r="K22" s="25">
        <f t="shared" si="9"/>
        <v>-3.1000000000176402</v>
      </c>
      <c r="L22" s="26">
        <f t="shared" si="10"/>
        <v>-0.30000000003838101</v>
      </c>
      <c r="M22" s="6">
        <v>5.7131999999999996</v>
      </c>
      <c r="N22" s="35">
        <f t="shared" si="2"/>
        <v>794.95619999999997</v>
      </c>
      <c r="O22" s="24">
        <f t="shared" si="11"/>
        <v>-9.9999999974897905E-2</v>
      </c>
      <c r="P22" s="25">
        <f t="shared" si="12"/>
        <v>-1.8000000000029099</v>
      </c>
      <c r="Q22" s="26">
        <f t="shared" si="13"/>
        <v>-4.9999999987449001E-2</v>
      </c>
      <c r="R22" s="41"/>
      <c r="S22" s="21">
        <f t="shared" si="3"/>
        <v>44480</v>
      </c>
      <c r="T22" s="42">
        <v>9.1227999999999998</v>
      </c>
      <c r="U22" s="43">
        <f t="shared" si="14"/>
        <v>-0.100000000010425</v>
      </c>
      <c r="V22" s="44">
        <f t="shared" si="15"/>
        <v>-3.0999999999998802</v>
      </c>
      <c r="W22" s="45">
        <f t="shared" si="16"/>
        <v>5.00000000052125E-2</v>
      </c>
      <c r="X22" s="29">
        <v>11.915800000000001</v>
      </c>
      <c r="Y22" s="43">
        <f t="shared" si="17"/>
        <v>0.10000000000154299</v>
      </c>
      <c r="Z22" s="44">
        <f t="shared" si="18"/>
        <v>-2.59999999999927</v>
      </c>
      <c r="AA22" s="45">
        <f t="shared" si="19"/>
        <v>5.0000000000771601E-2</v>
      </c>
      <c r="AB22" s="49">
        <v>8.6682000000000006</v>
      </c>
      <c r="AC22" s="43">
        <f t="shared" si="20"/>
        <v>-0.40000000000972602</v>
      </c>
      <c r="AD22" s="44">
        <f t="shared" si="21"/>
        <v>-2.8999999999985699</v>
      </c>
      <c r="AE22" s="45">
        <f t="shared" si="22"/>
        <v>-0.20000000000486301</v>
      </c>
      <c r="AF22" s="50">
        <v>79133</v>
      </c>
      <c r="AG22" s="58">
        <f t="shared" si="4"/>
        <v>88</v>
      </c>
      <c r="AH22" s="61"/>
      <c r="AI22" s="52"/>
    </row>
    <row r="23" spans="1:35">
      <c r="A23" s="21">
        <v>44482</v>
      </c>
      <c r="B23" s="22">
        <v>789.24300000000005</v>
      </c>
      <c r="C23" s="27">
        <v>5.6762999999999897</v>
      </c>
      <c r="D23" s="23">
        <f t="shared" si="0"/>
        <v>794.91930000000002</v>
      </c>
      <c r="E23" s="24">
        <f t="shared" si="5"/>
        <v>-0.49999999998817701</v>
      </c>
      <c r="F23" s="25">
        <f t="shared" si="6"/>
        <v>-3.1999999999925399</v>
      </c>
      <c r="G23" s="26">
        <f t="shared" si="7"/>
        <v>-0.24999999999408801</v>
      </c>
      <c r="H23" s="6">
        <v>6.7833999999999897</v>
      </c>
      <c r="I23" s="35">
        <f t="shared" si="1"/>
        <v>796.02639999999997</v>
      </c>
      <c r="J23" s="24">
        <f t="shared" si="8"/>
        <v>-0.199999999949796</v>
      </c>
      <c r="K23" s="25">
        <f t="shared" si="9"/>
        <v>-3.2999999999674401</v>
      </c>
      <c r="L23" s="26">
        <f t="shared" si="10"/>
        <v>-9.9999999974897905E-2</v>
      </c>
      <c r="M23" s="6">
        <v>5.7130000000000001</v>
      </c>
      <c r="N23" s="35">
        <f t="shared" si="2"/>
        <v>794.95600000000002</v>
      </c>
      <c r="O23" s="24">
        <f t="shared" si="11"/>
        <v>-0.20000000006348301</v>
      </c>
      <c r="P23" s="25">
        <f t="shared" si="12"/>
        <v>-2.00000000006639</v>
      </c>
      <c r="Q23" s="26">
        <f t="shared" si="13"/>
        <v>-0.100000000031741</v>
      </c>
      <c r="S23" s="21">
        <f t="shared" si="3"/>
        <v>44482</v>
      </c>
      <c r="T23" s="42">
        <v>9.1225000000000094</v>
      </c>
      <c r="U23" s="43">
        <f t="shared" si="14"/>
        <v>-0.29999999999041899</v>
      </c>
      <c r="V23" s="44">
        <f t="shared" si="15"/>
        <v>-3.3999999999903001</v>
      </c>
      <c r="W23" s="45">
        <f t="shared" si="16"/>
        <v>0.14999999999520999</v>
      </c>
      <c r="X23" s="29">
        <v>11.9153</v>
      </c>
      <c r="Y23" s="43">
        <f t="shared" si="17"/>
        <v>-0.50000000000061096</v>
      </c>
      <c r="Z23" s="44">
        <f t="shared" si="18"/>
        <v>-3.0999999999998802</v>
      </c>
      <c r="AA23" s="45">
        <f t="shared" si="19"/>
        <v>-0.25000000000030598</v>
      </c>
      <c r="AB23" s="49">
        <v>8.6682000000000095</v>
      </c>
      <c r="AC23" s="43">
        <f t="shared" si="20"/>
        <v>8.8817841970012507E-12</v>
      </c>
      <c r="AD23" s="44">
        <f t="shared" si="21"/>
        <v>-2.8999999999896899</v>
      </c>
      <c r="AE23" s="45">
        <f t="shared" si="22"/>
        <v>4.4408920985006302E-12</v>
      </c>
      <c r="AF23" s="50">
        <v>79136</v>
      </c>
      <c r="AG23" s="58">
        <f t="shared" si="4"/>
        <v>91</v>
      </c>
      <c r="AH23" s="61"/>
      <c r="AI23" s="52"/>
    </row>
    <row r="24" spans="1:35">
      <c r="A24" s="21">
        <v>44484</v>
      </c>
      <c r="B24" s="22">
        <v>789.24300000000005</v>
      </c>
      <c r="C24" s="27">
        <v>5.6760999999999902</v>
      </c>
      <c r="D24" s="23">
        <f t="shared" si="0"/>
        <v>794.91909999999996</v>
      </c>
      <c r="E24" s="24">
        <f t="shared" si="5"/>
        <v>-0.199999999949796</v>
      </c>
      <c r="F24" s="25">
        <f t="shared" si="6"/>
        <v>-3.3999999999423398</v>
      </c>
      <c r="G24" s="26">
        <f t="shared" si="7"/>
        <v>-9.9999999974897905E-2</v>
      </c>
      <c r="H24" s="6">
        <v>6.7835000000000001</v>
      </c>
      <c r="I24" s="35">
        <f t="shared" si="1"/>
        <v>796.02650000000006</v>
      </c>
      <c r="J24" s="24">
        <f t="shared" si="8"/>
        <v>9.9999999974897905E-2</v>
      </c>
      <c r="K24" s="25">
        <f t="shared" si="9"/>
        <v>-3.1999999999925399</v>
      </c>
      <c r="L24" s="26">
        <f t="shared" si="10"/>
        <v>4.9999999987449001E-2</v>
      </c>
      <c r="M24" s="6">
        <v>5.7130000000000001</v>
      </c>
      <c r="N24" s="35">
        <f t="shared" si="2"/>
        <v>794.95600000000002</v>
      </c>
      <c r="O24" s="24">
        <f t="shared" si="11"/>
        <v>0</v>
      </c>
      <c r="P24" s="25">
        <f t="shared" si="12"/>
        <v>-2.00000000006639</v>
      </c>
      <c r="Q24" s="26">
        <f t="shared" si="13"/>
        <v>0</v>
      </c>
      <c r="S24" s="21">
        <f t="shared" si="3"/>
        <v>44484</v>
      </c>
      <c r="T24" s="42">
        <v>9.1223000000000098</v>
      </c>
      <c r="U24" s="43">
        <f t="shared" si="14"/>
        <v>-0.19999999999953399</v>
      </c>
      <c r="V24" s="44">
        <f t="shared" si="15"/>
        <v>-3.59999999998983</v>
      </c>
      <c r="W24" s="45">
        <f t="shared" si="16"/>
        <v>9.99999999997669E-2</v>
      </c>
      <c r="X24" s="29">
        <v>11.915100000000001</v>
      </c>
      <c r="Y24" s="43">
        <f t="shared" si="17"/>
        <v>-0.19999999999953399</v>
      </c>
      <c r="Z24" s="44">
        <f t="shared" si="18"/>
        <v>-3.2999999999994101</v>
      </c>
      <c r="AA24" s="45">
        <f t="shared" si="19"/>
        <v>-9.99999999997669E-2</v>
      </c>
      <c r="AB24" s="49">
        <v>8.6680000000000099</v>
      </c>
      <c r="AC24" s="43">
        <f t="shared" si="20"/>
        <v>-0.19999999999953399</v>
      </c>
      <c r="AD24" s="44">
        <f t="shared" si="21"/>
        <v>-3.0999999999892198</v>
      </c>
      <c r="AE24" s="45">
        <f t="shared" si="22"/>
        <v>-9.99999999997669E-2</v>
      </c>
      <c r="AF24" s="50">
        <v>79139</v>
      </c>
      <c r="AG24" s="58">
        <f t="shared" si="4"/>
        <v>94</v>
      </c>
      <c r="AH24" s="61"/>
      <c r="AI24" s="52"/>
    </row>
    <row r="25" spans="1:35">
      <c r="A25" s="21">
        <v>44486</v>
      </c>
      <c r="B25" s="22">
        <v>789.24300000000005</v>
      </c>
      <c r="C25" s="27">
        <v>5.6761999999999997</v>
      </c>
      <c r="D25" s="23">
        <f t="shared" si="0"/>
        <v>794.91920000000005</v>
      </c>
      <c r="E25" s="24">
        <f t="shared" si="5"/>
        <v>9.9999999974897905E-2</v>
      </c>
      <c r="F25" s="25">
        <f t="shared" si="6"/>
        <v>-3.2999999999674401</v>
      </c>
      <c r="G25" s="26">
        <f t="shared" si="7"/>
        <v>4.9999999987449001E-2</v>
      </c>
      <c r="H25" s="6">
        <v>6.7836999999999996</v>
      </c>
      <c r="I25" s="35">
        <f t="shared" si="1"/>
        <v>796.02670000000001</v>
      </c>
      <c r="J25" s="24">
        <f t="shared" si="8"/>
        <v>0.199999999949796</v>
      </c>
      <c r="K25" s="25">
        <f t="shared" si="9"/>
        <v>-3.0000000000427498</v>
      </c>
      <c r="L25" s="26">
        <f t="shared" si="10"/>
        <v>9.9999999974897905E-2</v>
      </c>
      <c r="M25" s="6">
        <v>5.7129000000000003</v>
      </c>
      <c r="N25" s="35">
        <f t="shared" si="2"/>
        <v>794.95590000000004</v>
      </c>
      <c r="O25" s="24">
        <f t="shared" si="11"/>
        <v>-9.9999999974897905E-2</v>
      </c>
      <c r="P25" s="25">
        <f t="shared" si="12"/>
        <v>-2.1000000000412902</v>
      </c>
      <c r="Q25" s="26">
        <f t="shared" si="13"/>
        <v>-4.9999999987449001E-2</v>
      </c>
      <c r="R25" s="41"/>
      <c r="S25" s="21">
        <f t="shared" si="3"/>
        <v>44486</v>
      </c>
      <c r="T25" s="42">
        <v>9.1219999999999999</v>
      </c>
      <c r="U25" s="43">
        <f t="shared" si="14"/>
        <v>-0.30000000000995902</v>
      </c>
      <c r="V25" s="44">
        <f t="shared" si="15"/>
        <v>-3.8999999999997899</v>
      </c>
      <c r="W25" s="45">
        <f t="shared" si="16"/>
        <v>0.15000000000497901</v>
      </c>
      <c r="X25" s="29">
        <v>11.9152</v>
      </c>
      <c r="Y25" s="43">
        <f t="shared" si="17"/>
        <v>9.99999999997669E-2</v>
      </c>
      <c r="Z25" s="44">
        <f t="shared" si="18"/>
        <v>-3.1999999999996498</v>
      </c>
      <c r="AA25" s="45">
        <f t="shared" si="19"/>
        <v>4.9999999999883499E-2</v>
      </c>
      <c r="AB25" s="49">
        <v>8.6681000000000008</v>
      </c>
      <c r="AC25" s="43">
        <f t="shared" si="20"/>
        <v>9.9999999990885199E-2</v>
      </c>
      <c r="AD25" s="44">
        <f t="shared" si="21"/>
        <v>-2.99999999999834</v>
      </c>
      <c r="AE25" s="45">
        <f t="shared" si="22"/>
        <v>4.99999999954426E-2</v>
      </c>
      <c r="AF25" s="50">
        <v>79142</v>
      </c>
      <c r="AG25" s="58">
        <f t="shared" si="4"/>
        <v>97</v>
      </c>
      <c r="AH25" s="61"/>
      <c r="AI25" s="52"/>
    </row>
    <row r="26" spans="1:35">
      <c r="A26" s="21">
        <v>44488</v>
      </c>
      <c r="B26" s="22">
        <v>789.24300000000005</v>
      </c>
      <c r="C26" s="27">
        <v>5.6764999999999999</v>
      </c>
      <c r="D26" s="23">
        <f t="shared" si="0"/>
        <v>794.91949999999997</v>
      </c>
      <c r="E26" s="24">
        <f t="shared" si="5"/>
        <v>0.30000000003838101</v>
      </c>
      <c r="F26" s="25">
        <f t="shared" si="6"/>
        <v>-2.9999999999290599</v>
      </c>
      <c r="G26" s="26">
        <f t="shared" si="7"/>
        <v>0.15000000001919001</v>
      </c>
      <c r="H26" s="6">
        <v>6.7835999999999999</v>
      </c>
      <c r="I26" s="35">
        <f t="shared" si="1"/>
        <v>796.02660000000003</v>
      </c>
      <c r="J26" s="24">
        <f t="shared" si="8"/>
        <v>-9.9999999974897905E-2</v>
      </c>
      <c r="K26" s="25">
        <f t="shared" si="9"/>
        <v>-3.1000000000176402</v>
      </c>
      <c r="L26" s="26">
        <f t="shared" si="10"/>
        <v>-4.9999999987449001E-2</v>
      </c>
      <c r="M26" s="6">
        <v>5.7130999999999998</v>
      </c>
      <c r="N26" s="35">
        <f t="shared" si="2"/>
        <v>794.95609999999999</v>
      </c>
      <c r="O26" s="24">
        <f t="shared" si="11"/>
        <v>0.20000000006348301</v>
      </c>
      <c r="P26" s="25">
        <f t="shared" si="12"/>
        <v>-1.8999999999778101</v>
      </c>
      <c r="Q26" s="26">
        <f t="shared" si="13"/>
        <v>0.100000000031741</v>
      </c>
      <c r="R26" s="41"/>
      <c r="S26" s="21">
        <f t="shared" si="3"/>
        <v>44488</v>
      </c>
      <c r="T26" s="42">
        <v>9.1224000000000007</v>
      </c>
      <c r="U26" s="43">
        <f t="shared" si="14"/>
        <v>0.40000000000084401</v>
      </c>
      <c r="V26" s="44">
        <f t="shared" si="15"/>
        <v>-3.4999999999989502</v>
      </c>
      <c r="W26" s="45">
        <f t="shared" si="16"/>
        <v>-0.20000000000042201</v>
      </c>
      <c r="X26" s="29">
        <v>11.9153</v>
      </c>
      <c r="Y26" s="43">
        <f t="shared" si="17"/>
        <v>9.99999999997669E-2</v>
      </c>
      <c r="Z26" s="44">
        <f t="shared" si="18"/>
        <v>-3.0999999999998802</v>
      </c>
      <c r="AA26" s="45">
        <f t="shared" si="19"/>
        <v>4.9999999999883499E-2</v>
      </c>
      <c r="AB26" s="49">
        <v>8.6683000000000003</v>
      </c>
      <c r="AC26" s="43">
        <f t="shared" si="20"/>
        <v>0.19999999999953399</v>
      </c>
      <c r="AD26" s="44">
        <f t="shared" si="21"/>
        <v>-2.7999999999987999</v>
      </c>
      <c r="AE26" s="45">
        <f t="shared" si="22"/>
        <v>9.99999999997669E-2</v>
      </c>
      <c r="AF26" s="50">
        <v>79145</v>
      </c>
      <c r="AG26" s="58">
        <f t="shared" si="4"/>
        <v>100</v>
      </c>
      <c r="AH26" s="61"/>
      <c r="AI26" s="60"/>
    </row>
    <row r="27" spans="1:35">
      <c r="A27" s="21">
        <v>44490</v>
      </c>
      <c r="B27" s="22">
        <v>789.24300000000005</v>
      </c>
      <c r="C27" s="27">
        <v>5.6763000000000003</v>
      </c>
      <c r="D27" s="23">
        <f t="shared" si="0"/>
        <v>794.91930000000002</v>
      </c>
      <c r="E27" s="24">
        <f t="shared" si="5"/>
        <v>-0.20000000006348301</v>
      </c>
      <c r="F27" s="25">
        <f t="shared" si="6"/>
        <v>-3.1999999999925399</v>
      </c>
      <c r="G27" s="26">
        <f t="shared" si="7"/>
        <v>-0.100000000031741</v>
      </c>
      <c r="H27" s="6">
        <v>6.7827999999999999</v>
      </c>
      <c r="I27" s="35">
        <f t="shared" si="1"/>
        <v>796.0258</v>
      </c>
      <c r="J27" s="24">
        <f t="shared" si="8"/>
        <v>-0.80000000002655702</v>
      </c>
      <c r="K27" s="25">
        <f t="shared" si="9"/>
        <v>-3.9000000000442001</v>
      </c>
      <c r="L27" s="26">
        <f t="shared" si="10"/>
        <v>-0.40000000001327901</v>
      </c>
      <c r="M27" s="6">
        <v>5.7133000000000003</v>
      </c>
      <c r="N27" s="35">
        <f t="shared" si="2"/>
        <v>794.95630000000006</v>
      </c>
      <c r="O27" s="24">
        <f t="shared" si="11"/>
        <v>0.199999999949796</v>
      </c>
      <c r="P27" s="25">
        <f t="shared" si="12"/>
        <v>-1.70000000002801</v>
      </c>
      <c r="Q27" s="26">
        <f t="shared" si="13"/>
        <v>9.9999999974897905E-2</v>
      </c>
      <c r="R27" s="41"/>
      <c r="S27" s="21">
        <f t="shared" si="3"/>
        <v>44490</v>
      </c>
      <c r="T27" s="42">
        <v>9.1227</v>
      </c>
      <c r="U27" s="43">
        <f t="shared" si="14"/>
        <v>0.29999999999930099</v>
      </c>
      <c r="V27" s="44">
        <f t="shared" si="15"/>
        <v>-3.1999999999996498</v>
      </c>
      <c r="W27" s="45">
        <f t="shared" si="16"/>
        <v>-0.14999999999965</v>
      </c>
      <c r="X27" s="29">
        <v>11.9155</v>
      </c>
      <c r="Y27" s="43">
        <f t="shared" si="17"/>
        <v>0.19999999999953399</v>
      </c>
      <c r="Z27" s="44">
        <f t="shared" si="18"/>
        <v>-2.9000000000003499</v>
      </c>
      <c r="AA27" s="45">
        <f t="shared" si="19"/>
        <v>9.99999999997669E-2</v>
      </c>
      <c r="AB27" s="49">
        <v>8.6681000000000008</v>
      </c>
      <c r="AC27" s="43">
        <f t="shared" si="20"/>
        <v>-0.19999999999953399</v>
      </c>
      <c r="AD27" s="44">
        <f t="shared" si="21"/>
        <v>-2.99999999999834</v>
      </c>
      <c r="AE27" s="45">
        <f t="shared" si="22"/>
        <v>-9.99999999997669E-2</v>
      </c>
      <c r="AF27" s="50">
        <v>79148</v>
      </c>
      <c r="AG27" s="58">
        <f t="shared" si="4"/>
        <v>103</v>
      </c>
      <c r="AH27" s="61"/>
      <c r="AI27" s="60"/>
    </row>
    <row r="28" spans="1:35">
      <c r="A28" s="21">
        <v>44492</v>
      </c>
      <c r="B28" s="22">
        <v>789.24300000000005</v>
      </c>
      <c r="C28" s="27">
        <v>5.6765999999999996</v>
      </c>
      <c r="D28" s="23">
        <f t="shared" si="0"/>
        <v>794.91959999999995</v>
      </c>
      <c r="E28" s="24">
        <f t="shared" si="5"/>
        <v>0.30000000003838101</v>
      </c>
      <c r="F28" s="25">
        <f t="shared" si="6"/>
        <v>-2.8999999999541601</v>
      </c>
      <c r="G28" s="26">
        <f t="shared" si="7"/>
        <v>0.15000000001919001</v>
      </c>
      <c r="H28" s="6">
        <v>6.7835999999999999</v>
      </c>
      <c r="I28" s="35">
        <f t="shared" si="1"/>
        <v>796.02660000000003</v>
      </c>
      <c r="J28" s="24">
        <f t="shared" si="8"/>
        <v>0.80000000002655702</v>
      </c>
      <c r="K28" s="25">
        <f t="shared" si="9"/>
        <v>-3.1000000000176402</v>
      </c>
      <c r="L28" s="26">
        <f t="shared" si="10"/>
        <v>0.40000000001327901</v>
      </c>
      <c r="M28" s="6">
        <v>5.7131999999999996</v>
      </c>
      <c r="N28" s="35">
        <f t="shared" si="2"/>
        <v>794.95619999999997</v>
      </c>
      <c r="O28" s="24">
        <f t="shared" si="11"/>
        <v>-9.9999999974897905E-2</v>
      </c>
      <c r="P28" s="25">
        <f t="shared" si="12"/>
        <v>-1.8000000000029099</v>
      </c>
      <c r="Q28" s="26">
        <f t="shared" si="13"/>
        <v>-4.9999999987449001E-2</v>
      </c>
      <c r="R28" s="41"/>
      <c r="S28" s="21">
        <f t="shared" si="3"/>
        <v>44492</v>
      </c>
      <c r="T28" s="42">
        <v>9.1220999999999997</v>
      </c>
      <c r="U28" s="43">
        <f t="shared" si="14"/>
        <v>-0.60000000000037801</v>
      </c>
      <c r="V28" s="44">
        <f t="shared" si="15"/>
        <v>-3.80000000000003</v>
      </c>
      <c r="W28" s="45">
        <f t="shared" si="16"/>
        <v>0.300000000000189</v>
      </c>
      <c r="X28" s="29">
        <v>11.9152</v>
      </c>
      <c r="Y28" s="43">
        <f t="shared" si="17"/>
        <v>-0.29999999999930099</v>
      </c>
      <c r="Z28" s="44">
        <f t="shared" si="18"/>
        <v>-3.1999999999996498</v>
      </c>
      <c r="AA28" s="45">
        <f t="shared" si="19"/>
        <v>-0.14999999999965</v>
      </c>
      <c r="AB28" s="49">
        <v>8.6682000000000006</v>
      </c>
      <c r="AC28" s="43">
        <f t="shared" si="20"/>
        <v>9.99999999997669E-2</v>
      </c>
      <c r="AD28" s="44">
        <f t="shared" si="21"/>
        <v>-2.8999999999985699</v>
      </c>
      <c r="AE28" s="45">
        <f t="shared" si="22"/>
        <v>4.9999999999883499E-2</v>
      </c>
      <c r="AF28" s="50">
        <v>79151</v>
      </c>
      <c r="AG28" s="58">
        <f t="shared" si="4"/>
        <v>106</v>
      </c>
      <c r="AH28" s="61"/>
      <c r="AI28" s="60"/>
    </row>
    <row r="29" spans="1:35">
      <c r="A29" s="21">
        <v>44494</v>
      </c>
      <c r="B29" s="22">
        <v>789.24300000000005</v>
      </c>
      <c r="C29" s="27">
        <v>5.6768000000000001</v>
      </c>
      <c r="D29" s="23">
        <f t="shared" si="0"/>
        <v>794.91980000000001</v>
      </c>
      <c r="E29" s="24">
        <f t="shared" si="5"/>
        <v>0.199999999949796</v>
      </c>
      <c r="F29" s="25">
        <f t="shared" si="6"/>
        <v>-2.70000000000437</v>
      </c>
      <c r="G29" s="26">
        <f t="shared" si="7"/>
        <v>9.9999999974897905E-2</v>
      </c>
      <c r="H29" s="6">
        <v>6.7835000000000001</v>
      </c>
      <c r="I29" s="35">
        <f t="shared" si="1"/>
        <v>796.02650000000006</v>
      </c>
      <c r="J29" s="24">
        <f t="shared" si="8"/>
        <v>-9.9999999974897905E-2</v>
      </c>
      <c r="K29" s="25">
        <f t="shared" si="9"/>
        <v>-3.1999999999925399</v>
      </c>
      <c r="L29" s="26">
        <f t="shared" si="10"/>
        <v>-4.9999999987449001E-2</v>
      </c>
      <c r="M29" s="6">
        <v>5.7133000000000003</v>
      </c>
      <c r="N29" s="35">
        <f t="shared" si="2"/>
        <v>794.95630000000006</v>
      </c>
      <c r="O29" s="24">
        <f t="shared" si="11"/>
        <v>9.9999999974897905E-2</v>
      </c>
      <c r="P29" s="25">
        <f t="shared" si="12"/>
        <v>-1.70000000002801</v>
      </c>
      <c r="Q29" s="26">
        <f t="shared" si="13"/>
        <v>4.9999999987449001E-2</v>
      </c>
      <c r="R29" s="41"/>
      <c r="S29" s="21">
        <f t="shared" si="3"/>
        <v>44494</v>
      </c>
      <c r="T29" s="42">
        <v>9.1227999999999998</v>
      </c>
      <c r="U29" s="43">
        <f t="shared" si="14"/>
        <v>0.70000000000014495</v>
      </c>
      <c r="V29" s="44">
        <f t="shared" si="15"/>
        <v>-3.0999999999998802</v>
      </c>
      <c r="W29" s="45">
        <f t="shared" si="16"/>
        <v>-0.35000000000007198</v>
      </c>
      <c r="X29" s="29">
        <v>11.9154</v>
      </c>
      <c r="Y29" s="43">
        <f t="shared" si="17"/>
        <v>0.19999999999953399</v>
      </c>
      <c r="Z29" s="44">
        <f t="shared" si="18"/>
        <v>-3.0000000000001101</v>
      </c>
      <c r="AA29" s="45">
        <f t="shared" si="19"/>
        <v>9.99999999997669E-2</v>
      </c>
      <c r="AB29" s="49">
        <v>8.6684999999999999</v>
      </c>
      <c r="AC29" s="43">
        <f t="shared" si="20"/>
        <v>0.29999999999930099</v>
      </c>
      <c r="AD29" s="44">
        <f t="shared" si="21"/>
        <v>-2.59999999999927</v>
      </c>
      <c r="AE29" s="45">
        <f t="shared" si="22"/>
        <v>0.14999999999965</v>
      </c>
      <c r="AF29" s="50">
        <v>79154</v>
      </c>
      <c r="AG29" s="58">
        <f t="shared" si="4"/>
        <v>109</v>
      </c>
      <c r="AH29" s="61"/>
      <c r="AI29" s="60"/>
    </row>
    <row r="30" spans="1:35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</row>
    <row r="31" spans="1:35">
      <c r="A31" s="21"/>
      <c r="B31" s="22"/>
      <c r="C31" s="27"/>
      <c r="D31" s="23"/>
      <c r="E31" s="65">
        <f>F29-F26</f>
        <v>0.29999999992469401</v>
      </c>
      <c r="F31" s="33">
        <f>K29-K26</f>
        <v>-9.9999999974897905E-2</v>
      </c>
      <c r="G31" s="33">
        <f>P29-P26</f>
        <v>0.199999999949796</v>
      </c>
      <c r="H31" s="68">
        <f>F29</f>
        <v>-2.70000000000437</v>
      </c>
      <c r="I31" s="69">
        <f>K29</f>
        <v>-3.1999999999925399</v>
      </c>
      <c r="J31" s="65">
        <f>P29</f>
        <v>-1.70000000002801</v>
      </c>
      <c r="K31" s="33">
        <f>(F29-F26)/7</f>
        <v>4.2857142846384803E-2</v>
      </c>
      <c r="L31" s="26"/>
      <c r="N31" s="35"/>
      <c r="O31" s="24"/>
      <c r="P31" s="25"/>
      <c r="Q31" s="26"/>
      <c r="R31" s="41"/>
      <c r="S31" s="21"/>
      <c r="T31" s="42"/>
      <c r="U31" s="65">
        <f>V29-V26</f>
        <v>0.39999999999906799</v>
      </c>
      <c r="V31" s="33">
        <f>Z29-Z26</f>
        <v>9.99999999997669E-2</v>
      </c>
      <c r="W31" s="33">
        <f>AD29-AD26</f>
        <v>0.19999999999953399</v>
      </c>
      <c r="X31" s="33">
        <f>V29</f>
        <v>-3.0999999999998802</v>
      </c>
      <c r="Y31" s="65">
        <f>Z29</f>
        <v>-3.0000000000001101</v>
      </c>
      <c r="Z31" s="33">
        <f>AD29</f>
        <v>-2.59999999999927</v>
      </c>
      <c r="AA31" s="33">
        <f>(V29-V26)/7</f>
        <v>5.7142857142723998E-2</v>
      </c>
      <c r="AB31" s="49"/>
      <c r="AC31" s="43"/>
      <c r="AD31" s="44"/>
      <c r="AE31" s="45"/>
      <c r="AF31" s="50"/>
      <c r="AG31" s="58"/>
      <c r="AH31" s="61"/>
      <c r="AI31" s="60"/>
    </row>
    <row r="32" spans="1:35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</row>
    <row r="33" spans="1:35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</row>
    <row r="34" spans="1:35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</row>
    <row r="35" spans="1:35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</row>
    <row r="36" spans="1:35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5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5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5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5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5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5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5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5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5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5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5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5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J53"/>
  <sheetViews>
    <sheetView topLeftCell="A7" workbookViewId="0">
      <selection activeCell="P6" sqref="F6:F28 K6:K28 P6:P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6" width="9" style="10"/>
  </cols>
  <sheetData>
    <row r="1" spans="1:36" ht="22.5">
      <c r="A1" s="74" t="s">
        <v>25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</row>
    <row r="2" spans="1:36">
      <c r="A2" s="12" t="s">
        <v>1</v>
      </c>
      <c r="B2" s="12"/>
      <c r="C2" s="79">
        <v>44469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</row>
    <row r="3" spans="1:36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</row>
    <row r="4" spans="1:36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</row>
    <row r="5" spans="1:36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</row>
    <row r="6" spans="1:36">
      <c r="A6" s="21">
        <v>44469</v>
      </c>
      <c r="B6" s="22">
        <v>789.24300000000005</v>
      </c>
      <c r="C6" s="27">
        <v>5.8708</v>
      </c>
      <c r="D6" s="23">
        <f t="shared" ref="D6:D23" si="0">C6+B6</f>
        <v>795.11379999999997</v>
      </c>
      <c r="E6" s="24">
        <v>0</v>
      </c>
      <c r="F6" s="25">
        <v>0</v>
      </c>
      <c r="G6" s="26">
        <v>0</v>
      </c>
      <c r="H6" s="6">
        <v>7.0423999999999998</v>
      </c>
      <c r="I6" s="35">
        <f t="shared" ref="I6:I23" si="1">H6+B6</f>
        <v>796.28539999999998</v>
      </c>
      <c r="J6" s="24">
        <v>0</v>
      </c>
      <c r="K6" s="25">
        <v>0</v>
      </c>
      <c r="L6" s="26">
        <v>0</v>
      </c>
      <c r="M6" s="6">
        <v>6.0073999999999996</v>
      </c>
      <c r="N6" s="35">
        <f t="shared" ref="N6:N23" si="2">M6+B6</f>
        <v>795.25040000000001</v>
      </c>
      <c r="O6" s="24">
        <v>0</v>
      </c>
      <c r="P6" s="25">
        <v>0</v>
      </c>
      <c r="Q6" s="26">
        <v>0</v>
      </c>
      <c r="R6" s="41"/>
      <c r="S6" s="21">
        <f t="shared" ref="S6:S23" si="3">A6</f>
        <v>44469</v>
      </c>
      <c r="T6" s="42">
        <v>9.1081000000000003</v>
      </c>
      <c r="U6" s="43">
        <v>0</v>
      </c>
      <c r="V6" s="44">
        <v>0</v>
      </c>
      <c r="W6" s="45">
        <f>U6/(S6-S11)</f>
        <v>0</v>
      </c>
      <c r="X6" s="29">
        <v>12.128</v>
      </c>
      <c r="Y6" s="43">
        <v>0</v>
      </c>
      <c r="Z6" s="44">
        <v>0</v>
      </c>
      <c r="AA6" s="45">
        <v>0</v>
      </c>
      <c r="AB6" s="49">
        <v>9.0145999999999997</v>
      </c>
      <c r="AC6" s="43">
        <v>0</v>
      </c>
      <c r="AD6" s="44">
        <v>0</v>
      </c>
      <c r="AE6" s="45">
        <v>0</v>
      </c>
      <c r="AF6" s="50">
        <v>79085</v>
      </c>
      <c r="AG6" s="58">
        <f t="shared" ref="AG6:AG23" si="4">AF6-79079</f>
        <v>6</v>
      </c>
      <c r="AH6" s="59"/>
      <c r="AI6" s="60"/>
      <c r="AJ6" s="61"/>
    </row>
    <row r="7" spans="1:36">
      <c r="A7" s="21">
        <v>44470</v>
      </c>
      <c r="B7" s="22">
        <v>789.24300000000005</v>
      </c>
      <c r="C7" s="27">
        <v>5.8701999999999996</v>
      </c>
      <c r="D7" s="23">
        <f t="shared" si="0"/>
        <v>795.11320000000001</v>
      </c>
      <c r="E7" s="24">
        <f t="shared" ref="E7:E23" si="5">(D7-D6)*1000</f>
        <v>-0.60000000007676102</v>
      </c>
      <c r="F7" s="25">
        <f t="shared" ref="F7:F23" si="6">F6+E7</f>
        <v>-0.60000000007676102</v>
      </c>
      <c r="G7" s="26">
        <f t="shared" ref="G7:G23" si="7">E7/(A7-A6)</f>
        <v>-0.60000000007676102</v>
      </c>
      <c r="H7" s="6">
        <v>7.0425000000000004</v>
      </c>
      <c r="I7" s="35">
        <f t="shared" si="1"/>
        <v>796.28549999999996</v>
      </c>
      <c r="J7" s="24">
        <f t="shared" ref="J7:J23" si="8">(I7-I6)*1000</f>
        <v>9.9999999974897905E-2</v>
      </c>
      <c r="K7" s="25">
        <f t="shared" ref="K7:K23" si="9">K6+J7</f>
        <v>9.9999999974897905E-2</v>
      </c>
      <c r="L7" s="26">
        <f t="shared" ref="L7:L23" si="10">J7/(A7-A6)</f>
        <v>9.9999999974897905E-2</v>
      </c>
      <c r="M7" s="6">
        <v>6.0072000000000001</v>
      </c>
      <c r="N7" s="35">
        <f t="shared" si="2"/>
        <v>795.25019999999995</v>
      </c>
      <c r="O7" s="24">
        <f t="shared" ref="O7:O23" si="11">(N7-N6)*1000</f>
        <v>-0.199999999949796</v>
      </c>
      <c r="P7" s="25">
        <f t="shared" ref="P7:P23" si="12">P6+O7</f>
        <v>-0.199999999949796</v>
      </c>
      <c r="Q7" s="26">
        <f t="shared" ref="Q7:Q23" si="13">O7/(A7-A6)</f>
        <v>-0.199999999949796</v>
      </c>
      <c r="R7" s="41"/>
      <c r="S7" s="21">
        <f t="shared" si="3"/>
        <v>44470</v>
      </c>
      <c r="T7" s="42">
        <v>9.1084999999999994</v>
      </c>
      <c r="U7" s="43">
        <f t="shared" ref="U7:U23" si="14">(T7-T6)*1000</f>
        <v>0.39999999999906799</v>
      </c>
      <c r="V7" s="44">
        <f t="shared" ref="V7:V23" si="15">V6+U7</f>
        <v>0.39999999999906799</v>
      </c>
      <c r="W7" s="45">
        <f t="shared" ref="W7:W23" si="16">U7/(S6-S7)</f>
        <v>-0.39999999999906799</v>
      </c>
      <c r="X7" s="29">
        <v>12.128299999999999</v>
      </c>
      <c r="Y7" s="43">
        <f t="shared" ref="Y7:Y23" si="17">(X7-X6)*1000</f>
        <v>0.29999999999930099</v>
      </c>
      <c r="Z7" s="44">
        <f t="shared" ref="Z7:Z23" si="18">Z6+Y7</f>
        <v>0.29999999999930099</v>
      </c>
      <c r="AA7" s="45">
        <f t="shared" ref="AA7:AA23" si="19">Y7/(S7-S6)</f>
        <v>0.29999999999930099</v>
      </c>
      <c r="AB7" s="49">
        <v>9.0139999999999993</v>
      </c>
      <c r="AC7" s="43">
        <f t="shared" ref="AC7:AC23" si="20">(AB7-AB6)*1000</f>
        <v>-0.60000000000037801</v>
      </c>
      <c r="AD7" s="44">
        <f t="shared" ref="AD7:AD23" si="21">AD6+AC7</f>
        <v>-0.60000000000037801</v>
      </c>
      <c r="AE7" s="45">
        <f t="shared" ref="AE7:AE23" si="22">AC7/(S7-S6)</f>
        <v>-0.60000000000037801</v>
      </c>
      <c r="AF7" s="50">
        <v>79088</v>
      </c>
      <c r="AG7" s="58">
        <f t="shared" si="4"/>
        <v>9</v>
      </c>
      <c r="AH7" s="59"/>
      <c r="AI7" s="60"/>
      <c r="AJ7" s="61"/>
    </row>
    <row r="8" spans="1:36">
      <c r="A8" s="21">
        <v>44471</v>
      </c>
      <c r="B8" s="22">
        <v>789.24300000000005</v>
      </c>
      <c r="C8" s="27">
        <v>5.8704000000000001</v>
      </c>
      <c r="D8" s="23">
        <f t="shared" si="0"/>
        <v>795.11339999999996</v>
      </c>
      <c r="E8" s="24">
        <f t="shared" si="5"/>
        <v>0.20000000006348301</v>
      </c>
      <c r="F8" s="25">
        <f t="shared" si="6"/>
        <v>-0.40000000001327901</v>
      </c>
      <c r="G8" s="26">
        <f t="shared" si="7"/>
        <v>0.20000000006348301</v>
      </c>
      <c r="H8" s="6">
        <v>7.0423</v>
      </c>
      <c r="I8" s="35">
        <f t="shared" si="1"/>
        <v>796.28530000000001</v>
      </c>
      <c r="J8" s="24">
        <f t="shared" si="8"/>
        <v>-0.20000000006348301</v>
      </c>
      <c r="K8" s="25">
        <f t="shared" si="9"/>
        <v>-0.10000000008858501</v>
      </c>
      <c r="L8" s="26">
        <f t="shared" si="10"/>
        <v>-0.20000000006348301</v>
      </c>
      <c r="M8" s="6">
        <v>6.0069999999999997</v>
      </c>
      <c r="N8" s="35">
        <f t="shared" si="2"/>
        <v>795.25</v>
      </c>
      <c r="O8" s="24">
        <f t="shared" si="11"/>
        <v>-0.20000000006348301</v>
      </c>
      <c r="P8" s="25">
        <f t="shared" si="12"/>
        <v>-0.40000000001327901</v>
      </c>
      <c r="Q8" s="26">
        <f t="shared" si="13"/>
        <v>-0.20000000006348301</v>
      </c>
      <c r="R8" s="41"/>
      <c r="S8" s="21">
        <f t="shared" si="3"/>
        <v>44471</v>
      </c>
      <c r="T8" s="42">
        <v>9.1082999999999998</v>
      </c>
      <c r="U8" s="43">
        <f t="shared" si="14"/>
        <v>-0.19999999999953399</v>
      </c>
      <c r="V8" s="44">
        <f t="shared" si="15"/>
        <v>0.19999999999953399</v>
      </c>
      <c r="W8" s="45">
        <f t="shared" si="16"/>
        <v>0.19999999999953399</v>
      </c>
      <c r="X8" s="29">
        <v>12.1281</v>
      </c>
      <c r="Y8" s="43">
        <f t="shared" si="17"/>
        <v>-0.19999999999953399</v>
      </c>
      <c r="Z8" s="44">
        <f t="shared" si="18"/>
        <v>9.99999999997669E-2</v>
      </c>
      <c r="AA8" s="45">
        <f t="shared" si="19"/>
        <v>-0.19999999999953399</v>
      </c>
      <c r="AB8" s="49">
        <v>9.0142000000000007</v>
      </c>
      <c r="AC8" s="43">
        <f t="shared" si="20"/>
        <v>0.20000000000130999</v>
      </c>
      <c r="AD8" s="44">
        <f t="shared" si="21"/>
        <v>-0.39999999999906799</v>
      </c>
      <c r="AE8" s="45">
        <f t="shared" si="22"/>
        <v>0.20000000000130999</v>
      </c>
      <c r="AF8" s="50">
        <v>79091</v>
      </c>
      <c r="AG8" s="58">
        <f t="shared" si="4"/>
        <v>12</v>
      </c>
      <c r="AH8" s="59"/>
      <c r="AI8" s="60"/>
      <c r="AJ8" s="61"/>
    </row>
    <row r="9" spans="1:36">
      <c r="A9" s="21">
        <v>44472</v>
      </c>
      <c r="B9" s="22">
        <v>789.24300000000005</v>
      </c>
      <c r="C9" s="27">
        <v>5.8703000000000003</v>
      </c>
      <c r="D9" s="23">
        <f t="shared" si="0"/>
        <v>795.11329999999998</v>
      </c>
      <c r="E9" s="24">
        <f t="shared" si="5"/>
        <v>-9.9999999974897905E-2</v>
      </c>
      <c r="F9" s="25">
        <f t="shared" si="6"/>
        <v>-0.49999999998817701</v>
      </c>
      <c r="G9" s="26">
        <f t="shared" si="7"/>
        <v>-9.9999999974897905E-2</v>
      </c>
      <c r="H9" s="6">
        <v>7.0422000000000002</v>
      </c>
      <c r="I9" s="35">
        <f t="shared" si="1"/>
        <v>796.28520000000003</v>
      </c>
      <c r="J9" s="24">
        <f t="shared" si="8"/>
        <v>-9.9999999974897905E-2</v>
      </c>
      <c r="K9" s="25">
        <f t="shared" si="9"/>
        <v>-0.20000000006348301</v>
      </c>
      <c r="L9" s="26">
        <f t="shared" si="10"/>
        <v>-9.9999999974897905E-2</v>
      </c>
      <c r="M9" s="6">
        <v>6.0071000000000003</v>
      </c>
      <c r="N9" s="35">
        <f t="shared" si="2"/>
        <v>795.25009999999997</v>
      </c>
      <c r="O9" s="24">
        <f t="shared" si="11"/>
        <v>0.10000000008858501</v>
      </c>
      <c r="P9" s="25">
        <f t="shared" si="12"/>
        <v>-0.29999999992469401</v>
      </c>
      <c r="Q9" s="26">
        <f t="shared" si="13"/>
        <v>0.10000000008858501</v>
      </c>
      <c r="R9" s="41"/>
      <c r="S9" s="21">
        <f t="shared" si="3"/>
        <v>44472</v>
      </c>
      <c r="T9" s="42">
        <v>9.1082000000000001</v>
      </c>
      <c r="U9" s="43">
        <f t="shared" si="14"/>
        <v>-9.99999999997669E-2</v>
      </c>
      <c r="V9" s="44">
        <f t="shared" si="15"/>
        <v>9.99999999997669E-2</v>
      </c>
      <c r="W9" s="45">
        <f t="shared" si="16"/>
        <v>9.99999999997669E-2</v>
      </c>
      <c r="X9" s="29">
        <v>12.1279</v>
      </c>
      <c r="Y9" s="43">
        <f t="shared" si="17"/>
        <v>-0.19999999999953399</v>
      </c>
      <c r="Z9" s="44">
        <f t="shared" si="18"/>
        <v>-9.99999999997669E-2</v>
      </c>
      <c r="AA9" s="45">
        <f t="shared" si="19"/>
        <v>-0.19999999999953399</v>
      </c>
      <c r="AB9" s="49">
        <v>9.0139999999999993</v>
      </c>
      <c r="AC9" s="43">
        <f t="shared" si="20"/>
        <v>-0.20000000000130999</v>
      </c>
      <c r="AD9" s="44">
        <f t="shared" si="21"/>
        <v>-0.60000000000037801</v>
      </c>
      <c r="AE9" s="45">
        <f t="shared" si="22"/>
        <v>-0.20000000000130999</v>
      </c>
      <c r="AF9" s="50">
        <v>79094</v>
      </c>
      <c r="AG9" s="58">
        <f t="shared" si="4"/>
        <v>15</v>
      </c>
      <c r="AH9" s="59"/>
      <c r="AI9" s="60"/>
      <c r="AJ9" s="61"/>
    </row>
    <row r="10" spans="1:36">
      <c r="A10" s="21">
        <v>44473</v>
      </c>
      <c r="B10" s="22">
        <v>789.24300000000005</v>
      </c>
      <c r="C10" s="27">
        <v>5.8700999999999999</v>
      </c>
      <c r="D10" s="23">
        <f t="shared" si="0"/>
        <v>795.11310000000003</v>
      </c>
      <c r="E10" s="24">
        <f t="shared" si="5"/>
        <v>-0.20000000006348301</v>
      </c>
      <c r="F10" s="25">
        <f t="shared" si="6"/>
        <v>-0.70000000005165897</v>
      </c>
      <c r="G10" s="26">
        <f t="shared" si="7"/>
        <v>-0.20000000006348301</v>
      </c>
      <c r="H10" s="6">
        <v>7.0419999999999998</v>
      </c>
      <c r="I10" s="35">
        <f t="shared" si="1"/>
        <v>796.28499999999997</v>
      </c>
      <c r="J10" s="24">
        <f t="shared" si="8"/>
        <v>-0.199999999949796</v>
      </c>
      <c r="K10" s="25">
        <f t="shared" si="9"/>
        <v>-0.40000000001327901</v>
      </c>
      <c r="L10" s="26">
        <f t="shared" si="10"/>
        <v>-0.199999999949796</v>
      </c>
      <c r="M10" s="6">
        <v>6.0068999999999999</v>
      </c>
      <c r="N10" s="35">
        <f t="shared" si="2"/>
        <v>795.24990000000003</v>
      </c>
      <c r="O10" s="24">
        <f t="shared" si="11"/>
        <v>-0.20000000006348301</v>
      </c>
      <c r="P10" s="25">
        <f t="shared" si="12"/>
        <v>-0.49999999998817701</v>
      </c>
      <c r="Q10" s="26">
        <f t="shared" si="13"/>
        <v>-0.20000000006348301</v>
      </c>
      <c r="R10" s="41"/>
      <c r="S10" s="21">
        <f t="shared" si="3"/>
        <v>44473</v>
      </c>
      <c r="T10" s="42">
        <v>9.1079000000000008</v>
      </c>
      <c r="U10" s="43">
        <f t="shared" si="14"/>
        <v>-0.29999999999930099</v>
      </c>
      <c r="V10" s="44">
        <f t="shared" si="15"/>
        <v>-0.19999999999953399</v>
      </c>
      <c r="W10" s="45">
        <f t="shared" si="16"/>
        <v>0.29999999999930099</v>
      </c>
      <c r="X10" s="29">
        <v>12.1275</v>
      </c>
      <c r="Y10" s="43">
        <f t="shared" si="17"/>
        <v>-0.40000000000084401</v>
      </c>
      <c r="Z10" s="44">
        <f t="shared" si="18"/>
        <v>-0.50000000000061096</v>
      </c>
      <c r="AA10" s="45">
        <f t="shared" si="19"/>
        <v>-0.40000000000084401</v>
      </c>
      <c r="AB10" s="49">
        <v>9.0137999999999998</v>
      </c>
      <c r="AC10" s="43">
        <f t="shared" si="20"/>
        <v>-0.19999999999953399</v>
      </c>
      <c r="AD10" s="44">
        <f t="shared" si="21"/>
        <v>-0.799999999999912</v>
      </c>
      <c r="AE10" s="45">
        <f t="shared" si="22"/>
        <v>-0.19999999999953399</v>
      </c>
      <c r="AF10" s="50">
        <v>79097</v>
      </c>
      <c r="AG10" s="58">
        <f t="shared" si="4"/>
        <v>18</v>
      </c>
      <c r="AH10" s="59"/>
      <c r="AI10" s="60"/>
      <c r="AJ10" s="61"/>
    </row>
    <row r="11" spans="1:36">
      <c r="A11" s="21">
        <v>44474</v>
      </c>
      <c r="B11" s="22">
        <v>789.24300000000005</v>
      </c>
      <c r="C11" s="27">
        <v>5.8699000000000003</v>
      </c>
      <c r="D11" s="23">
        <f t="shared" si="0"/>
        <v>795.11289999999997</v>
      </c>
      <c r="E11" s="24">
        <f t="shared" si="5"/>
        <v>-0.199999999949796</v>
      </c>
      <c r="F11" s="25">
        <f t="shared" si="6"/>
        <v>-0.90000000000145497</v>
      </c>
      <c r="G11" s="26">
        <f t="shared" si="7"/>
        <v>-0.199999999949796</v>
      </c>
      <c r="H11" s="6">
        <v>7.0418000000000003</v>
      </c>
      <c r="I11" s="35">
        <f t="shared" si="1"/>
        <v>796.28480000000002</v>
      </c>
      <c r="J11" s="24">
        <f t="shared" si="8"/>
        <v>-0.20000000006348301</v>
      </c>
      <c r="K11" s="25">
        <f t="shared" si="9"/>
        <v>-0.60000000007676102</v>
      </c>
      <c r="L11" s="26">
        <f t="shared" si="10"/>
        <v>-0.20000000006348301</v>
      </c>
      <c r="M11" s="6">
        <v>6.0067000000000004</v>
      </c>
      <c r="N11" s="35">
        <f t="shared" si="2"/>
        <v>795.24969999999996</v>
      </c>
      <c r="O11" s="24">
        <f t="shared" si="11"/>
        <v>-0.199999999949796</v>
      </c>
      <c r="P11" s="25">
        <f t="shared" si="12"/>
        <v>-0.69999999993797202</v>
      </c>
      <c r="Q11" s="26">
        <f t="shared" si="13"/>
        <v>-0.199999999949796</v>
      </c>
      <c r="R11" s="41"/>
      <c r="S11" s="21">
        <f t="shared" si="3"/>
        <v>44474</v>
      </c>
      <c r="T11" s="42">
        <v>9.1076999999999995</v>
      </c>
      <c r="U11" s="43">
        <f t="shared" si="14"/>
        <v>-0.20000000000130999</v>
      </c>
      <c r="V11" s="44">
        <f t="shared" si="15"/>
        <v>-0.40000000000084401</v>
      </c>
      <c r="W11" s="45">
        <f t="shared" si="16"/>
        <v>0.20000000000130999</v>
      </c>
      <c r="X11" s="29">
        <v>12.1275</v>
      </c>
      <c r="Y11" s="43">
        <f t="shared" si="17"/>
        <v>0</v>
      </c>
      <c r="Z11" s="44">
        <f t="shared" si="18"/>
        <v>-0.50000000000061096</v>
      </c>
      <c r="AA11" s="45">
        <f t="shared" si="19"/>
        <v>0</v>
      </c>
      <c r="AB11" s="49">
        <v>9.0137</v>
      </c>
      <c r="AC11" s="43">
        <f t="shared" si="20"/>
        <v>-9.99999999997669E-2</v>
      </c>
      <c r="AD11" s="44">
        <f t="shared" si="21"/>
        <v>-0.89999999999967895</v>
      </c>
      <c r="AE11" s="45">
        <f t="shared" si="22"/>
        <v>-9.99999999997669E-2</v>
      </c>
      <c r="AF11" s="50">
        <v>79100</v>
      </c>
      <c r="AG11" s="58">
        <f t="shared" si="4"/>
        <v>21</v>
      </c>
      <c r="AH11" s="61"/>
      <c r="AI11" s="60"/>
      <c r="AJ11" s="52"/>
    </row>
    <row r="12" spans="1:36">
      <c r="A12" s="21">
        <v>44475</v>
      </c>
      <c r="B12" s="22">
        <v>789.24300000000005</v>
      </c>
      <c r="C12" s="27">
        <v>5.8697999999999997</v>
      </c>
      <c r="D12" s="23">
        <f t="shared" si="0"/>
        <v>795.11279999999999</v>
      </c>
      <c r="E12" s="24">
        <f t="shared" si="5"/>
        <v>-9.9999999974897905E-2</v>
      </c>
      <c r="F12" s="25">
        <f t="shared" si="6"/>
        <v>-0.99999999997635303</v>
      </c>
      <c r="G12" s="26">
        <f t="shared" si="7"/>
        <v>-9.9999999974897905E-2</v>
      </c>
      <c r="H12" s="6">
        <v>7.0415999999999999</v>
      </c>
      <c r="I12" s="35">
        <f t="shared" si="1"/>
        <v>796.28459999999995</v>
      </c>
      <c r="J12" s="24">
        <f t="shared" si="8"/>
        <v>-0.199999999949796</v>
      </c>
      <c r="K12" s="25">
        <f t="shared" si="9"/>
        <v>-0.80000000002655702</v>
      </c>
      <c r="L12" s="26">
        <f t="shared" si="10"/>
        <v>-0.199999999949796</v>
      </c>
      <c r="M12" s="6">
        <v>6.0065</v>
      </c>
      <c r="N12" s="35">
        <f t="shared" si="2"/>
        <v>795.24950000000001</v>
      </c>
      <c r="O12" s="24">
        <f t="shared" si="11"/>
        <v>-0.20000000006348301</v>
      </c>
      <c r="P12" s="25">
        <f t="shared" si="12"/>
        <v>-0.90000000000145497</v>
      </c>
      <c r="Q12" s="26">
        <f t="shared" si="13"/>
        <v>-0.20000000006348301</v>
      </c>
      <c r="R12" s="41"/>
      <c r="S12" s="21">
        <f t="shared" si="3"/>
        <v>44475</v>
      </c>
      <c r="T12" s="42">
        <v>9.1077999999999992</v>
      </c>
      <c r="U12" s="43">
        <f t="shared" si="14"/>
        <v>9.99999999997669E-2</v>
      </c>
      <c r="V12" s="44">
        <f t="shared" si="15"/>
        <v>-0.30000000000107702</v>
      </c>
      <c r="W12" s="45">
        <f t="shared" si="16"/>
        <v>-9.99999999997669E-2</v>
      </c>
      <c r="X12" s="29">
        <v>12.1273</v>
      </c>
      <c r="Y12" s="43">
        <f t="shared" si="17"/>
        <v>-0.19999999999953399</v>
      </c>
      <c r="Z12" s="44">
        <f t="shared" si="18"/>
        <v>-0.70000000000014495</v>
      </c>
      <c r="AA12" s="45">
        <f t="shared" si="19"/>
        <v>-0.19999999999953399</v>
      </c>
      <c r="AB12" s="49">
        <v>9.0134000000000007</v>
      </c>
      <c r="AC12" s="43">
        <f t="shared" si="20"/>
        <v>-0.29999999999930099</v>
      </c>
      <c r="AD12" s="44">
        <f t="shared" si="21"/>
        <v>-1.1999999999989801</v>
      </c>
      <c r="AE12" s="45">
        <f t="shared" si="22"/>
        <v>-0.29999999999930099</v>
      </c>
      <c r="AF12" s="50">
        <v>79103</v>
      </c>
      <c r="AG12" s="58">
        <f t="shared" si="4"/>
        <v>24</v>
      </c>
      <c r="AH12" s="61"/>
      <c r="AI12" s="60"/>
      <c r="AJ12" s="52"/>
    </row>
    <row r="13" spans="1:36">
      <c r="A13" s="21">
        <v>44476</v>
      </c>
      <c r="B13" s="22">
        <v>789.24300000000005</v>
      </c>
      <c r="C13" s="27">
        <v>5.8695000000000004</v>
      </c>
      <c r="D13" s="23">
        <f t="shared" si="0"/>
        <v>795.11249999999995</v>
      </c>
      <c r="E13" s="24">
        <f t="shared" si="5"/>
        <v>-0.30000000003838101</v>
      </c>
      <c r="F13" s="25">
        <f t="shared" si="6"/>
        <v>-1.30000000001473</v>
      </c>
      <c r="G13" s="26">
        <f t="shared" si="7"/>
        <v>-0.30000000003838101</v>
      </c>
      <c r="H13" s="6">
        <v>7.0401499999999997</v>
      </c>
      <c r="I13" s="35">
        <f t="shared" si="1"/>
        <v>796.28314999999998</v>
      </c>
      <c r="J13" s="24">
        <f t="shared" si="8"/>
        <v>-1.4499999999770801</v>
      </c>
      <c r="K13" s="25">
        <f t="shared" si="9"/>
        <v>-2.2500000000036402</v>
      </c>
      <c r="L13" s="26">
        <f t="shared" si="10"/>
        <v>-1.4499999999770801</v>
      </c>
      <c r="M13" s="6">
        <v>6.0064000000000002</v>
      </c>
      <c r="N13" s="35">
        <f t="shared" si="2"/>
        <v>795.24940000000004</v>
      </c>
      <c r="O13" s="24">
        <f t="shared" si="11"/>
        <v>-9.9999999974897905E-2</v>
      </c>
      <c r="P13" s="25">
        <f t="shared" si="12"/>
        <v>-0.99999999997635303</v>
      </c>
      <c r="Q13" s="26">
        <f t="shared" si="13"/>
        <v>-9.9999999974897905E-2</v>
      </c>
      <c r="R13" s="41"/>
      <c r="S13" s="21">
        <f t="shared" si="3"/>
        <v>44476</v>
      </c>
      <c r="T13" s="42">
        <v>9.1073000000000004</v>
      </c>
      <c r="U13" s="43">
        <f t="shared" si="14"/>
        <v>-0.49999999999883499</v>
      </c>
      <c r="V13" s="44">
        <f t="shared" si="15"/>
        <v>-0.799999999999912</v>
      </c>
      <c r="W13" s="45">
        <f t="shared" si="16"/>
        <v>0.49999999999883499</v>
      </c>
      <c r="X13" s="29">
        <v>12.1271</v>
      </c>
      <c r="Y13" s="43">
        <f t="shared" si="17"/>
        <v>-0.19999999999953399</v>
      </c>
      <c r="Z13" s="44">
        <f t="shared" si="18"/>
        <v>-0.89999999999967895</v>
      </c>
      <c r="AA13" s="45">
        <f t="shared" si="19"/>
        <v>-0.19999999999953399</v>
      </c>
      <c r="AB13" s="49">
        <v>9.0131999999999906</v>
      </c>
      <c r="AC13" s="43">
        <f t="shared" si="20"/>
        <v>-0.200000000010192</v>
      </c>
      <c r="AD13" s="44">
        <f t="shared" si="21"/>
        <v>-1.4000000000091699</v>
      </c>
      <c r="AE13" s="45">
        <f t="shared" si="22"/>
        <v>-0.200000000010192</v>
      </c>
      <c r="AF13" s="50">
        <v>79106</v>
      </c>
      <c r="AG13" s="58">
        <f t="shared" si="4"/>
        <v>27</v>
      </c>
      <c r="AH13" s="61"/>
      <c r="AI13" s="60"/>
      <c r="AJ13" s="52"/>
    </row>
    <row r="14" spans="1:36">
      <c r="A14" s="21">
        <v>44477</v>
      </c>
      <c r="B14" s="22">
        <v>789.24300000000005</v>
      </c>
      <c r="C14" s="27">
        <v>5.8693</v>
      </c>
      <c r="D14" s="23">
        <f t="shared" si="0"/>
        <v>795.1123</v>
      </c>
      <c r="E14" s="24">
        <f t="shared" si="5"/>
        <v>-0.20000000006348301</v>
      </c>
      <c r="F14" s="25">
        <f t="shared" si="6"/>
        <v>-1.5000000000782201</v>
      </c>
      <c r="G14" s="26">
        <f t="shared" si="7"/>
        <v>-0.20000000006348301</v>
      </c>
      <c r="H14" s="6">
        <v>7.0411999999999999</v>
      </c>
      <c r="I14" s="35">
        <f t="shared" si="1"/>
        <v>796.28420000000006</v>
      </c>
      <c r="J14" s="24">
        <f t="shared" si="8"/>
        <v>1.0499999999637999</v>
      </c>
      <c r="K14" s="25">
        <f t="shared" si="9"/>
        <v>-1.2000000000398401</v>
      </c>
      <c r="L14" s="26">
        <f t="shared" si="10"/>
        <v>1.0499999999637999</v>
      </c>
      <c r="M14" s="6">
        <v>6.0061</v>
      </c>
      <c r="N14" s="35">
        <f t="shared" si="2"/>
        <v>795.2491</v>
      </c>
      <c r="O14" s="24">
        <f t="shared" si="11"/>
        <v>-0.30000000003838101</v>
      </c>
      <c r="P14" s="25">
        <f t="shared" si="12"/>
        <v>-1.30000000001473</v>
      </c>
      <c r="Q14" s="26">
        <f t="shared" si="13"/>
        <v>-0.30000000003838101</v>
      </c>
      <c r="R14" s="41"/>
      <c r="S14" s="21">
        <f t="shared" si="3"/>
        <v>44477</v>
      </c>
      <c r="T14" s="42">
        <v>9.1071000000000009</v>
      </c>
      <c r="U14" s="43">
        <f t="shared" si="14"/>
        <v>-0.19999999999953399</v>
      </c>
      <c r="V14" s="44">
        <f t="shared" si="15"/>
        <v>-0.999999999999446</v>
      </c>
      <c r="W14" s="45">
        <f t="shared" si="16"/>
        <v>0.19999999999953399</v>
      </c>
      <c r="X14" s="29">
        <v>12.127000000000001</v>
      </c>
      <c r="Y14" s="43">
        <f t="shared" si="17"/>
        <v>-9.99999999997669E-2</v>
      </c>
      <c r="Z14" s="44">
        <f t="shared" si="18"/>
        <v>-0.999999999999446</v>
      </c>
      <c r="AA14" s="45">
        <f t="shared" si="19"/>
        <v>-9.99999999997669E-2</v>
      </c>
      <c r="AB14" s="49">
        <v>9.0129999999999892</v>
      </c>
      <c r="AC14" s="43">
        <f t="shared" si="20"/>
        <v>-0.20000000000130999</v>
      </c>
      <c r="AD14" s="44">
        <f t="shared" si="21"/>
        <v>-1.6000000000104799</v>
      </c>
      <c r="AE14" s="45">
        <f t="shared" si="22"/>
        <v>-0.20000000000130999</v>
      </c>
      <c r="AF14" s="50">
        <v>79109</v>
      </c>
      <c r="AG14" s="58">
        <f t="shared" si="4"/>
        <v>30</v>
      </c>
      <c r="AH14" s="61"/>
      <c r="AI14" s="60"/>
      <c r="AJ14" s="52"/>
    </row>
    <row r="15" spans="1:36">
      <c r="A15" s="21">
        <v>44478</v>
      </c>
      <c r="B15" s="22">
        <v>789.24300000000005</v>
      </c>
      <c r="C15" s="27">
        <v>5.8691000000000004</v>
      </c>
      <c r="D15" s="23">
        <f t="shared" si="0"/>
        <v>795.11210000000005</v>
      </c>
      <c r="E15" s="24">
        <f t="shared" si="5"/>
        <v>-0.199999999949796</v>
      </c>
      <c r="F15" s="25">
        <f t="shared" si="6"/>
        <v>-1.70000000002801</v>
      </c>
      <c r="G15" s="26">
        <f t="shared" si="7"/>
        <v>-0.199999999949796</v>
      </c>
      <c r="H15" s="6">
        <v>7.0410000000000004</v>
      </c>
      <c r="I15" s="35">
        <f t="shared" si="1"/>
        <v>796.28399999999999</v>
      </c>
      <c r="J15" s="24">
        <f t="shared" si="8"/>
        <v>-0.199999999949796</v>
      </c>
      <c r="K15" s="25">
        <f t="shared" si="9"/>
        <v>-1.39999999998963</v>
      </c>
      <c r="L15" s="26">
        <f t="shared" si="10"/>
        <v>-0.199999999949796</v>
      </c>
      <c r="M15" s="6">
        <v>6.0058999999999996</v>
      </c>
      <c r="N15" s="35">
        <f t="shared" si="2"/>
        <v>795.24890000000005</v>
      </c>
      <c r="O15" s="24">
        <f t="shared" si="11"/>
        <v>-0.199999999949796</v>
      </c>
      <c r="P15" s="25">
        <f t="shared" si="12"/>
        <v>-1.4999999999645299</v>
      </c>
      <c r="Q15" s="26">
        <f t="shared" si="13"/>
        <v>-0.199999999949796</v>
      </c>
      <c r="R15" s="41"/>
      <c r="S15" s="21">
        <f t="shared" si="3"/>
        <v>44478</v>
      </c>
      <c r="T15" s="42">
        <v>9.1073000000000004</v>
      </c>
      <c r="U15" s="43">
        <f t="shared" si="14"/>
        <v>0.19999999999953399</v>
      </c>
      <c r="V15" s="44">
        <f t="shared" si="15"/>
        <v>-0.799999999999912</v>
      </c>
      <c r="W15" s="45">
        <f t="shared" si="16"/>
        <v>-0.19999999999953399</v>
      </c>
      <c r="X15" s="29">
        <v>12.1267</v>
      </c>
      <c r="Y15" s="43">
        <f t="shared" si="17"/>
        <v>-0.30000000000107702</v>
      </c>
      <c r="Z15" s="44">
        <f t="shared" si="18"/>
        <v>-1.3000000000005201</v>
      </c>
      <c r="AA15" s="45">
        <f t="shared" si="19"/>
        <v>-0.30000000000107702</v>
      </c>
      <c r="AB15" s="49">
        <v>9.0130999999999997</v>
      </c>
      <c r="AC15" s="43">
        <f t="shared" si="20"/>
        <v>0.100000000010425</v>
      </c>
      <c r="AD15" s="44">
        <f t="shared" si="21"/>
        <v>-1.50000000000006</v>
      </c>
      <c r="AE15" s="45">
        <f t="shared" si="22"/>
        <v>0.100000000010425</v>
      </c>
      <c r="AF15" s="50">
        <v>79112</v>
      </c>
      <c r="AG15" s="58">
        <f t="shared" si="4"/>
        <v>33</v>
      </c>
      <c r="AH15" s="61"/>
      <c r="AI15" s="60"/>
      <c r="AJ15" s="52"/>
    </row>
    <row r="16" spans="1:36">
      <c r="A16" s="21">
        <v>44479</v>
      </c>
      <c r="B16" s="22">
        <v>789.24300000000005</v>
      </c>
      <c r="C16" s="27">
        <v>5.8692000000000002</v>
      </c>
      <c r="D16" s="23">
        <f t="shared" si="0"/>
        <v>795.11220000000003</v>
      </c>
      <c r="E16" s="24">
        <f t="shared" si="5"/>
        <v>9.9999999974897905E-2</v>
      </c>
      <c r="F16" s="25">
        <f t="shared" si="6"/>
        <v>-1.60000000005311</v>
      </c>
      <c r="G16" s="26">
        <f t="shared" si="7"/>
        <v>9.9999999974897905E-2</v>
      </c>
      <c r="H16" s="6">
        <v>7.0411000000000001</v>
      </c>
      <c r="I16" s="35">
        <f t="shared" si="1"/>
        <v>796.28409999999997</v>
      </c>
      <c r="J16" s="24">
        <f t="shared" si="8"/>
        <v>9.9999999974897905E-2</v>
      </c>
      <c r="K16" s="25">
        <f t="shared" si="9"/>
        <v>-1.30000000001473</v>
      </c>
      <c r="L16" s="26">
        <f t="shared" si="10"/>
        <v>9.9999999974897905E-2</v>
      </c>
      <c r="M16" s="6">
        <v>6.0057999999999998</v>
      </c>
      <c r="N16" s="35">
        <f t="shared" si="2"/>
        <v>795.24879999999996</v>
      </c>
      <c r="O16" s="24">
        <f t="shared" si="11"/>
        <v>-9.9999999974897905E-2</v>
      </c>
      <c r="P16" s="25">
        <f t="shared" si="12"/>
        <v>-1.5999999999394301</v>
      </c>
      <c r="Q16" s="26">
        <f t="shared" si="13"/>
        <v>-9.9999999974897905E-2</v>
      </c>
      <c r="R16" s="41"/>
      <c r="S16" s="21">
        <f t="shared" si="3"/>
        <v>44479</v>
      </c>
      <c r="T16" s="42">
        <v>9.1067</v>
      </c>
      <c r="U16" s="43">
        <f t="shared" si="14"/>
        <v>-0.60000000000037801</v>
      </c>
      <c r="V16" s="44">
        <f t="shared" si="15"/>
        <v>-1.4000000000002899</v>
      </c>
      <c r="W16" s="45">
        <f t="shared" si="16"/>
        <v>0.60000000000037801</v>
      </c>
      <c r="X16" s="29">
        <v>12.1265</v>
      </c>
      <c r="Y16" s="43">
        <f t="shared" si="17"/>
        <v>-0.19999999999953399</v>
      </c>
      <c r="Z16" s="44">
        <f t="shared" si="18"/>
        <v>-1.50000000000006</v>
      </c>
      <c r="AA16" s="45">
        <f t="shared" si="19"/>
        <v>-0.19999999999953399</v>
      </c>
      <c r="AB16" s="49">
        <v>9.0125999999999902</v>
      </c>
      <c r="AC16" s="43">
        <f t="shared" si="20"/>
        <v>-0.50000000000949296</v>
      </c>
      <c r="AD16" s="44">
        <f t="shared" si="21"/>
        <v>-2.0000000000095501</v>
      </c>
      <c r="AE16" s="45">
        <f t="shared" si="22"/>
        <v>-0.50000000000949296</v>
      </c>
      <c r="AF16" s="50">
        <v>79115</v>
      </c>
      <c r="AG16" s="58">
        <f t="shared" si="4"/>
        <v>36</v>
      </c>
      <c r="AH16" s="61"/>
      <c r="AI16" s="60"/>
      <c r="AJ16" s="52"/>
    </row>
    <row r="17" spans="1:36">
      <c r="A17" s="21">
        <v>44480</v>
      </c>
      <c r="B17" s="22">
        <v>789.24300000000005</v>
      </c>
      <c r="C17" s="27">
        <v>5.8686999999999996</v>
      </c>
      <c r="D17" s="23">
        <f t="shared" si="0"/>
        <v>795.11170000000004</v>
      </c>
      <c r="E17" s="24">
        <f t="shared" si="5"/>
        <v>-0.49999999998817701</v>
      </c>
      <c r="F17" s="25">
        <f t="shared" si="6"/>
        <v>-2.1000000000412902</v>
      </c>
      <c r="G17" s="26">
        <f t="shared" si="7"/>
        <v>-0.49999999998817701</v>
      </c>
      <c r="H17" s="6">
        <v>7.0406000000000004</v>
      </c>
      <c r="I17" s="35">
        <f t="shared" si="1"/>
        <v>796.28359999999998</v>
      </c>
      <c r="J17" s="24">
        <f t="shared" si="8"/>
        <v>-0.49999999998817701</v>
      </c>
      <c r="K17" s="25">
        <f t="shared" si="9"/>
        <v>-1.8000000000029099</v>
      </c>
      <c r="L17" s="26">
        <f t="shared" si="10"/>
        <v>-0.49999999998817701</v>
      </c>
      <c r="M17" s="6">
        <v>6.0054999999999996</v>
      </c>
      <c r="N17" s="35">
        <f t="shared" si="2"/>
        <v>795.24850000000004</v>
      </c>
      <c r="O17" s="24">
        <f t="shared" si="11"/>
        <v>-0.30000000003838101</v>
      </c>
      <c r="P17" s="25">
        <f t="shared" si="12"/>
        <v>-1.8999999999778101</v>
      </c>
      <c r="Q17" s="26">
        <f t="shared" si="13"/>
        <v>-0.30000000003838101</v>
      </c>
      <c r="R17" s="41"/>
      <c r="S17" s="21">
        <f t="shared" si="3"/>
        <v>44480</v>
      </c>
      <c r="T17" s="42">
        <v>9.1065000000000005</v>
      </c>
      <c r="U17" s="43">
        <f t="shared" si="14"/>
        <v>-0.19999999999953399</v>
      </c>
      <c r="V17" s="44">
        <f t="shared" si="15"/>
        <v>-1.59999999999982</v>
      </c>
      <c r="W17" s="45">
        <f t="shared" si="16"/>
        <v>0.19999999999953399</v>
      </c>
      <c r="X17" s="29">
        <v>12.126300000000001</v>
      </c>
      <c r="Y17" s="43">
        <f t="shared" si="17"/>
        <v>-0.19999999999953399</v>
      </c>
      <c r="Z17" s="44">
        <f t="shared" si="18"/>
        <v>-1.6999999999995901</v>
      </c>
      <c r="AA17" s="45">
        <f t="shared" si="19"/>
        <v>-0.19999999999953399</v>
      </c>
      <c r="AB17" s="49">
        <v>9.0123999999999906</v>
      </c>
      <c r="AC17" s="43">
        <f t="shared" si="20"/>
        <v>-0.19999999999953399</v>
      </c>
      <c r="AD17" s="44">
        <f t="shared" si="21"/>
        <v>-2.20000000000908</v>
      </c>
      <c r="AE17" s="45">
        <f t="shared" si="22"/>
        <v>-0.19999999999953399</v>
      </c>
      <c r="AF17" s="50">
        <v>79118</v>
      </c>
      <c r="AG17" s="58">
        <f t="shared" si="4"/>
        <v>39</v>
      </c>
      <c r="AH17" s="61"/>
      <c r="AI17" s="52"/>
      <c r="AJ17" s="52"/>
    </row>
    <row r="18" spans="1:36">
      <c r="A18" s="21">
        <v>44481</v>
      </c>
      <c r="B18" s="22">
        <v>789.24300000000005</v>
      </c>
      <c r="C18" s="27">
        <v>5.8685</v>
      </c>
      <c r="D18" s="23">
        <f t="shared" si="0"/>
        <v>795.11149999999998</v>
      </c>
      <c r="E18" s="24">
        <f t="shared" si="5"/>
        <v>-0.199999999949796</v>
      </c>
      <c r="F18" s="25">
        <f t="shared" si="6"/>
        <v>-2.2999999999910901</v>
      </c>
      <c r="G18" s="26">
        <f t="shared" si="7"/>
        <v>-0.199999999949796</v>
      </c>
      <c r="H18" s="6">
        <v>7.0404</v>
      </c>
      <c r="I18" s="35">
        <f t="shared" si="1"/>
        <v>796.28340000000003</v>
      </c>
      <c r="J18" s="24">
        <f t="shared" si="8"/>
        <v>-0.20000000006348301</v>
      </c>
      <c r="K18" s="25">
        <f t="shared" si="9"/>
        <v>-2.00000000006639</v>
      </c>
      <c r="L18" s="26">
        <f t="shared" si="10"/>
        <v>-0.20000000006348301</v>
      </c>
      <c r="M18" s="6">
        <v>6.0053000000000001</v>
      </c>
      <c r="N18" s="35">
        <f t="shared" si="2"/>
        <v>795.24829999999997</v>
      </c>
      <c r="O18" s="24">
        <f t="shared" si="11"/>
        <v>-0.199999999949796</v>
      </c>
      <c r="P18" s="25">
        <f t="shared" si="12"/>
        <v>-2.0999999999275998</v>
      </c>
      <c r="Q18" s="26">
        <f t="shared" si="13"/>
        <v>-0.199999999949796</v>
      </c>
      <c r="R18" s="41"/>
      <c r="S18" s="21">
        <f t="shared" si="3"/>
        <v>44481</v>
      </c>
      <c r="T18" s="42">
        <v>9.1067999999999998</v>
      </c>
      <c r="U18" s="43">
        <f t="shared" si="14"/>
        <v>0.29999999999930099</v>
      </c>
      <c r="V18" s="44">
        <f t="shared" si="15"/>
        <v>-1.3000000000005201</v>
      </c>
      <c r="W18" s="45">
        <f t="shared" si="16"/>
        <v>-0.29999999999930099</v>
      </c>
      <c r="X18" s="29">
        <v>12.126099999999999</v>
      </c>
      <c r="Y18" s="43">
        <f t="shared" si="17"/>
        <v>-0.20000000000130999</v>
      </c>
      <c r="Z18" s="44">
        <f t="shared" si="18"/>
        <v>-1.9000000000009001</v>
      </c>
      <c r="AA18" s="45">
        <f t="shared" si="19"/>
        <v>-0.20000000000130999</v>
      </c>
      <c r="AB18" s="49">
        <v>9.0121999999999893</v>
      </c>
      <c r="AC18" s="43">
        <f t="shared" si="20"/>
        <v>-0.20000000000130999</v>
      </c>
      <c r="AD18" s="44">
        <f t="shared" si="21"/>
        <v>-2.4000000000103898</v>
      </c>
      <c r="AE18" s="45">
        <f t="shared" si="22"/>
        <v>-0.20000000000130999</v>
      </c>
      <c r="AF18" s="50">
        <v>79121</v>
      </c>
      <c r="AG18" s="58">
        <f t="shared" si="4"/>
        <v>42</v>
      </c>
      <c r="AH18" s="61"/>
      <c r="AI18" s="52"/>
      <c r="AJ18" s="52"/>
    </row>
    <row r="19" spans="1:36">
      <c r="A19" s="21">
        <v>44482</v>
      </c>
      <c r="B19" s="22">
        <v>789.24300000000005</v>
      </c>
      <c r="C19" s="27">
        <v>5.8684000000000003</v>
      </c>
      <c r="D19" s="23">
        <f t="shared" si="0"/>
        <v>795.1114</v>
      </c>
      <c r="E19" s="24">
        <f t="shared" si="5"/>
        <v>-0.10000000008858501</v>
      </c>
      <c r="F19" s="25">
        <f t="shared" si="6"/>
        <v>-2.40000000007967</v>
      </c>
      <c r="G19" s="26">
        <f t="shared" si="7"/>
        <v>-0.10000000008858501</v>
      </c>
      <c r="H19" s="6">
        <v>7.0404999999999998</v>
      </c>
      <c r="I19" s="35">
        <f t="shared" si="1"/>
        <v>796.2835</v>
      </c>
      <c r="J19" s="24">
        <f t="shared" si="8"/>
        <v>9.9999999974897905E-2</v>
      </c>
      <c r="K19" s="25">
        <f t="shared" si="9"/>
        <v>-1.9000000000915001</v>
      </c>
      <c r="L19" s="26">
        <f t="shared" si="10"/>
        <v>9.9999999974897905E-2</v>
      </c>
      <c r="M19" s="6">
        <v>6.0052000000000003</v>
      </c>
      <c r="N19" s="35">
        <f t="shared" si="2"/>
        <v>795.2482</v>
      </c>
      <c r="O19" s="24">
        <f t="shared" si="11"/>
        <v>-0.10000000008858501</v>
      </c>
      <c r="P19" s="25">
        <f t="shared" si="12"/>
        <v>-2.2000000000161899</v>
      </c>
      <c r="Q19" s="26">
        <f t="shared" si="13"/>
        <v>-0.10000000008858501</v>
      </c>
      <c r="R19" s="41"/>
      <c r="S19" s="21">
        <f t="shared" si="3"/>
        <v>44482</v>
      </c>
      <c r="T19" s="42">
        <v>9.1060999999999996</v>
      </c>
      <c r="U19" s="43">
        <f t="shared" si="14"/>
        <v>-0.70000000000014495</v>
      </c>
      <c r="V19" s="44">
        <f t="shared" si="15"/>
        <v>-2.0000000000006701</v>
      </c>
      <c r="W19" s="45">
        <f t="shared" si="16"/>
        <v>0.70000000000014495</v>
      </c>
      <c r="X19" s="29">
        <v>12.1259</v>
      </c>
      <c r="Y19" s="43">
        <f t="shared" si="17"/>
        <v>-0.19999999999953399</v>
      </c>
      <c r="Z19" s="44">
        <f t="shared" si="18"/>
        <v>-2.10000000000043</v>
      </c>
      <c r="AA19" s="45">
        <f t="shared" si="19"/>
        <v>-0.19999999999953399</v>
      </c>
      <c r="AB19" s="49">
        <v>9.0124999999999993</v>
      </c>
      <c r="AC19" s="43">
        <f t="shared" si="20"/>
        <v>0.30000000000995902</v>
      </c>
      <c r="AD19" s="44">
        <f t="shared" si="21"/>
        <v>-2.10000000000043</v>
      </c>
      <c r="AE19" s="45">
        <f t="shared" si="22"/>
        <v>0.30000000000995902</v>
      </c>
      <c r="AF19" s="50">
        <v>79124</v>
      </c>
      <c r="AG19" s="58">
        <f t="shared" si="4"/>
        <v>45</v>
      </c>
      <c r="AH19" s="61"/>
      <c r="AI19" s="52"/>
      <c r="AJ19" s="52"/>
    </row>
    <row r="20" spans="1:36">
      <c r="A20" s="21">
        <v>44483</v>
      </c>
      <c r="B20" s="22">
        <v>789.24300000000005</v>
      </c>
      <c r="C20" s="27">
        <v>5.8681000000000001</v>
      </c>
      <c r="D20" s="23">
        <f t="shared" si="0"/>
        <v>795.11109999999996</v>
      </c>
      <c r="E20" s="24">
        <f t="shared" si="5"/>
        <v>-0.29999999992469401</v>
      </c>
      <c r="F20" s="25">
        <f t="shared" si="6"/>
        <v>-2.70000000000437</v>
      </c>
      <c r="G20" s="26">
        <f t="shared" si="7"/>
        <v>-0.29999999992469401</v>
      </c>
      <c r="H20" s="6">
        <v>7.04</v>
      </c>
      <c r="I20" s="35">
        <f t="shared" si="1"/>
        <v>796.28300000000002</v>
      </c>
      <c r="J20" s="24">
        <f t="shared" si="8"/>
        <v>-0.49999999998817701</v>
      </c>
      <c r="K20" s="25">
        <f t="shared" si="9"/>
        <v>-2.40000000007967</v>
      </c>
      <c r="L20" s="26">
        <f t="shared" si="10"/>
        <v>-0.49999999998817701</v>
      </c>
      <c r="M20" s="6">
        <v>6.0049000000000001</v>
      </c>
      <c r="N20" s="35">
        <f t="shared" si="2"/>
        <v>795.24789999999996</v>
      </c>
      <c r="O20" s="24">
        <f t="shared" si="11"/>
        <v>-0.29999999992469401</v>
      </c>
      <c r="P20" s="25">
        <f t="shared" si="12"/>
        <v>-2.4999999999408802</v>
      </c>
      <c r="Q20" s="26">
        <f t="shared" si="13"/>
        <v>-0.29999999992469401</v>
      </c>
      <c r="R20" s="41"/>
      <c r="S20" s="21">
        <f t="shared" si="3"/>
        <v>44483</v>
      </c>
      <c r="T20" s="42">
        <v>9.1059000000000108</v>
      </c>
      <c r="U20" s="43">
        <f t="shared" si="14"/>
        <v>-0.19999999998887599</v>
      </c>
      <c r="V20" s="44">
        <f t="shared" si="15"/>
        <v>-2.1999999999895401</v>
      </c>
      <c r="W20" s="45">
        <f t="shared" si="16"/>
        <v>0.19999999998887599</v>
      </c>
      <c r="X20" s="29">
        <v>12.125999999999999</v>
      </c>
      <c r="Y20" s="43">
        <f t="shared" si="17"/>
        <v>9.99999999997669E-2</v>
      </c>
      <c r="Z20" s="44">
        <f t="shared" si="18"/>
        <v>-2.0000000000006701</v>
      </c>
      <c r="AA20" s="45">
        <f t="shared" si="19"/>
        <v>9.99999999997669E-2</v>
      </c>
      <c r="AB20" s="49">
        <v>9.0117999999999796</v>
      </c>
      <c r="AC20" s="43">
        <f t="shared" si="20"/>
        <v>-0.70000000001968499</v>
      </c>
      <c r="AD20" s="44">
        <f t="shared" si="21"/>
        <v>-2.8000000000201202</v>
      </c>
      <c r="AE20" s="45">
        <f t="shared" si="22"/>
        <v>-0.70000000001968499</v>
      </c>
      <c r="AF20" s="50">
        <v>79127</v>
      </c>
      <c r="AG20" s="58">
        <f t="shared" si="4"/>
        <v>48</v>
      </c>
      <c r="AH20" s="61"/>
      <c r="AI20" s="52"/>
      <c r="AJ20" s="52"/>
    </row>
    <row r="21" spans="1:36">
      <c r="A21" s="21">
        <v>44485</v>
      </c>
      <c r="B21" s="22">
        <v>789.24300000000005</v>
      </c>
      <c r="C21" s="27">
        <v>5.8678999999999997</v>
      </c>
      <c r="D21" s="23">
        <f t="shared" si="0"/>
        <v>795.11090000000002</v>
      </c>
      <c r="E21" s="24">
        <f t="shared" si="5"/>
        <v>-0.20000000006348301</v>
      </c>
      <c r="F21" s="25">
        <f t="shared" si="6"/>
        <v>-2.9000000000678501</v>
      </c>
      <c r="G21" s="26">
        <f t="shared" si="7"/>
        <v>-0.100000000031741</v>
      </c>
      <c r="H21" s="6">
        <v>7.0397999999999996</v>
      </c>
      <c r="I21" s="35">
        <f t="shared" si="1"/>
        <v>796.28279999999995</v>
      </c>
      <c r="J21" s="24">
        <f t="shared" si="8"/>
        <v>-0.199999999949796</v>
      </c>
      <c r="K21" s="25">
        <f t="shared" si="9"/>
        <v>-2.6000000000294698</v>
      </c>
      <c r="L21" s="26">
        <f t="shared" si="10"/>
        <v>-9.9999999974897905E-2</v>
      </c>
      <c r="M21" s="6">
        <v>6.0046999999999997</v>
      </c>
      <c r="N21" s="35">
        <f t="shared" si="2"/>
        <v>795.24770000000001</v>
      </c>
      <c r="O21" s="24">
        <f t="shared" si="11"/>
        <v>-0.20000000006348301</v>
      </c>
      <c r="P21" s="25">
        <f t="shared" si="12"/>
        <v>-2.70000000000437</v>
      </c>
      <c r="Q21" s="26">
        <f t="shared" si="13"/>
        <v>-0.100000000031741</v>
      </c>
      <c r="R21" s="41"/>
      <c r="S21" s="21">
        <f t="shared" si="3"/>
        <v>44485</v>
      </c>
      <c r="T21" s="42">
        <v>9.1054999999999993</v>
      </c>
      <c r="U21" s="43">
        <f t="shared" si="14"/>
        <v>-0.40000000001150199</v>
      </c>
      <c r="V21" s="44">
        <f t="shared" si="15"/>
        <v>-2.6000000000010499</v>
      </c>
      <c r="W21" s="45">
        <f t="shared" si="16"/>
        <v>0.20000000000575099</v>
      </c>
      <c r="X21" s="29">
        <v>12.125500000000001</v>
      </c>
      <c r="Y21" s="43">
        <f t="shared" si="17"/>
        <v>-0.49999999999883499</v>
      </c>
      <c r="Z21" s="44">
        <f t="shared" si="18"/>
        <v>-2.4999999999995</v>
      </c>
      <c r="AA21" s="45">
        <f t="shared" si="19"/>
        <v>-0.24999999999941699</v>
      </c>
      <c r="AB21" s="49">
        <v>9.0115999999999801</v>
      </c>
      <c r="AC21" s="43">
        <f t="shared" si="20"/>
        <v>-0.19999999999953399</v>
      </c>
      <c r="AD21" s="44">
        <f t="shared" si="21"/>
        <v>-3.0000000000196501</v>
      </c>
      <c r="AE21" s="45">
        <f t="shared" si="22"/>
        <v>-9.99999999997669E-2</v>
      </c>
      <c r="AF21" s="50">
        <v>79130</v>
      </c>
      <c r="AG21" s="58">
        <f t="shared" si="4"/>
        <v>51</v>
      </c>
      <c r="AH21" s="61"/>
      <c r="AI21" s="52"/>
      <c r="AJ21" s="52"/>
    </row>
    <row r="22" spans="1:36">
      <c r="A22" s="21">
        <v>44487</v>
      </c>
      <c r="B22" s="22">
        <v>789.24300000000005</v>
      </c>
      <c r="C22" s="27">
        <v>5.8676000000000004</v>
      </c>
      <c r="D22" s="23">
        <f t="shared" si="0"/>
        <v>795.11059999999998</v>
      </c>
      <c r="E22" s="24">
        <f t="shared" si="5"/>
        <v>-0.29999999992469401</v>
      </c>
      <c r="F22" s="25">
        <f t="shared" si="6"/>
        <v>-3.1999999999925399</v>
      </c>
      <c r="G22" s="26">
        <f t="shared" si="7"/>
        <v>-0.149999999962347</v>
      </c>
      <c r="H22" s="6">
        <v>7.0397999999999996</v>
      </c>
      <c r="I22" s="35">
        <f t="shared" si="1"/>
        <v>796.28279999999995</v>
      </c>
      <c r="J22" s="24">
        <f t="shared" si="8"/>
        <v>0</v>
      </c>
      <c r="K22" s="25">
        <f t="shared" si="9"/>
        <v>-2.6000000000294698</v>
      </c>
      <c r="L22" s="26">
        <f t="shared" si="10"/>
        <v>0</v>
      </c>
      <c r="M22" s="6">
        <v>6.0049000000000001</v>
      </c>
      <c r="N22" s="35">
        <f t="shared" si="2"/>
        <v>795.24789999999996</v>
      </c>
      <c r="O22" s="24">
        <f t="shared" si="11"/>
        <v>0.20000000006348301</v>
      </c>
      <c r="P22" s="25">
        <f t="shared" si="12"/>
        <v>-2.4999999999408802</v>
      </c>
      <c r="Q22" s="26">
        <f t="shared" si="13"/>
        <v>0.100000000031741</v>
      </c>
      <c r="R22" s="41"/>
      <c r="S22" s="21">
        <f t="shared" si="3"/>
        <v>44487</v>
      </c>
      <c r="T22" s="42">
        <v>9.1055000000000099</v>
      </c>
      <c r="U22" s="43">
        <f t="shared" si="14"/>
        <v>1.06581410364015E-11</v>
      </c>
      <c r="V22" s="44">
        <f t="shared" si="15"/>
        <v>-2.59999999999039</v>
      </c>
      <c r="W22" s="45">
        <f t="shared" si="16"/>
        <v>-5.3290705182007498E-12</v>
      </c>
      <c r="X22" s="29">
        <v>12.125299999999999</v>
      </c>
      <c r="Y22" s="43">
        <f t="shared" si="17"/>
        <v>-0.20000000000130999</v>
      </c>
      <c r="Z22" s="44">
        <f t="shared" si="18"/>
        <v>-2.7000000000008102</v>
      </c>
      <c r="AA22" s="45">
        <f t="shared" si="19"/>
        <v>-0.100000000000655</v>
      </c>
      <c r="AB22" s="49">
        <v>9.0115999999999996</v>
      </c>
      <c r="AC22" s="43">
        <f t="shared" si="20"/>
        <v>1.95399252334028E-11</v>
      </c>
      <c r="AD22" s="44">
        <f t="shared" si="21"/>
        <v>-3.0000000000001101</v>
      </c>
      <c r="AE22" s="45">
        <f t="shared" si="22"/>
        <v>9.7699626167013808E-12</v>
      </c>
      <c r="AF22" s="50">
        <v>79136</v>
      </c>
      <c r="AG22" s="58">
        <f t="shared" si="4"/>
        <v>57</v>
      </c>
      <c r="AH22" s="61"/>
      <c r="AI22" s="52"/>
      <c r="AJ22" s="52"/>
    </row>
    <row r="23" spans="1:36">
      <c r="A23" s="21">
        <v>44489</v>
      </c>
      <c r="B23" s="22">
        <v>789.24300000000005</v>
      </c>
      <c r="C23" s="27">
        <v>5.8677000000000001</v>
      </c>
      <c r="D23" s="23">
        <f t="shared" si="0"/>
        <v>795.11069999999995</v>
      </c>
      <c r="E23" s="24">
        <f t="shared" si="5"/>
        <v>9.9999999974897905E-2</v>
      </c>
      <c r="F23" s="25">
        <f t="shared" si="6"/>
        <v>-3.1000000000176402</v>
      </c>
      <c r="G23" s="26">
        <f t="shared" si="7"/>
        <v>4.9999999987449001E-2</v>
      </c>
      <c r="H23" s="6">
        <v>7.04</v>
      </c>
      <c r="I23" s="35">
        <f t="shared" si="1"/>
        <v>796.28300000000002</v>
      </c>
      <c r="J23" s="24">
        <f t="shared" si="8"/>
        <v>0.199999999949796</v>
      </c>
      <c r="K23" s="25">
        <f t="shared" si="9"/>
        <v>-2.40000000007967</v>
      </c>
      <c r="L23" s="26">
        <f t="shared" si="10"/>
        <v>9.9999999974897905E-2</v>
      </c>
      <c r="M23" s="6">
        <v>6.0049999999999999</v>
      </c>
      <c r="N23" s="35">
        <f t="shared" si="2"/>
        <v>795.24800000000005</v>
      </c>
      <c r="O23" s="24">
        <f t="shared" si="11"/>
        <v>9.9999999974897905E-2</v>
      </c>
      <c r="P23" s="25">
        <f t="shared" si="12"/>
        <v>-2.39999999996598</v>
      </c>
      <c r="Q23" s="26">
        <f t="shared" si="13"/>
        <v>4.9999999987449001E-2</v>
      </c>
      <c r="S23" s="21">
        <f t="shared" si="3"/>
        <v>44489</v>
      </c>
      <c r="T23" s="42">
        <v>9.1056000000000008</v>
      </c>
      <c r="U23" s="43">
        <f t="shared" si="14"/>
        <v>9.9999999990885199E-2</v>
      </c>
      <c r="V23" s="44">
        <f t="shared" si="15"/>
        <v>-2.4999999999995</v>
      </c>
      <c r="W23" s="45">
        <f t="shared" si="16"/>
        <v>-4.99999999954426E-2</v>
      </c>
      <c r="X23" s="29">
        <v>12.125500000000001</v>
      </c>
      <c r="Y23" s="43">
        <f t="shared" si="17"/>
        <v>0.20000000000130999</v>
      </c>
      <c r="Z23" s="44">
        <f t="shared" si="18"/>
        <v>-2.4999999999995</v>
      </c>
      <c r="AA23" s="45">
        <f t="shared" si="19"/>
        <v>0.100000000000655</v>
      </c>
      <c r="AB23" s="49">
        <v>9.0113000000000003</v>
      </c>
      <c r="AC23" s="43">
        <f t="shared" si="20"/>
        <v>-0.29999999999930099</v>
      </c>
      <c r="AD23" s="44">
        <f t="shared" si="21"/>
        <v>-3.2999999999994101</v>
      </c>
      <c r="AE23" s="45">
        <f t="shared" si="22"/>
        <v>-0.14999999999965</v>
      </c>
      <c r="AF23" s="50">
        <v>79142</v>
      </c>
      <c r="AG23" s="58">
        <f t="shared" si="4"/>
        <v>63</v>
      </c>
      <c r="AH23" s="61"/>
      <c r="AI23" s="52"/>
      <c r="AJ23" s="52"/>
    </row>
    <row r="24" spans="1:36">
      <c r="A24" s="21">
        <v>44491</v>
      </c>
      <c r="B24" s="22">
        <v>789.24300000000005</v>
      </c>
      <c r="C24" s="27">
        <v>5.8673000000000002</v>
      </c>
      <c r="D24" s="23">
        <f t="shared" ref="D24:D32" si="23">C24+B24</f>
        <v>795.11030000000005</v>
      </c>
      <c r="E24" s="24">
        <f t="shared" ref="E24:E32" si="24">(D24-D23)*1000</f>
        <v>-0.40000000001327901</v>
      </c>
      <c r="F24" s="25">
        <f t="shared" ref="F24:F32" si="25">F23+E24</f>
        <v>-3.5000000000309202</v>
      </c>
      <c r="G24" s="26">
        <f t="shared" ref="G24:G32" si="26">E24/(A24-A23)</f>
        <v>-0.20000000000663901</v>
      </c>
      <c r="H24" s="6">
        <v>7.0401999999999996</v>
      </c>
      <c r="I24" s="35">
        <f t="shared" ref="I24:I32" si="27">H24+B24</f>
        <v>796.28319999999997</v>
      </c>
      <c r="J24" s="24">
        <f t="shared" ref="J24:J32" si="28">(I24-I23)*1000</f>
        <v>0.20000000006348301</v>
      </c>
      <c r="K24" s="25">
        <f t="shared" ref="K24:K32" si="29">K23+J24</f>
        <v>-2.2000000000161899</v>
      </c>
      <c r="L24" s="26">
        <f t="shared" ref="L24:L32" si="30">J24/(A24-A23)</f>
        <v>0.100000000031741</v>
      </c>
      <c r="M24" s="6">
        <v>6.0050999999999997</v>
      </c>
      <c r="N24" s="35">
        <f t="shared" ref="N24:N32" si="31">M24+B24</f>
        <v>795.24810000000002</v>
      </c>
      <c r="O24" s="24">
        <f t="shared" ref="O24:O32" si="32">(N24-N23)*1000</f>
        <v>9.9999999974897905E-2</v>
      </c>
      <c r="P24" s="25">
        <f t="shared" ref="P24:P32" si="33">P23+O24</f>
        <v>-2.2999999999910901</v>
      </c>
      <c r="Q24" s="26">
        <f t="shared" ref="Q24:Q32" si="34">O24/(A24-A23)</f>
        <v>4.9999999987449001E-2</v>
      </c>
      <c r="S24" s="21">
        <f t="shared" ref="S24:S32" si="35">A24</f>
        <v>44491</v>
      </c>
      <c r="T24" s="42">
        <v>9.1054999999999993</v>
      </c>
      <c r="U24" s="43">
        <f t="shared" ref="U24:U32" si="36">(T24-T23)*1000</f>
        <v>-0.10000000000154299</v>
      </c>
      <c r="V24" s="44">
        <f t="shared" ref="V24:V32" si="37">V23+U24</f>
        <v>-2.6000000000010499</v>
      </c>
      <c r="W24" s="45">
        <f t="shared" ref="W24:W32" si="38">U24/(S23-S24)</f>
        <v>5.0000000000771601E-2</v>
      </c>
      <c r="X24" s="29">
        <v>12.1252</v>
      </c>
      <c r="Y24" s="43">
        <f t="shared" ref="Y24:Y32" si="39">(X24-X23)*1000</f>
        <v>-0.30000000000107702</v>
      </c>
      <c r="Z24" s="44">
        <f t="shared" ref="Z24:Z32" si="40">Z23+Y24</f>
        <v>-2.8000000000005798</v>
      </c>
      <c r="AA24" s="45">
        <f t="shared" ref="AA24:AA32" si="41">Y24/(S24-S23)</f>
        <v>-0.15000000000053901</v>
      </c>
      <c r="AB24" s="49">
        <v>9.0109999999999992</v>
      </c>
      <c r="AC24" s="43">
        <f t="shared" ref="AC24:AC32" si="42">(AB24-AB23)*1000</f>
        <v>-0.30000000000107702</v>
      </c>
      <c r="AD24" s="44">
        <f t="shared" ref="AD24:AD32" si="43">AD23+AC24</f>
        <v>-3.6000000000004899</v>
      </c>
      <c r="AE24" s="45">
        <f t="shared" ref="AE24:AE32" si="44">AC24/(S24-S23)</f>
        <v>-0.15000000000053901</v>
      </c>
      <c r="AF24" s="50">
        <v>79148</v>
      </c>
      <c r="AG24" s="58">
        <f t="shared" ref="AG24:AG32" si="45">AF24-79079</f>
        <v>69</v>
      </c>
      <c r="AH24" s="61"/>
      <c r="AI24" s="52"/>
      <c r="AJ24" s="52"/>
    </row>
    <row r="25" spans="1:36">
      <c r="A25" s="21">
        <v>44493</v>
      </c>
      <c r="B25" s="22">
        <v>789.24300000000005</v>
      </c>
      <c r="C25" s="27">
        <v>5.8674999999999997</v>
      </c>
      <c r="D25" s="23">
        <f t="shared" si="23"/>
        <v>795.1105</v>
      </c>
      <c r="E25" s="24">
        <f t="shared" si="24"/>
        <v>0.199999999949796</v>
      </c>
      <c r="F25" s="25">
        <f t="shared" si="25"/>
        <v>-3.30000000008113</v>
      </c>
      <c r="G25" s="26">
        <f t="shared" si="26"/>
        <v>9.9999999974897905E-2</v>
      </c>
      <c r="H25" s="6">
        <v>7.0400999999999998</v>
      </c>
      <c r="I25" s="35">
        <f t="shared" si="27"/>
        <v>796.28309999999999</v>
      </c>
      <c r="J25" s="24">
        <f t="shared" si="28"/>
        <v>-9.9999999974897905E-2</v>
      </c>
      <c r="K25" s="25">
        <f t="shared" si="29"/>
        <v>-2.2999999999910901</v>
      </c>
      <c r="L25" s="26">
        <f t="shared" si="30"/>
        <v>-4.9999999987449001E-2</v>
      </c>
      <c r="M25" s="6">
        <v>6.0053000000000001</v>
      </c>
      <c r="N25" s="35">
        <f t="shared" si="31"/>
        <v>795.24829999999997</v>
      </c>
      <c r="O25" s="24">
        <f t="shared" si="32"/>
        <v>0.20000000006348301</v>
      </c>
      <c r="P25" s="25">
        <f t="shared" si="33"/>
        <v>-2.0999999999275998</v>
      </c>
      <c r="Q25" s="26">
        <f t="shared" si="34"/>
        <v>0.100000000031741</v>
      </c>
      <c r="R25" s="41"/>
      <c r="S25" s="21">
        <f t="shared" si="35"/>
        <v>44493</v>
      </c>
      <c r="T25" s="42">
        <v>9.1057999999999808</v>
      </c>
      <c r="U25" s="43">
        <f t="shared" si="36"/>
        <v>0.29999999998153698</v>
      </c>
      <c r="V25" s="44">
        <f t="shared" si="37"/>
        <v>-2.30000000001951</v>
      </c>
      <c r="W25" s="45">
        <f t="shared" si="38"/>
        <v>-0.14999999999076899</v>
      </c>
      <c r="X25" s="29">
        <v>12.125</v>
      </c>
      <c r="Y25" s="43">
        <f t="shared" si="39"/>
        <v>-0.19999999999953399</v>
      </c>
      <c r="Z25" s="44">
        <f t="shared" si="40"/>
        <v>-3.0000000000001101</v>
      </c>
      <c r="AA25" s="45">
        <f t="shared" si="41"/>
        <v>-9.99999999997669E-2</v>
      </c>
      <c r="AB25" s="49">
        <v>9.0114999999999998</v>
      </c>
      <c r="AC25" s="43">
        <f t="shared" si="42"/>
        <v>0.50000000000061096</v>
      </c>
      <c r="AD25" s="44">
        <f t="shared" si="43"/>
        <v>-3.0999999999998802</v>
      </c>
      <c r="AE25" s="45">
        <f t="shared" si="44"/>
        <v>0.25000000000030598</v>
      </c>
      <c r="AF25" s="50">
        <v>79154</v>
      </c>
      <c r="AG25" s="58">
        <f t="shared" si="45"/>
        <v>75</v>
      </c>
      <c r="AH25" s="61"/>
      <c r="AI25" s="52"/>
      <c r="AJ25" s="52"/>
    </row>
    <row r="26" spans="1:36">
      <c r="A26" s="21">
        <v>44495</v>
      </c>
      <c r="B26" s="22">
        <v>789.24300000000005</v>
      </c>
      <c r="C26" s="27">
        <v>5.8680000000000003</v>
      </c>
      <c r="D26" s="23">
        <f t="shared" si="23"/>
        <v>795.11099999999999</v>
      </c>
      <c r="E26" s="24">
        <f t="shared" si="24"/>
        <v>0.50000000010186296</v>
      </c>
      <c r="F26" s="25">
        <f t="shared" si="25"/>
        <v>-2.79999999997926</v>
      </c>
      <c r="G26" s="26">
        <f t="shared" si="26"/>
        <v>0.25000000005093198</v>
      </c>
      <c r="H26" s="6">
        <v>7.0406000000000004</v>
      </c>
      <c r="I26" s="35">
        <f t="shared" si="27"/>
        <v>796.28359999999998</v>
      </c>
      <c r="J26" s="24">
        <f t="shared" si="28"/>
        <v>0.49999999998817701</v>
      </c>
      <c r="K26" s="25">
        <f t="shared" si="29"/>
        <v>-1.8000000000029099</v>
      </c>
      <c r="L26" s="26">
        <f t="shared" si="30"/>
        <v>0.24999999999408801</v>
      </c>
      <c r="M26" s="6">
        <v>6.0053000000000001</v>
      </c>
      <c r="N26" s="35">
        <f t="shared" si="31"/>
        <v>795.24829999999997</v>
      </c>
      <c r="O26" s="24">
        <f t="shared" si="32"/>
        <v>0</v>
      </c>
      <c r="P26" s="25">
        <f t="shared" si="33"/>
        <v>-2.0999999999275998</v>
      </c>
      <c r="Q26" s="26">
        <f t="shared" si="34"/>
        <v>0</v>
      </c>
      <c r="R26" s="41"/>
      <c r="S26" s="21">
        <f t="shared" si="35"/>
        <v>44495</v>
      </c>
      <c r="T26" s="42">
        <v>9.1058999999999699</v>
      </c>
      <c r="U26" s="43">
        <f t="shared" si="36"/>
        <v>9.9999999989108801E-2</v>
      </c>
      <c r="V26" s="44">
        <f t="shared" si="37"/>
        <v>-2.2000000000303999</v>
      </c>
      <c r="W26" s="45">
        <f t="shared" si="38"/>
        <v>-4.99999999945544E-2</v>
      </c>
      <c r="X26" s="29">
        <v>12.1251</v>
      </c>
      <c r="Y26" s="43">
        <f t="shared" si="39"/>
        <v>9.99999999997669E-2</v>
      </c>
      <c r="Z26" s="44">
        <f t="shared" si="40"/>
        <v>-2.9000000000003499</v>
      </c>
      <c r="AA26" s="45">
        <f t="shared" si="41"/>
        <v>4.9999999999883499E-2</v>
      </c>
      <c r="AB26" s="49">
        <v>9.0113000000000003</v>
      </c>
      <c r="AC26" s="43">
        <f t="shared" si="42"/>
        <v>-0.19999999999953399</v>
      </c>
      <c r="AD26" s="44">
        <f t="shared" si="43"/>
        <v>-3.2999999999994101</v>
      </c>
      <c r="AE26" s="45">
        <f t="shared" si="44"/>
        <v>-9.99999999997669E-2</v>
      </c>
      <c r="AF26" s="50">
        <v>79160</v>
      </c>
      <c r="AG26" s="58">
        <f t="shared" si="45"/>
        <v>81</v>
      </c>
      <c r="AH26" s="61"/>
      <c r="AI26" s="60"/>
      <c r="AJ26" s="61"/>
    </row>
    <row r="27" spans="1:36">
      <c r="A27" s="21">
        <v>44497</v>
      </c>
      <c r="B27" s="22">
        <v>789.24300000000005</v>
      </c>
      <c r="C27" s="27">
        <v>5.8681000000000001</v>
      </c>
      <c r="D27" s="23">
        <f t="shared" si="23"/>
        <v>795.11109999999996</v>
      </c>
      <c r="E27" s="24">
        <f t="shared" si="24"/>
        <v>9.9999999974897905E-2</v>
      </c>
      <c r="F27" s="25">
        <f t="shared" si="25"/>
        <v>-2.70000000000437</v>
      </c>
      <c r="G27" s="26">
        <f t="shared" si="26"/>
        <v>4.9999999987449001E-2</v>
      </c>
      <c r="H27" s="6">
        <v>7.0407999999999999</v>
      </c>
      <c r="I27" s="35">
        <f t="shared" si="27"/>
        <v>796.28380000000004</v>
      </c>
      <c r="J27" s="24">
        <f t="shared" si="28"/>
        <v>0.199999999949796</v>
      </c>
      <c r="K27" s="25">
        <f t="shared" si="29"/>
        <v>-1.60000000005311</v>
      </c>
      <c r="L27" s="26">
        <f t="shared" si="30"/>
        <v>9.9999999974897905E-2</v>
      </c>
      <c r="M27" s="6">
        <v>6.0053999999999998</v>
      </c>
      <c r="N27" s="35">
        <f t="shared" si="31"/>
        <v>795.24839999999995</v>
      </c>
      <c r="O27" s="24">
        <f t="shared" si="32"/>
        <v>9.9999999974897905E-2</v>
      </c>
      <c r="P27" s="25">
        <f t="shared" si="33"/>
        <v>-1.9999999999527101</v>
      </c>
      <c r="Q27" s="26">
        <f t="shared" si="34"/>
        <v>4.9999999987449001E-2</v>
      </c>
      <c r="R27" s="41"/>
      <c r="S27" s="21">
        <f t="shared" si="35"/>
        <v>44497</v>
      </c>
      <c r="T27" s="42">
        <v>9.1056000000000008</v>
      </c>
      <c r="U27" s="43">
        <f t="shared" si="36"/>
        <v>-0.29999999996910298</v>
      </c>
      <c r="V27" s="44">
        <f t="shared" si="37"/>
        <v>-2.4999999999995</v>
      </c>
      <c r="W27" s="45">
        <f t="shared" si="38"/>
        <v>0.14999999998455099</v>
      </c>
      <c r="X27" s="29">
        <v>12.1248</v>
      </c>
      <c r="Y27" s="43">
        <f t="shared" si="39"/>
        <v>-0.29999999999930099</v>
      </c>
      <c r="Z27" s="44">
        <f t="shared" si="40"/>
        <v>-3.1999999999996498</v>
      </c>
      <c r="AA27" s="45">
        <f t="shared" si="41"/>
        <v>-0.14999999999965</v>
      </c>
      <c r="AB27" s="49">
        <v>9.0112000000000005</v>
      </c>
      <c r="AC27" s="43">
        <f t="shared" si="42"/>
        <v>-9.99999999997669E-2</v>
      </c>
      <c r="AD27" s="44">
        <f t="shared" si="43"/>
        <v>-3.3999999999991801</v>
      </c>
      <c r="AE27" s="45">
        <f t="shared" si="44"/>
        <v>-4.9999999999883499E-2</v>
      </c>
      <c r="AF27" s="50">
        <v>79166</v>
      </c>
      <c r="AG27" s="58">
        <f t="shared" si="45"/>
        <v>87</v>
      </c>
      <c r="AH27" s="61"/>
      <c r="AI27" s="60"/>
      <c r="AJ27" s="61"/>
    </row>
    <row r="28" spans="1:36">
      <c r="A28" s="21">
        <v>44499</v>
      </c>
      <c r="B28" s="22">
        <v>789.24300000000005</v>
      </c>
      <c r="C28" s="27">
        <v>5.8682999999999996</v>
      </c>
      <c r="D28" s="23">
        <f t="shared" si="23"/>
        <v>795.11130000000003</v>
      </c>
      <c r="E28" s="24">
        <f t="shared" si="24"/>
        <v>0.199999999949796</v>
      </c>
      <c r="F28" s="25">
        <f t="shared" si="25"/>
        <v>-2.5000000000545701</v>
      </c>
      <c r="G28" s="26">
        <f t="shared" si="26"/>
        <v>9.9999999974897905E-2</v>
      </c>
      <c r="H28" s="6">
        <v>7.0404999999999998</v>
      </c>
      <c r="I28" s="35">
        <f t="shared" si="27"/>
        <v>796.2835</v>
      </c>
      <c r="J28" s="24">
        <f t="shared" si="28"/>
        <v>-0.30000000003838101</v>
      </c>
      <c r="K28" s="25">
        <f t="shared" si="29"/>
        <v>-1.9000000000915001</v>
      </c>
      <c r="L28" s="26">
        <f t="shared" si="30"/>
        <v>-0.15000000001919001</v>
      </c>
      <c r="M28" s="6">
        <v>6.0053999999999998</v>
      </c>
      <c r="N28" s="35">
        <f t="shared" si="31"/>
        <v>795.24839999999995</v>
      </c>
      <c r="O28" s="24">
        <f t="shared" si="32"/>
        <v>0</v>
      </c>
      <c r="P28" s="25">
        <f t="shared" si="33"/>
        <v>-1.9999999999527101</v>
      </c>
      <c r="Q28" s="26">
        <f t="shared" si="34"/>
        <v>0</v>
      </c>
      <c r="R28" s="41"/>
      <c r="S28" s="21">
        <f t="shared" si="35"/>
        <v>44499</v>
      </c>
      <c r="T28" s="42">
        <v>9.1060999999999606</v>
      </c>
      <c r="U28" s="43">
        <f t="shared" si="36"/>
        <v>0.49999999995975503</v>
      </c>
      <c r="V28" s="44">
        <f t="shared" si="37"/>
        <v>-2.00000000003975</v>
      </c>
      <c r="W28" s="45">
        <f t="shared" si="38"/>
        <v>-0.24999999997987701</v>
      </c>
      <c r="X28" s="29">
        <v>12.1249</v>
      </c>
      <c r="Y28" s="43">
        <f t="shared" si="39"/>
        <v>9.99999999997669E-2</v>
      </c>
      <c r="Z28" s="44">
        <f t="shared" si="40"/>
        <v>-3.0999999999998802</v>
      </c>
      <c r="AA28" s="45">
        <f t="shared" si="41"/>
        <v>4.9999999999883499E-2</v>
      </c>
      <c r="AB28" s="49">
        <v>9.0114000000000001</v>
      </c>
      <c r="AC28" s="43">
        <f t="shared" si="42"/>
        <v>0.19999999999953399</v>
      </c>
      <c r="AD28" s="44">
        <f t="shared" si="43"/>
        <v>-3.1999999999996498</v>
      </c>
      <c r="AE28" s="45">
        <f t="shared" si="44"/>
        <v>9.99999999997669E-2</v>
      </c>
      <c r="AF28" s="50">
        <v>79172</v>
      </c>
      <c r="AG28" s="58">
        <f t="shared" si="45"/>
        <v>93</v>
      </c>
      <c r="AH28" s="61"/>
      <c r="AI28" s="60"/>
      <c r="AJ28" s="61"/>
    </row>
    <row r="29" spans="1:36">
      <c r="A29" s="21">
        <v>44501</v>
      </c>
      <c r="B29" s="22">
        <v>789.24300000000005</v>
      </c>
      <c r="C29" s="27">
        <v>5.8681999999999999</v>
      </c>
      <c r="D29" s="23">
        <f t="shared" si="23"/>
        <v>795.11120000000005</v>
      </c>
      <c r="E29" s="24">
        <f t="shared" si="24"/>
        <v>-9.9999999974897905E-2</v>
      </c>
      <c r="F29" s="25">
        <f t="shared" si="25"/>
        <v>-2.6000000000294698</v>
      </c>
      <c r="G29" s="26">
        <f t="shared" si="26"/>
        <v>-4.9999999987449001E-2</v>
      </c>
      <c r="H29" s="6">
        <v>7.0411999999999999</v>
      </c>
      <c r="I29" s="35">
        <f t="shared" si="27"/>
        <v>796.28420000000006</v>
      </c>
      <c r="J29" s="24">
        <f t="shared" si="28"/>
        <v>0.70000000005165897</v>
      </c>
      <c r="K29" s="25">
        <f t="shared" si="29"/>
        <v>-1.2000000000398401</v>
      </c>
      <c r="L29" s="26">
        <f t="shared" si="30"/>
        <v>0.35000000002582998</v>
      </c>
      <c r="M29" s="6">
        <v>6.0056000000000003</v>
      </c>
      <c r="N29" s="35">
        <f t="shared" si="31"/>
        <v>795.24860000000001</v>
      </c>
      <c r="O29" s="24">
        <f t="shared" si="32"/>
        <v>0.199999999949796</v>
      </c>
      <c r="P29" s="25">
        <f t="shared" si="33"/>
        <v>-1.8000000000029099</v>
      </c>
      <c r="Q29" s="26">
        <f t="shared" si="34"/>
        <v>9.9999999974897905E-2</v>
      </c>
      <c r="R29" s="41"/>
      <c r="S29" s="21">
        <f t="shared" si="35"/>
        <v>44501</v>
      </c>
      <c r="T29" s="42">
        <v>9.1061999999999497</v>
      </c>
      <c r="U29" s="43">
        <f t="shared" si="36"/>
        <v>9.9999999989108801E-2</v>
      </c>
      <c r="V29" s="44">
        <f t="shared" si="37"/>
        <v>-1.9000000000506401</v>
      </c>
      <c r="W29" s="45">
        <f t="shared" si="38"/>
        <v>-4.99999999945544E-2</v>
      </c>
      <c r="X29" s="29">
        <v>12.124499999999999</v>
      </c>
      <c r="Y29" s="43">
        <f t="shared" si="39"/>
        <v>-0.40000000000084401</v>
      </c>
      <c r="Z29" s="44">
        <f t="shared" si="40"/>
        <v>-3.5000000000007199</v>
      </c>
      <c r="AA29" s="45">
        <f t="shared" si="41"/>
        <v>-0.20000000000042201</v>
      </c>
      <c r="AB29" s="49">
        <v>9.0112000000000005</v>
      </c>
      <c r="AC29" s="43">
        <f t="shared" si="42"/>
        <v>-0.19999999999953399</v>
      </c>
      <c r="AD29" s="44">
        <f t="shared" si="43"/>
        <v>-3.3999999999991801</v>
      </c>
      <c r="AE29" s="45">
        <f t="shared" si="44"/>
        <v>-9.99999999997669E-2</v>
      </c>
      <c r="AF29" s="50">
        <v>79178</v>
      </c>
      <c r="AG29" s="58">
        <f t="shared" si="45"/>
        <v>99</v>
      </c>
      <c r="AH29" s="61"/>
      <c r="AI29" s="60"/>
      <c r="AJ29" s="61"/>
    </row>
    <row r="30" spans="1:36">
      <c r="A30" s="21">
        <v>44503</v>
      </c>
      <c r="B30" s="22">
        <v>789.24300000000005</v>
      </c>
      <c r="C30" s="27">
        <v>5.8681000000000001</v>
      </c>
      <c r="D30" s="23">
        <f t="shared" si="23"/>
        <v>795.11109999999996</v>
      </c>
      <c r="E30" s="24">
        <f t="shared" si="24"/>
        <v>-9.9999999974897905E-2</v>
      </c>
      <c r="F30" s="25">
        <f t="shared" si="25"/>
        <v>-2.70000000000437</v>
      </c>
      <c r="G30" s="26">
        <f t="shared" si="26"/>
        <v>-4.9999999987449001E-2</v>
      </c>
      <c r="H30" s="6">
        <v>7.0414000000000003</v>
      </c>
      <c r="I30" s="35">
        <f t="shared" si="27"/>
        <v>796.28440000000001</v>
      </c>
      <c r="J30" s="24">
        <f t="shared" si="28"/>
        <v>0.199999999949796</v>
      </c>
      <c r="K30" s="25">
        <f t="shared" si="29"/>
        <v>-1.00000000009004</v>
      </c>
      <c r="L30" s="26">
        <f t="shared" si="30"/>
        <v>9.9999999974897905E-2</v>
      </c>
      <c r="M30" s="6">
        <v>6.0054999999999996</v>
      </c>
      <c r="N30" s="35">
        <f t="shared" si="31"/>
        <v>795.24850000000004</v>
      </c>
      <c r="O30" s="24">
        <f t="shared" si="32"/>
        <v>-9.9999999974897905E-2</v>
      </c>
      <c r="P30" s="25">
        <f t="shared" si="33"/>
        <v>-1.8999999999778101</v>
      </c>
      <c r="Q30" s="26">
        <f t="shared" si="34"/>
        <v>-4.9999999987449001E-2</v>
      </c>
      <c r="R30" s="41"/>
      <c r="S30" s="21">
        <f t="shared" si="35"/>
        <v>44503</v>
      </c>
      <c r="T30" s="42">
        <v>9.1059999999999999</v>
      </c>
      <c r="U30" s="43">
        <f t="shared" si="36"/>
        <v>-0.199999999949796</v>
      </c>
      <c r="V30" s="44">
        <f t="shared" si="37"/>
        <v>-2.10000000000043</v>
      </c>
      <c r="W30" s="45">
        <f t="shared" si="38"/>
        <v>9.9999999974897905E-2</v>
      </c>
      <c r="X30" s="29">
        <v>12.124599999999999</v>
      </c>
      <c r="Y30" s="43">
        <f t="shared" si="39"/>
        <v>9.99999999997669E-2</v>
      </c>
      <c r="Z30" s="44">
        <f t="shared" si="40"/>
        <v>-3.40000000000096</v>
      </c>
      <c r="AA30" s="45">
        <f t="shared" si="41"/>
        <v>4.9999999999883499E-2</v>
      </c>
      <c r="AB30" s="49">
        <v>9.0113000000000003</v>
      </c>
      <c r="AC30" s="43">
        <f t="shared" si="42"/>
        <v>9.99999999997669E-2</v>
      </c>
      <c r="AD30" s="44">
        <f t="shared" si="43"/>
        <v>-3.2999999999994101</v>
      </c>
      <c r="AE30" s="45">
        <f t="shared" si="44"/>
        <v>4.9999999999883499E-2</v>
      </c>
      <c r="AF30" s="50">
        <v>79184</v>
      </c>
      <c r="AG30" s="58">
        <f t="shared" si="45"/>
        <v>105</v>
      </c>
      <c r="AH30" s="61"/>
      <c r="AI30" s="60"/>
      <c r="AJ30" s="61"/>
    </row>
    <row r="31" spans="1:36">
      <c r="A31" s="21">
        <v>44510</v>
      </c>
      <c r="B31" s="22">
        <v>789.24300000000005</v>
      </c>
      <c r="C31" s="27">
        <v>5.8680000000000003</v>
      </c>
      <c r="D31" s="23">
        <f t="shared" si="23"/>
        <v>795.11099999999999</v>
      </c>
      <c r="E31" s="24">
        <f t="shared" si="24"/>
        <v>-9.9999999974897905E-2</v>
      </c>
      <c r="F31" s="25">
        <f t="shared" si="25"/>
        <v>-2.79999999997926</v>
      </c>
      <c r="G31" s="26">
        <f t="shared" si="26"/>
        <v>-1.42857142821283E-2</v>
      </c>
      <c r="H31" s="6">
        <v>7.0411999999999999</v>
      </c>
      <c r="I31" s="35">
        <f t="shared" si="27"/>
        <v>796.28420000000006</v>
      </c>
      <c r="J31" s="24">
        <f t="shared" si="28"/>
        <v>-0.199999999949796</v>
      </c>
      <c r="K31" s="25">
        <f t="shared" si="29"/>
        <v>-1.2000000000398401</v>
      </c>
      <c r="L31" s="26">
        <f t="shared" si="30"/>
        <v>-2.8571428564256599E-2</v>
      </c>
      <c r="M31" s="6">
        <v>6.0057999999999998</v>
      </c>
      <c r="N31" s="35">
        <f t="shared" si="31"/>
        <v>795.24879999999996</v>
      </c>
      <c r="O31" s="24">
        <f t="shared" si="32"/>
        <v>0.30000000003838101</v>
      </c>
      <c r="P31" s="25">
        <f t="shared" si="33"/>
        <v>-1.5999999999394301</v>
      </c>
      <c r="Q31" s="26">
        <f t="shared" si="34"/>
        <v>4.2857142862625798E-2</v>
      </c>
      <c r="R31" s="41"/>
      <c r="S31" s="21">
        <f t="shared" si="35"/>
        <v>44510</v>
      </c>
      <c r="T31" s="42">
        <v>9.1061999999999994</v>
      </c>
      <c r="U31" s="43">
        <f t="shared" si="36"/>
        <v>0.19999999999953399</v>
      </c>
      <c r="V31" s="44">
        <f t="shared" si="37"/>
        <v>-1.9000000000009001</v>
      </c>
      <c r="W31" s="45">
        <f t="shared" si="38"/>
        <v>-2.8571428571361999E-2</v>
      </c>
      <c r="X31" s="29">
        <v>12.1243</v>
      </c>
      <c r="Y31" s="43">
        <f t="shared" si="39"/>
        <v>-0.29999999999930099</v>
      </c>
      <c r="Z31" s="44">
        <f t="shared" si="40"/>
        <v>-3.70000000000026</v>
      </c>
      <c r="AA31" s="45">
        <f t="shared" si="41"/>
        <v>-4.2857142857043E-2</v>
      </c>
      <c r="AB31" s="49">
        <v>9.0109999999999992</v>
      </c>
      <c r="AC31" s="43">
        <f t="shared" si="42"/>
        <v>-0.30000000000107702</v>
      </c>
      <c r="AD31" s="44">
        <f t="shared" si="43"/>
        <v>-3.6000000000004899</v>
      </c>
      <c r="AE31" s="45">
        <f t="shared" si="44"/>
        <v>-4.28571428572967E-2</v>
      </c>
      <c r="AF31" s="50">
        <v>79190</v>
      </c>
      <c r="AG31" s="58">
        <f t="shared" si="45"/>
        <v>111</v>
      </c>
      <c r="AH31" s="61"/>
      <c r="AI31" s="60"/>
      <c r="AJ31" s="61"/>
    </row>
    <row r="32" spans="1:36">
      <c r="A32" s="21">
        <v>44517</v>
      </c>
      <c r="B32" s="22">
        <v>789.24300000000005</v>
      </c>
      <c r="C32" s="27">
        <v>5.8680000000000003</v>
      </c>
      <c r="D32" s="23">
        <f t="shared" si="23"/>
        <v>795.11099999999999</v>
      </c>
      <c r="E32" s="24">
        <f t="shared" si="24"/>
        <v>0</v>
      </c>
      <c r="F32" s="25">
        <f t="shared" si="25"/>
        <v>-2.79999999997926</v>
      </c>
      <c r="G32" s="26">
        <f t="shared" si="26"/>
        <v>0</v>
      </c>
      <c r="H32" s="6">
        <v>7.0410000000000004</v>
      </c>
      <c r="I32" s="35">
        <f t="shared" si="27"/>
        <v>796.28399999999999</v>
      </c>
      <c r="J32" s="24">
        <f t="shared" si="28"/>
        <v>-0.199999999949796</v>
      </c>
      <c r="K32" s="25">
        <f t="shared" si="29"/>
        <v>-1.39999999998963</v>
      </c>
      <c r="L32" s="26">
        <f t="shared" si="30"/>
        <v>-2.8571428564256599E-2</v>
      </c>
      <c r="M32" s="6">
        <v>6.0053999999999998</v>
      </c>
      <c r="N32" s="35">
        <f t="shared" si="31"/>
        <v>795.24839999999995</v>
      </c>
      <c r="O32" s="24">
        <f t="shared" si="32"/>
        <v>-0.40000000001327901</v>
      </c>
      <c r="P32" s="25">
        <f t="shared" si="33"/>
        <v>-1.9999999999527101</v>
      </c>
      <c r="Q32" s="26">
        <f t="shared" si="34"/>
        <v>-5.7142857144754103E-2</v>
      </c>
      <c r="R32" s="41"/>
      <c r="S32" s="21">
        <f t="shared" si="35"/>
        <v>44517</v>
      </c>
      <c r="T32" s="42">
        <v>9.1058000000000003</v>
      </c>
      <c r="U32" s="43">
        <f t="shared" si="36"/>
        <v>-0.39999999999906799</v>
      </c>
      <c r="V32" s="44">
        <f t="shared" si="37"/>
        <v>-2.2999999999999701</v>
      </c>
      <c r="W32" s="45">
        <f t="shared" si="38"/>
        <v>5.7142857142723998E-2</v>
      </c>
      <c r="X32" s="29">
        <v>12.124499999999999</v>
      </c>
      <c r="Y32" s="43">
        <f t="shared" si="39"/>
        <v>0.19999999999953399</v>
      </c>
      <c r="Z32" s="44">
        <f t="shared" si="40"/>
        <v>-3.5000000000007199</v>
      </c>
      <c r="AA32" s="45">
        <f t="shared" si="41"/>
        <v>2.8571428571361999E-2</v>
      </c>
      <c r="AB32" s="49">
        <v>9.0114999999999998</v>
      </c>
      <c r="AC32" s="43">
        <f t="shared" si="42"/>
        <v>0.50000000000061096</v>
      </c>
      <c r="AD32" s="44">
        <f t="shared" si="43"/>
        <v>-3.0999999999998802</v>
      </c>
      <c r="AE32" s="45">
        <f t="shared" si="44"/>
        <v>7.1428571428658702E-2</v>
      </c>
      <c r="AF32" s="50">
        <v>79196</v>
      </c>
      <c r="AG32" s="58">
        <f t="shared" si="45"/>
        <v>117</v>
      </c>
      <c r="AH32" s="61"/>
      <c r="AI32" s="60"/>
      <c r="AJ32" s="61"/>
    </row>
    <row r="33" spans="1:36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</row>
    <row r="34" spans="1:36">
      <c r="A34" s="21"/>
      <c r="B34" s="22"/>
      <c r="C34" s="27"/>
      <c r="D34" s="23"/>
      <c r="E34" s="65">
        <f>F32-F23</f>
        <v>0.30000000003838101</v>
      </c>
      <c r="F34" s="33">
        <f>K32-K23</f>
        <v>1.00000000009004</v>
      </c>
      <c r="G34" s="33">
        <f>P32-P23</f>
        <v>0.40000000001327901</v>
      </c>
      <c r="H34" s="68">
        <f>F32</f>
        <v>-2.79999999997926</v>
      </c>
      <c r="I34" s="69">
        <f>K32</f>
        <v>-1.39999999998963</v>
      </c>
      <c r="J34" s="65">
        <f>P32</f>
        <v>-1.9999999999527101</v>
      </c>
      <c r="K34" s="33">
        <f>(P32-P31)/7</f>
        <v>-5.7142857144754103E-2</v>
      </c>
      <c r="L34" s="26"/>
      <c r="N34" s="35"/>
      <c r="O34" s="24"/>
      <c r="P34" s="25"/>
      <c r="Q34" s="26"/>
      <c r="R34" s="41"/>
      <c r="S34" s="21"/>
      <c r="T34" s="42"/>
      <c r="U34" s="65">
        <f>V32-V23</f>
        <v>0.19999999999953399</v>
      </c>
      <c r="V34" s="33">
        <f>Z32-Z23</f>
        <v>-1.0000000000012199</v>
      </c>
      <c r="W34" s="33">
        <f>AD32-AD23</f>
        <v>0.19999999999953399</v>
      </c>
      <c r="X34" s="33">
        <f>V32</f>
        <v>-2.2999999999999701</v>
      </c>
      <c r="Y34" s="65">
        <f>Z32</f>
        <v>-3.5000000000007199</v>
      </c>
      <c r="Z34" s="33">
        <f>AD32</f>
        <v>-3.0999999999998802</v>
      </c>
      <c r="AA34" s="33">
        <f>(AD32-AD31)/7</f>
        <v>7.1428571428658702E-2</v>
      </c>
      <c r="AB34" s="49"/>
      <c r="AC34" s="43"/>
      <c r="AD34" s="44"/>
      <c r="AE34" s="45"/>
      <c r="AF34" s="50"/>
      <c r="AG34" s="58"/>
      <c r="AH34" s="61"/>
      <c r="AI34" s="60"/>
      <c r="AJ34"/>
    </row>
    <row r="35" spans="1:36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6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6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6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6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6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6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6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6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6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6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6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6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6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J54"/>
  <sheetViews>
    <sheetView topLeftCell="A2" workbookViewId="0">
      <selection activeCell="P6" sqref="F6:F28 K6:K28 P6:P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8.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6" width="9" style="10"/>
  </cols>
  <sheetData>
    <row r="1" spans="1:36" ht="22.5">
      <c r="A1" s="74" t="s">
        <v>26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</row>
    <row r="2" spans="1:36">
      <c r="A2" s="12" t="s">
        <v>1</v>
      </c>
      <c r="B2" s="12"/>
      <c r="C2" s="79">
        <v>44481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</row>
    <row r="3" spans="1:36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</row>
    <row r="4" spans="1:36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</row>
    <row r="5" spans="1:36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</row>
    <row r="6" spans="1:36">
      <c r="A6" s="21">
        <v>44481</v>
      </c>
      <c r="B6" s="22">
        <v>789.95809999999994</v>
      </c>
      <c r="C6" s="27">
        <v>5.2599</v>
      </c>
      <c r="D6" s="23">
        <f t="shared" ref="D6:D14" si="0">C6+B6</f>
        <v>795.21799999999996</v>
      </c>
      <c r="E6" s="24">
        <v>0</v>
      </c>
      <c r="F6" s="25">
        <v>0</v>
      </c>
      <c r="G6" s="26">
        <v>0</v>
      </c>
      <c r="H6" s="6">
        <v>6.5571999999999999</v>
      </c>
      <c r="I6" s="35">
        <f t="shared" ref="I6:I14" si="1">H6+B6</f>
        <v>796.51530000000002</v>
      </c>
      <c r="J6" s="24">
        <v>0</v>
      </c>
      <c r="K6" s="25">
        <v>0</v>
      </c>
      <c r="L6" s="26">
        <v>0</v>
      </c>
      <c r="M6" s="6">
        <v>5.3268000000000004</v>
      </c>
      <c r="N6" s="35">
        <f t="shared" ref="N6:N14" si="2">M6+B6</f>
        <v>795.28489999999999</v>
      </c>
      <c r="O6" s="24">
        <v>0</v>
      </c>
      <c r="P6" s="25">
        <v>0</v>
      </c>
      <c r="Q6" s="26">
        <v>0</v>
      </c>
      <c r="R6" s="41"/>
      <c r="S6" s="21">
        <f t="shared" ref="S6:S14" si="3">A6</f>
        <v>44481</v>
      </c>
      <c r="T6" s="42">
        <v>8.8825000000000003</v>
      </c>
      <c r="U6" s="43">
        <v>0</v>
      </c>
      <c r="V6" s="44">
        <v>0</v>
      </c>
      <c r="W6" s="45">
        <f>U6/(S6-S11)</f>
        <v>0</v>
      </c>
      <c r="X6" s="29">
        <v>11.8254</v>
      </c>
      <c r="Y6" s="43">
        <v>0</v>
      </c>
      <c r="Z6" s="44">
        <v>0</v>
      </c>
      <c r="AA6" s="45">
        <v>0</v>
      </c>
      <c r="AB6" s="49">
        <v>8.8641000000000005</v>
      </c>
      <c r="AC6" s="43">
        <v>0</v>
      </c>
      <c r="AD6" s="44">
        <v>0</v>
      </c>
      <c r="AE6" s="45">
        <v>0</v>
      </c>
      <c r="AF6" s="50">
        <v>79120</v>
      </c>
      <c r="AG6" s="58">
        <f>AF6-79110</f>
        <v>10</v>
      </c>
      <c r="AH6" s="59"/>
      <c r="AI6" s="60"/>
      <c r="AJ6" s="61"/>
    </row>
    <row r="7" spans="1:36">
      <c r="A7" s="21">
        <v>44482</v>
      </c>
      <c r="B7" s="22">
        <v>789.95809999999994</v>
      </c>
      <c r="C7" s="27">
        <v>5.2595999999999998</v>
      </c>
      <c r="D7" s="23">
        <f t="shared" si="0"/>
        <v>795.21770000000004</v>
      </c>
      <c r="E7" s="24">
        <f t="shared" ref="E7:E14" si="4">(D7-D6)*1000</f>
        <v>-0.30000000003838101</v>
      </c>
      <c r="F7" s="25">
        <f t="shared" ref="F7:F14" si="5">F6+E7</f>
        <v>-0.30000000003838101</v>
      </c>
      <c r="G7" s="26">
        <f t="shared" ref="G7:G14" si="6">E7/(A7-A6)</f>
        <v>-0.30000000003838101</v>
      </c>
      <c r="H7" s="6">
        <v>6.5570000000000004</v>
      </c>
      <c r="I7" s="35">
        <f t="shared" si="1"/>
        <v>796.51509999999996</v>
      </c>
      <c r="J7" s="24">
        <f t="shared" ref="J7:J14" si="7">(I7-I6)*1000</f>
        <v>-0.199999999949796</v>
      </c>
      <c r="K7" s="25">
        <f t="shared" ref="K7:K14" si="8">K6+J7</f>
        <v>-0.199999999949796</v>
      </c>
      <c r="L7" s="26">
        <f t="shared" ref="L7:L14" si="9">J7/(A7-A6)</f>
        <v>-0.199999999949796</v>
      </c>
      <c r="M7" s="6">
        <v>5.3262999999999998</v>
      </c>
      <c r="N7" s="35">
        <f t="shared" si="2"/>
        <v>795.28440000000001</v>
      </c>
      <c r="O7" s="24">
        <f t="shared" ref="O7:O14" si="10">(N7-N6)*1000</f>
        <v>-0.50000000010186296</v>
      </c>
      <c r="P7" s="25">
        <f t="shared" ref="P7:P14" si="11">P6+O7</f>
        <v>-0.50000000010186296</v>
      </c>
      <c r="Q7" s="26">
        <f t="shared" ref="Q7:Q14" si="12">O7/(A7-A6)</f>
        <v>-0.50000000010186296</v>
      </c>
      <c r="R7" s="41"/>
      <c r="S7" s="21">
        <f t="shared" si="3"/>
        <v>44482</v>
      </c>
      <c r="T7" s="42">
        <v>8.8823000000000008</v>
      </c>
      <c r="U7" s="43">
        <f t="shared" ref="U7:U14" si="13">(T7-T6)*1000</f>
        <v>-0.19999999999953399</v>
      </c>
      <c r="V7" s="44">
        <f t="shared" ref="V7:V14" si="14">V6+U7</f>
        <v>-0.19999999999953399</v>
      </c>
      <c r="W7" s="45">
        <f t="shared" ref="W7:W14" si="15">U7/(S6-S7)</f>
        <v>0.19999999999953399</v>
      </c>
      <c r="X7" s="29">
        <v>11.8249</v>
      </c>
      <c r="Y7" s="43">
        <f t="shared" ref="Y7:Y14" si="16">(X7-X6)*1000</f>
        <v>-0.50000000000061096</v>
      </c>
      <c r="Z7" s="44">
        <f t="shared" ref="Z7:Z14" si="17">Z6+Y7</f>
        <v>-0.50000000000061096</v>
      </c>
      <c r="AA7" s="45">
        <f t="shared" ref="AA7:AA14" si="18">Y7/(S7-S6)</f>
        <v>-0.50000000000061096</v>
      </c>
      <c r="AB7" s="49">
        <v>8.8644999999999996</v>
      </c>
      <c r="AC7" s="43">
        <f t="shared" ref="AC7:AC14" si="19">(AB7-AB6)*1000</f>
        <v>0.39999999999906799</v>
      </c>
      <c r="AD7" s="44">
        <f t="shared" ref="AD7:AD14" si="20">AD6+AC7</f>
        <v>0.39999999999906799</v>
      </c>
      <c r="AE7" s="45">
        <f t="shared" ref="AE7:AE14" si="21">AC7/(S7-S6)</f>
        <v>0.39999999999906799</v>
      </c>
      <c r="AF7" s="50">
        <v>79123</v>
      </c>
      <c r="AG7" s="58">
        <f t="shared" ref="AG7:AG14" si="22">AF7-79110</f>
        <v>13</v>
      </c>
      <c r="AH7" s="59"/>
      <c r="AI7" s="60"/>
      <c r="AJ7" s="61"/>
    </row>
    <row r="8" spans="1:36">
      <c r="A8" s="21">
        <v>44483</v>
      </c>
      <c r="B8" s="22">
        <v>789.95809999999994</v>
      </c>
      <c r="C8" s="27">
        <v>5.2594000000000003</v>
      </c>
      <c r="D8" s="23">
        <f t="shared" si="0"/>
        <v>795.21749999999997</v>
      </c>
      <c r="E8" s="24">
        <f t="shared" si="4"/>
        <v>-0.199999999949796</v>
      </c>
      <c r="F8" s="25">
        <f t="shared" si="5"/>
        <v>-0.49999999998817701</v>
      </c>
      <c r="G8" s="26">
        <f t="shared" si="6"/>
        <v>-0.199999999949796</v>
      </c>
      <c r="H8" s="6">
        <v>6.5568</v>
      </c>
      <c r="I8" s="35">
        <f t="shared" si="1"/>
        <v>796.51490000000001</v>
      </c>
      <c r="J8" s="24">
        <f t="shared" si="7"/>
        <v>-0.20000000006348301</v>
      </c>
      <c r="K8" s="25">
        <f t="shared" si="8"/>
        <v>-0.40000000001327901</v>
      </c>
      <c r="L8" s="26">
        <f t="shared" si="9"/>
        <v>-0.20000000006348301</v>
      </c>
      <c r="M8" s="6">
        <v>5.3262</v>
      </c>
      <c r="N8" s="35">
        <f t="shared" si="2"/>
        <v>795.28430000000003</v>
      </c>
      <c r="O8" s="24">
        <f t="shared" si="10"/>
        <v>-9.9999999974897905E-2</v>
      </c>
      <c r="P8" s="25">
        <f t="shared" si="11"/>
        <v>-0.60000000007676102</v>
      </c>
      <c r="Q8" s="26">
        <f t="shared" si="12"/>
        <v>-9.9999999974897905E-2</v>
      </c>
      <c r="R8" s="41"/>
      <c r="S8" s="21">
        <f t="shared" si="3"/>
        <v>44483</v>
      </c>
      <c r="T8" s="42">
        <v>8.8819999999999997</v>
      </c>
      <c r="U8" s="43">
        <f t="shared" si="13"/>
        <v>-0.30000000000107702</v>
      </c>
      <c r="V8" s="44">
        <f t="shared" si="14"/>
        <v>-0.50000000000061096</v>
      </c>
      <c r="W8" s="45">
        <f t="shared" si="15"/>
        <v>0.30000000000107702</v>
      </c>
      <c r="X8" s="29">
        <v>11.8253</v>
      </c>
      <c r="Y8" s="43">
        <f t="shared" si="16"/>
        <v>0.40000000000084401</v>
      </c>
      <c r="Z8" s="44">
        <f t="shared" si="17"/>
        <v>-9.99999999997669E-2</v>
      </c>
      <c r="AA8" s="45">
        <f t="shared" si="18"/>
        <v>0.40000000000084401</v>
      </c>
      <c r="AB8" s="49">
        <v>8.8643000000000001</v>
      </c>
      <c r="AC8" s="43">
        <f t="shared" si="19"/>
        <v>-0.19999999999953399</v>
      </c>
      <c r="AD8" s="44">
        <f t="shared" si="20"/>
        <v>0.19999999999953399</v>
      </c>
      <c r="AE8" s="45">
        <f t="shared" si="21"/>
        <v>-0.19999999999953399</v>
      </c>
      <c r="AF8" s="50">
        <v>79126</v>
      </c>
      <c r="AG8" s="58">
        <f t="shared" si="22"/>
        <v>16</v>
      </c>
      <c r="AH8" s="59"/>
      <c r="AI8" s="60"/>
      <c r="AJ8" s="61"/>
    </row>
    <row r="9" spans="1:36">
      <c r="A9" s="21">
        <v>44484</v>
      </c>
      <c r="B9" s="22">
        <v>789.95809999999994</v>
      </c>
      <c r="C9" s="27">
        <v>5.2595000000000001</v>
      </c>
      <c r="D9" s="23">
        <f t="shared" si="0"/>
        <v>795.21759999999995</v>
      </c>
      <c r="E9" s="24">
        <f t="shared" si="4"/>
        <v>9.9999999974897905E-2</v>
      </c>
      <c r="F9" s="25">
        <f t="shared" si="5"/>
        <v>-0.40000000001327901</v>
      </c>
      <c r="G9" s="26">
        <f t="shared" si="6"/>
        <v>9.9999999974897905E-2</v>
      </c>
      <c r="H9" s="6">
        <v>6.5563000000000002</v>
      </c>
      <c r="I9" s="35">
        <f t="shared" si="1"/>
        <v>796.51440000000002</v>
      </c>
      <c r="J9" s="24">
        <f t="shared" si="7"/>
        <v>-0.49999999998817701</v>
      </c>
      <c r="K9" s="25">
        <f t="shared" si="8"/>
        <v>-0.90000000000145497</v>
      </c>
      <c r="L9" s="26">
        <f t="shared" si="9"/>
        <v>-0.49999999998817701</v>
      </c>
      <c r="M9" s="6">
        <v>5.3259999999999996</v>
      </c>
      <c r="N9" s="35">
        <f t="shared" si="2"/>
        <v>795.28409999999997</v>
      </c>
      <c r="O9" s="24">
        <f t="shared" si="10"/>
        <v>-0.199999999949796</v>
      </c>
      <c r="P9" s="25">
        <f t="shared" si="11"/>
        <v>-0.80000000002655702</v>
      </c>
      <c r="Q9" s="26">
        <f t="shared" si="12"/>
        <v>-0.199999999949796</v>
      </c>
      <c r="R9" s="41"/>
      <c r="S9" s="21">
        <f t="shared" si="3"/>
        <v>44484</v>
      </c>
      <c r="T9" s="42">
        <v>8.8820999999999994</v>
      </c>
      <c r="U9" s="43">
        <f t="shared" si="13"/>
        <v>9.99999999997669E-2</v>
      </c>
      <c r="V9" s="44">
        <f t="shared" si="14"/>
        <v>-0.40000000000084401</v>
      </c>
      <c r="W9" s="45">
        <f t="shared" si="15"/>
        <v>-9.99999999997669E-2</v>
      </c>
      <c r="X9" s="29">
        <v>11.825100000000001</v>
      </c>
      <c r="Y9" s="43">
        <f t="shared" si="16"/>
        <v>-0.19999999999953399</v>
      </c>
      <c r="Z9" s="44">
        <f t="shared" si="17"/>
        <v>-0.29999999999930099</v>
      </c>
      <c r="AA9" s="45">
        <f t="shared" si="18"/>
        <v>-0.19999999999953399</v>
      </c>
      <c r="AB9" s="49">
        <v>8.8640000000000008</v>
      </c>
      <c r="AC9" s="43">
        <f t="shared" si="19"/>
        <v>-0.29999999999930099</v>
      </c>
      <c r="AD9" s="44">
        <f t="shared" si="20"/>
        <v>-9.99999999997669E-2</v>
      </c>
      <c r="AE9" s="45">
        <f t="shared" si="21"/>
        <v>-0.29999999999930099</v>
      </c>
      <c r="AF9" s="50">
        <v>79129</v>
      </c>
      <c r="AG9" s="58">
        <f t="shared" si="22"/>
        <v>19</v>
      </c>
      <c r="AH9" s="59"/>
      <c r="AI9" s="60"/>
      <c r="AJ9" s="61"/>
    </row>
    <row r="10" spans="1:36">
      <c r="A10" s="21">
        <v>44485</v>
      </c>
      <c r="B10" s="22">
        <v>789.95809999999994</v>
      </c>
      <c r="C10" s="27">
        <v>5.2592999999999996</v>
      </c>
      <c r="D10" s="23">
        <f t="shared" si="0"/>
        <v>795.2174</v>
      </c>
      <c r="E10" s="24">
        <f t="shared" si="4"/>
        <v>-0.199999999949796</v>
      </c>
      <c r="F10" s="25">
        <f t="shared" si="5"/>
        <v>-0.59999999996307496</v>
      </c>
      <c r="G10" s="26">
        <f t="shared" si="6"/>
        <v>-0.199999999949796</v>
      </c>
      <c r="H10" s="6">
        <v>6.556</v>
      </c>
      <c r="I10" s="35">
        <f t="shared" si="1"/>
        <v>796.51409999999998</v>
      </c>
      <c r="J10" s="24">
        <f t="shared" si="7"/>
        <v>-0.29999999992469401</v>
      </c>
      <c r="K10" s="25">
        <f t="shared" si="8"/>
        <v>-1.1999999999261499</v>
      </c>
      <c r="L10" s="26">
        <f t="shared" si="9"/>
        <v>-0.29999999992469401</v>
      </c>
      <c r="M10" s="6">
        <v>5.3258000000000001</v>
      </c>
      <c r="N10" s="35">
        <f t="shared" si="2"/>
        <v>795.28390000000002</v>
      </c>
      <c r="O10" s="24">
        <f t="shared" si="10"/>
        <v>-0.20000000006348301</v>
      </c>
      <c r="P10" s="25">
        <f t="shared" si="11"/>
        <v>-1.00000000009004</v>
      </c>
      <c r="Q10" s="26">
        <f t="shared" si="12"/>
        <v>-0.20000000006348301</v>
      </c>
      <c r="R10" s="41"/>
      <c r="S10" s="21">
        <f t="shared" si="3"/>
        <v>44485</v>
      </c>
      <c r="T10" s="42">
        <v>8.8819999999999997</v>
      </c>
      <c r="U10" s="43">
        <f t="shared" si="13"/>
        <v>-9.99999999997669E-2</v>
      </c>
      <c r="V10" s="44">
        <f t="shared" si="14"/>
        <v>-0.50000000000061096</v>
      </c>
      <c r="W10" s="45">
        <f t="shared" si="15"/>
        <v>9.99999999997669E-2</v>
      </c>
      <c r="X10" s="29">
        <v>11.8248</v>
      </c>
      <c r="Y10" s="43">
        <f t="shared" si="16"/>
        <v>-0.30000000000107702</v>
      </c>
      <c r="Z10" s="44">
        <f t="shared" si="17"/>
        <v>-0.60000000000037801</v>
      </c>
      <c r="AA10" s="45">
        <f t="shared" si="18"/>
        <v>-0.30000000000107702</v>
      </c>
      <c r="AB10" s="49">
        <v>8.8637999999999995</v>
      </c>
      <c r="AC10" s="43">
        <f t="shared" si="19"/>
        <v>-0.20000000000130999</v>
      </c>
      <c r="AD10" s="44">
        <f t="shared" si="20"/>
        <v>-0.30000000000107702</v>
      </c>
      <c r="AE10" s="45">
        <f t="shared" si="21"/>
        <v>-0.20000000000130999</v>
      </c>
      <c r="AF10" s="50">
        <v>79132</v>
      </c>
      <c r="AG10" s="58">
        <f t="shared" si="22"/>
        <v>22</v>
      </c>
      <c r="AH10" s="59"/>
      <c r="AI10" s="60"/>
      <c r="AJ10" s="61"/>
    </row>
    <row r="11" spans="1:36">
      <c r="A11" s="21">
        <v>44486</v>
      </c>
      <c r="B11" s="22">
        <v>789.95809999999994</v>
      </c>
      <c r="C11" s="27">
        <v>5.2591999999999999</v>
      </c>
      <c r="D11" s="23">
        <f t="shared" si="0"/>
        <v>795.21730000000002</v>
      </c>
      <c r="E11" s="24">
        <f t="shared" si="4"/>
        <v>-0.10000000008858501</v>
      </c>
      <c r="F11" s="25">
        <f t="shared" si="5"/>
        <v>-0.70000000005165897</v>
      </c>
      <c r="G11" s="26">
        <f t="shared" si="6"/>
        <v>-0.10000000008858501</v>
      </c>
      <c r="H11" s="6">
        <v>6.5560999999999998</v>
      </c>
      <c r="I11" s="35">
        <f t="shared" si="1"/>
        <v>796.51419999999996</v>
      </c>
      <c r="J11" s="24">
        <f t="shared" si="7"/>
        <v>9.9999999974897905E-2</v>
      </c>
      <c r="K11" s="25">
        <f t="shared" si="8"/>
        <v>-1.09999999995125</v>
      </c>
      <c r="L11" s="26">
        <f t="shared" si="9"/>
        <v>9.9999999974897905E-2</v>
      </c>
      <c r="M11" s="6">
        <v>5.3258999999999999</v>
      </c>
      <c r="N11" s="35">
        <f t="shared" si="2"/>
        <v>795.28399999999999</v>
      </c>
      <c r="O11" s="24">
        <f t="shared" si="10"/>
        <v>0.10000000008858501</v>
      </c>
      <c r="P11" s="25">
        <f t="shared" si="11"/>
        <v>-0.90000000000145497</v>
      </c>
      <c r="Q11" s="26">
        <f t="shared" si="12"/>
        <v>0.10000000008858501</v>
      </c>
      <c r="R11" s="41"/>
      <c r="S11" s="21">
        <f t="shared" si="3"/>
        <v>44486</v>
      </c>
      <c r="T11" s="42">
        <v>8.8818999999999999</v>
      </c>
      <c r="U11" s="43">
        <f t="shared" si="13"/>
        <v>-9.99999999997669E-2</v>
      </c>
      <c r="V11" s="44">
        <f t="shared" si="14"/>
        <v>-0.60000000000037801</v>
      </c>
      <c r="W11" s="45">
        <f t="shared" si="15"/>
        <v>9.99999999997669E-2</v>
      </c>
      <c r="X11" s="29">
        <v>11.8246</v>
      </c>
      <c r="Y11" s="43">
        <f t="shared" si="16"/>
        <v>-0.19999999999953399</v>
      </c>
      <c r="Z11" s="44">
        <f t="shared" si="17"/>
        <v>-0.799999999999912</v>
      </c>
      <c r="AA11" s="45">
        <f t="shared" si="18"/>
        <v>-0.19999999999953399</v>
      </c>
      <c r="AB11" s="49">
        <v>8.8635000000000002</v>
      </c>
      <c r="AC11" s="43">
        <f t="shared" si="19"/>
        <v>-0.29999999999930099</v>
      </c>
      <c r="AD11" s="44">
        <f t="shared" si="20"/>
        <v>-0.60000000000037801</v>
      </c>
      <c r="AE11" s="45">
        <f t="shared" si="21"/>
        <v>-0.29999999999930099</v>
      </c>
      <c r="AF11" s="50">
        <v>79135</v>
      </c>
      <c r="AG11" s="58">
        <f t="shared" si="22"/>
        <v>25</v>
      </c>
      <c r="AH11" s="61"/>
      <c r="AI11" s="60"/>
      <c r="AJ11" s="52"/>
    </row>
    <row r="12" spans="1:36">
      <c r="A12" s="21">
        <v>44487</v>
      </c>
      <c r="B12" s="22">
        <v>789.95809999999994</v>
      </c>
      <c r="C12" s="27">
        <v>5.2590000000000003</v>
      </c>
      <c r="D12" s="23">
        <f t="shared" si="0"/>
        <v>795.21709999999996</v>
      </c>
      <c r="E12" s="24">
        <f t="shared" si="4"/>
        <v>-0.199999999949796</v>
      </c>
      <c r="F12" s="25">
        <f t="shared" si="5"/>
        <v>-0.90000000000145497</v>
      </c>
      <c r="G12" s="26">
        <f t="shared" si="6"/>
        <v>-0.199999999949796</v>
      </c>
      <c r="H12" s="6">
        <v>6.5559000000000003</v>
      </c>
      <c r="I12" s="35">
        <f t="shared" si="1"/>
        <v>796.51400000000001</v>
      </c>
      <c r="J12" s="24">
        <f t="shared" si="7"/>
        <v>-0.20000000006348301</v>
      </c>
      <c r="K12" s="25">
        <f t="shared" si="8"/>
        <v>-1.30000000001473</v>
      </c>
      <c r="L12" s="26">
        <f t="shared" si="9"/>
        <v>-0.20000000006348301</v>
      </c>
      <c r="M12" s="6">
        <v>5.3255999999999997</v>
      </c>
      <c r="N12" s="35">
        <f t="shared" si="2"/>
        <v>795.28369999999995</v>
      </c>
      <c r="O12" s="24">
        <f t="shared" si="10"/>
        <v>-0.30000000003838101</v>
      </c>
      <c r="P12" s="25">
        <f t="shared" si="11"/>
        <v>-1.2000000000398401</v>
      </c>
      <c r="Q12" s="26">
        <f t="shared" si="12"/>
        <v>-0.30000000003838101</v>
      </c>
      <c r="R12" s="41"/>
      <c r="S12" s="21">
        <f t="shared" si="3"/>
        <v>44487</v>
      </c>
      <c r="T12" s="42">
        <v>8.8815000000000008</v>
      </c>
      <c r="U12" s="43">
        <f t="shared" si="13"/>
        <v>-0.39999999999906799</v>
      </c>
      <c r="V12" s="44">
        <f t="shared" si="14"/>
        <v>-0.999999999999446</v>
      </c>
      <c r="W12" s="45">
        <f t="shared" si="15"/>
        <v>0.39999999999906799</v>
      </c>
      <c r="X12" s="29">
        <v>11.8245</v>
      </c>
      <c r="Y12" s="43">
        <f t="shared" si="16"/>
        <v>-9.99999999997669E-2</v>
      </c>
      <c r="Z12" s="44">
        <f t="shared" si="17"/>
        <v>-0.89999999999967895</v>
      </c>
      <c r="AA12" s="45">
        <f t="shared" si="18"/>
        <v>-9.99999999997669E-2</v>
      </c>
      <c r="AB12" s="49">
        <v>8.8635999999999999</v>
      </c>
      <c r="AC12" s="43">
        <f t="shared" si="19"/>
        <v>9.99999999997669E-2</v>
      </c>
      <c r="AD12" s="44">
        <f t="shared" si="20"/>
        <v>-0.50000000000061096</v>
      </c>
      <c r="AE12" s="45">
        <f t="shared" si="21"/>
        <v>9.99999999997669E-2</v>
      </c>
      <c r="AF12" s="50">
        <v>79138</v>
      </c>
      <c r="AG12" s="58">
        <f t="shared" si="22"/>
        <v>28</v>
      </c>
      <c r="AH12" s="61"/>
      <c r="AI12" s="60"/>
      <c r="AJ12" s="52"/>
    </row>
    <row r="13" spans="1:36">
      <c r="A13" s="21">
        <v>44488</v>
      </c>
      <c r="B13" s="22">
        <v>789.95809999999994</v>
      </c>
      <c r="C13" s="27">
        <v>5.2591000000000001</v>
      </c>
      <c r="D13" s="23">
        <f t="shared" si="0"/>
        <v>795.21720000000005</v>
      </c>
      <c r="E13" s="24">
        <f t="shared" si="4"/>
        <v>9.9999999974897905E-2</v>
      </c>
      <c r="F13" s="25">
        <f t="shared" si="5"/>
        <v>-0.80000000002655702</v>
      </c>
      <c r="G13" s="26">
        <f t="shared" si="6"/>
        <v>9.9999999974897905E-2</v>
      </c>
      <c r="H13" s="6">
        <v>6.5556000000000001</v>
      </c>
      <c r="I13" s="35">
        <f t="shared" si="1"/>
        <v>796.51369999999997</v>
      </c>
      <c r="J13" s="24">
        <f t="shared" si="7"/>
        <v>-0.29999999992469401</v>
      </c>
      <c r="K13" s="25">
        <f t="shared" si="8"/>
        <v>-1.5999999999394301</v>
      </c>
      <c r="L13" s="26">
        <f t="shared" si="9"/>
        <v>-0.29999999992469401</v>
      </c>
      <c r="M13" s="6">
        <v>5.3254999999999999</v>
      </c>
      <c r="N13" s="35">
        <f t="shared" si="2"/>
        <v>795.28359999999998</v>
      </c>
      <c r="O13" s="24">
        <f t="shared" si="10"/>
        <v>-9.9999999974897905E-2</v>
      </c>
      <c r="P13" s="25">
        <f t="shared" si="11"/>
        <v>-1.30000000001473</v>
      </c>
      <c r="Q13" s="26">
        <f t="shared" si="12"/>
        <v>-9.9999999974897905E-2</v>
      </c>
      <c r="R13" s="41"/>
      <c r="S13" s="21">
        <f t="shared" si="3"/>
        <v>44488</v>
      </c>
      <c r="T13" s="42">
        <v>8.8816000000000006</v>
      </c>
      <c r="U13" s="43">
        <f t="shared" si="13"/>
        <v>9.99999999997669E-2</v>
      </c>
      <c r="V13" s="44">
        <f t="shared" si="14"/>
        <v>-0.89999999999967895</v>
      </c>
      <c r="W13" s="45">
        <f t="shared" si="15"/>
        <v>-9.99999999997669E-2</v>
      </c>
      <c r="X13" s="29">
        <v>11.8246</v>
      </c>
      <c r="Y13" s="43">
        <f t="shared" si="16"/>
        <v>9.99999999997669E-2</v>
      </c>
      <c r="Z13" s="44">
        <f t="shared" si="17"/>
        <v>-0.799999999999912</v>
      </c>
      <c r="AA13" s="45">
        <f t="shared" si="18"/>
        <v>9.99999999997669E-2</v>
      </c>
      <c r="AB13" s="49">
        <v>8.8632000000000009</v>
      </c>
      <c r="AC13" s="43">
        <f t="shared" si="19"/>
        <v>-0.39999999999906799</v>
      </c>
      <c r="AD13" s="44">
        <f t="shared" si="20"/>
        <v>-0.89999999999967895</v>
      </c>
      <c r="AE13" s="45">
        <f t="shared" si="21"/>
        <v>-0.39999999999906799</v>
      </c>
      <c r="AF13" s="50">
        <v>79141</v>
      </c>
      <c r="AG13" s="58">
        <f t="shared" si="22"/>
        <v>31</v>
      </c>
      <c r="AH13" s="61"/>
      <c r="AI13" s="60"/>
      <c r="AJ13" s="52"/>
    </row>
    <row r="14" spans="1:36">
      <c r="A14" s="21">
        <v>44489</v>
      </c>
      <c r="B14" s="22">
        <v>789.95809999999994</v>
      </c>
      <c r="C14" s="27">
        <v>5.2588999999999997</v>
      </c>
      <c r="D14" s="23">
        <f t="shared" si="0"/>
        <v>795.21699999999998</v>
      </c>
      <c r="E14" s="24">
        <f t="shared" si="4"/>
        <v>-0.199999999949796</v>
      </c>
      <c r="F14" s="25">
        <f t="shared" si="5"/>
        <v>-0.99999999997635303</v>
      </c>
      <c r="G14" s="26">
        <f t="shared" si="6"/>
        <v>-0.199999999949796</v>
      </c>
      <c r="H14" s="6">
        <v>6.5553999999999997</v>
      </c>
      <c r="I14" s="35">
        <f t="shared" si="1"/>
        <v>796.51350000000002</v>
      </c>
      <c r="J14" s="24">
        <f t="shared" si="7"/>
        <v>-0.20000000006348301</v>
      </c>
      <c r="K14" s="25">
        <f t="shared" si="8"/>
        <v>-1.8000000000029099</v>
      </c>
      <c r="L14" s="26">
        <f t="shared" si="9"/>
        <v>-0.20000000006348301</v>
      </c>
      <c r="M14" s="6">
        <v>5.3253000000000004</v>
      </c>
      <c r="N14" s="35">
        <f t="shared" si="2"/>
        <v>795.28340000000003</v>
      </c>
      <c r="O14" s="24">
        <f t="shared" si="10"/>
        <v>-0.20000000006348301</v>
      </c>
      <c r="P14" s="25">
        <f t="shared" si="11"/>
        <v>-1.5000000000782201</v>
      </c>
      <c r="Q14" s="26">
        <f t="shared" si="12"/>
        <v>-0.20000000006348301</v>
      </c>
      <c r="R14" s="41"/>
      <c r="S14" s="21">
        <f t="shared" si="3"/>
        <v>44489</v>
      </c>
      <c r="T14" s="42">
        <v>8.8818000000000001</v>
      </c>
      <c r="U14" s="43">
        <f t="shared" si="13"/>
        <v>0.19999999999953399</v>
      </c>
      <c r="V14" s="44">
        <f t="shared" si="14"/>
        <v>-0.70000000000014495</v>
      </c>
      <c r="W14" s="45">
        <f t="shared" si="15"/>
        <v>-0.19999999999953399</v>
      </c>
      <c r="X14" s="29">
        <v>11.8241</v>
      </c>
      <c r="Y14" s="43">
        <f t="shared" si="16"/>
        <v>-0.50000000000061096</v>
      </c>
      <c r="Z14" s="44">
        <f t="shared" si="17"/>
        <v>-1.3000000000005201</v>
      </c>
      <c r="AA14" s="45">
        <f t="shared" si="18"/>
        <v>-0.50000000000061096</v>
      </c>
      <c r="AB14" s="49">
        <v>8.8629999999999995</v>
      </c>
      <c r="AC14" s="43">
        <f t="shared" si="19"/>
        <v>-0.20000000000130999</v>
      </c>
      <c r="AD14" s="44">
        <f t="shared" si="20"/>
        <v>-1.10000000000099</v>
      </c>
      <c r="AE14" s="45">
        <f t="shared" si="21"/>
        <v>-0.20000000000130999</v>
      </c>
      <c r="AF14" s="50">
        <v>79144</v>
      </c>
      <c r="AG14" s="58">
        <f t="shared" si="22"/>
        <v>34</v>
      </c>
      <c r="AH14" s="61"/>
      <c r="AI14" s="60"/>
      <c r="AJ14" s="52"/>
    </row>
    <row r="15" spans="1:36">
      <c r="A15" s="21">
        <v>44490</v>
      </c>
      <c r="B15" s="22">
        <v>789.95809999999994</v>
      </c>
      <c r="C15" s="27">
        <v>5.2588999999999997</v>
      </c>
      <c r="D15" s="23">
        <f t="shared" ref="D15:D20" si="23">C15+B15</f>
        <v>795.21699999999998</v>
      </c>
      <c r="E15" s="24">
        <f t="shared" ref="E15:E20" si="24">(D15-D14)*1000</f>
        <v>0</v>
      </c>
      <c r="F15" s="25">
        <f t="shared" ref="F15:F20" si="25">F14+E15</f>
        <v>-0.99999999997635303</v>
      </c>
      <c r="G15" s="26">
        <f t="shared" ref="G15:G20" si="26">E15/(A15-A14)</f>
        <v>0</v>
      </c>
      <c r="H15" s="6">
        <v>6.5552000000000001</v>
      </c>
      <c r="I15" s="35">
        <f t="shared" ref="I15:I20" si="27">H15+B15</f>
        <v>796.51329999999996</v>
      </c>
      <c r="J15" s="24">
        <f t="shared" ref="J15:J20" si="28">(I15-I14)*1000</f>
        <v>-0.199999999949796</v>
      </c>
      <c r="K15" s="25">
        <f t="shared" ref="K15:K20" si="29">K14+J15</f>
        <v>-1.9999999999527101</v>
      </c>
      <c r="L15" s="26">
        <f t="shared" ref="L15:L20" si="30">J15/(A15-A14)</f>
        <v>-0.199999999949796</v>
      </c>
      <c r="M15" s="6">
        <v>5.3250999999999999</v>
      </c>
      <c r="N15" s="35">
        <f t="shared" ref="N15:N20" si="31">M15+B15</f>
        <v>795.28319999999997</v>
      </c>
      <c r="O15" s="24">
        <f t="shared" ref="O15:O20" si="32">(N15-N14)*1000</f>
        <v>-0.199999999949796</v>
      </c>
      <c r="P15" s="25">
        <f t="shared" ref="P15:P20" si="33">P14+O15</f>
        <v>-1.70000000002801</v>
      </c>
      <c r="Q15" s="26">
        <f t="shared" ref="Q15:Q20" si="34">O15/(A15-A14)</f>
        <v>-0.199999999949796</v>
      </c>
      <c r="R15" s="41"/>
      <c r="S15" s="21">
        <f t="shared" ref="S15:S20" si="35">A15</f>
        <v>44490</v>
      </c>
      <c r="T15" s="42">
        <v>8.8817000000000004</v>
      </c>
      <c r="U15" s="43">
        <f t="shared" ref="U15:U31" si="36">(T15-T14)*1000</f>
        <v>-9.99999999997669E-2</v>
      </c>
      <c r="V15" s="44">
        <f t="shared" ref="V15:V31" si="37">V14+U15</f>
        <v>-0.799999999999912</v>
      </c>
      <c r="W15" s="45">
        <f t="shared" ref="W15:W31" si="38">U15/(S14-S15)</f>
        <v>9.99999999997669E-2</v>
      </c>
      <c r="X15" s="29">
        <v>11.8239</v>
      </c>
      <c r="Y15" s="43">
        <f t="shared" ref="Y15:Y31" si="39">(X15-X14)*1000</f>
        <v>-0.19999999999953399</v>
      </c>
      <c r="Z15" s="44">
        <f t="shared" ref="Z15:Z31" si="40">Z14+Y15</f>
        <v>-1.50000000000006</v>
      </c>
      <c r="AA15" s="45">
        <f t="shared" ref="AA15:AA31" si="41">Y15/(S15-S14)</f>
        <v>-0.19999999999953399</v>
      </c>
      <c r="AB15" s="49">
        <v>8.8628</v>
      </c>
      <c r="AC15" s="43">
        <f t="shared" ref="AC15:AC31" si="42">(AB15-AB14)*1000</f>
        <v>-0.19999999999953399</v>
      </c>
      <c r="AD15" s="44">
        <f t="shared" ref="AD15:AD31" si="43">AD14+AC15</f>
        <v>-1.3000000000005201</v>
      </c>
      <c r="AE15" s="45">
        <f t="shared" ref="AE15:AE31" si="44">AC15/(S15-S14)</f>
        <v>-0.19999999999953399</v>
      </c>
      <c r="AF15" s="50">
        <v>79147</v>
      </c>
      <c r="AG15" s="58">
        <f t="shared" ref="AG15:AG31" si="45">AF15-79110</f>
        <v>37</v>
      </c>
      <c r="AH15" s="61"/>
      <c r="AI15" s="60"/>
      <c r="AJ15" s="52"/>
    </row>
    <row r="16" spans="1:36">
      <c r="A16" s="21">
        <v>44491</v>
      </c>
      <c r="B16" s="22">
        <v>789.95809999999994</v>
      </c>
      <c r="C16" s="27">
        <v>5.2584999999999997</v>
      </c>
      <c r="D16" s="23">
        <f t="shared" si="23"/>
        <v>795.21659999999997</v>
      </c>
      <c r="E16" s="24">
        <f t="shared" si="24"/>
        <v>-0.40000000001327901</v>
      </c>
      <c r="F16" s="25">
        <f t="shared" si="25"/>
        <v>-1.39999999998963</v>
      </c>
      <c r="G16" s="26">
        <f t="shared" si="26"/>
        <v>-0.40000000001327901</v>
      </c>
      <c r="H16" s="6">
        <v>6.5552999999999999</v>
      </c>
      <c r="I16" s="35">
        <f t="shared" si="27"/>
        <v>796.51340000000005</v>
      </c>
      <c r="J16" s="24">
        <f t="shared" si="28"/>
        <v>9.9999999974897905E-2</v>
      </c>
      <c r="K16" s="25">
        <f t="shared" si="29"/>
        <v>-1.8999999999778101</v>
      </c>
      <c r="L16" s="26">
        <f t="shared" si="30"/>
        <v>9.9999999974897905E-2</v>
      </c>
      <c r="M16" s="6">
        <v>5.3253000000000004</v>
      </c>
      <c r="N16" s="35">
        <f t="shared" si="31"/>
        <v>795.28340000000003</v>
      </c>
      <c r="O16" s="24">
        <f t="shared" si="32"/>
        <v>0.199999999949796</v>
      </c>
      <c r="P16" s="25">
        <f t="shared" si="33"/>
        <v>-1.5000000000782201</v>
      </c>
      <c r="Q16" s="26">
        <f t="shared" si="34"/>
        <v>0.199999999949796</v>
      </c>
      <c r="R16" s="41"/>
      <c r="S16" s="21">
        <f t="shared" si="35"/>
        <v>44491</v>
      </c>
      <c r="T16" s="42">
        <v>8.8815000000000008</v>
      </c>
      <c r="U16" s="43">
        <f t="shared" si="36"/>
        <v>-0.19999999999953399</v>
      </c>
      <c r="V16" s="44">
        <f t="shared" si="37"/>
        <v>-0.999999999999446</v>
      </c>
      <c r="W16" s="45">
        <f t="shared" si="38"/>
        <v>0.19999999999953399</v>
      </c>
      <c r="X16" s="29">
        <v>11.824</v>
      </c>
      <c r="Y16" s="43">
        <f t="shared" si="39"/>
        <v>9.99999999997669E-2</v>
      </c>
      <c r="Z16" s="44">
        <f t="shared" si="40"/>
        <v>-1.4000000000002899</v>
      </c>
      <c r="AA16" s="45">
        <f t="shared" si="41"/>
        <v>9.99999999997669E-2</v>
      </c>
      <c r="AB16" s="49">
        <v>8.8625000000000007</v>
      </c>
      <c r="AC16" s="43">
        <f t="shared" si="42"/>
        <v>-0.29999999999930099</v>
      </c>
      <c r="AD16" s="44">
        <f t="shared" si="43"/>
        <v>-1.59999999999982</v>
      </c>
      <c r="AE16" s="45">
        <f t="shared" si="44"/>
        <v>-0.29999999999930099</v>
      </c>
      <c r="AF16" s="50">
        <v>79150</v>
      </c>
      <c r="AG16" s="58">
        <f t="shared" si="45"/>
        <v>40</v>
      </c>
      <c r="AH16" s="61"/>
      <c r="AI16" s="60"/>
      <c r="AJ16" s="52"/>
    </row>
    <row r="17" spans="1:36">
      <c r="A17" s="21">
        <v>44492</v>
      </c>
      <c r="B17" s="22">
        <v>789.95809999999994</v>
      </c>
      <c r="C17" s="27">
        <v>5.2587000000000002</v>
      </c>
      <c r="D17" s="23">
        <f t="shared" si="23"/>
        <v>795.21680000000003</v>
      </c>
      <c r="E17" s="24">
        <f t="shared" si="24"/>
        <v>0.199999999949796</v>
      </c>
      <c r="F17" s="25">
        <f t="shared" si="25"/>
        <v>-1.2000000000398401</v>
      </c>
      <c r="G17" s="26">
        <f t="shared" si="26"/>
        <v>0.199999999949796</v>
      </c>
      <c r="H17" s="6">
        <v>6.5548000000000002</v>
      </c>
      <c r="I17" s="35">
        <f t="shared" si="27"/>
        <v>796.51289999999995</v>
      </c>
      <c r="J17" s="24">
        <f t="shared" si="28"/>
        <v>-0.49999999998817701</v>
      </c>
      <c r="K17" s="25">
        <f t="shared" si="29"/>
        <v>-2.39999999996598</v>
      </c>
      <c r="L17" s="26">
        <f t="shared" si="30"/>
        <v>-0.49999999998817701</v>
      </c>
      <c r="M17" s="6">
        <v>5.3247</v>
      </c>
      <c r="N17" s="35">
        <f t="shared" si="31"/>
        <v>795.28279999999995</v>
      </c>
      <c r="O17" s="24">
        <f t="shared" si="32"/>
        <v>-0.59999999996307496</v>
      </c>
      <c r="P17" s="25">
        <f t="shared" si="33"/>
        <v>-2.1000000000412902</v>
      </c>
      <c r="Q17" s="26">
        <f t="shared" si="34"/>
        <v>-0.59999999996307496</v>
      </c>
      <c r="R17" s="41"/>
      <c r="S17" s="21">
        <f t="shared" si="35"/>
        <v>44492</v>
      </c>
      <c r="T17" s="42">
        <v>8.8812999999999995</v>
      </c>
      <c r="U17" s="43">
        <f t="shared" si="36"/>
        <v>-0.20000000000130999</v>
      </c>
      <c r="V17" s="44">
        <f t="shared" si="37"/>
        <v>-1.20000000000076</v>
      </c>
      <c r="W17" s="45">
        <f t="shared" si="38"/>
        <v>0.20000000000130999</v>
      </c>
      <c r="X17" s="29">
        <v>11.823499999999999</v>
      </c>
      <c r="Y17" s="43">
        <f t="shared" si="39"/>
        <v>-0.50000000000061096</v>
      </c>
      <c r="Z17" s="44">
        <f t="shared" si="40"/>
        <v>-1.9000000000009001</v>
      </c>
      <c r="AA17" s="45">
        <f t="shared" si="41"/>
        <v>-0.50000000000061096</v>
      </c>
      <c r="AB17" s="49">
        <v>8.8623999999999992</v>
      </c>
      <c r="AC17" s="43">
        <f t="shared" si="42"/>
        <v>-0.10000000000154299</v>
      </c>
      <c r="AD17" s="44">
        <f t="shared" si="43"/>
        <v>-1.70000000000137</v>
      </c>
      <c r="AE17" s="45">
        <f t="shared" si="44"/>
        <v>-0.10000000000154299</v>
      </c>
      <c r="AF17" s="50">
        <v>79153</v>
      </c>
      <c r="AG17" s="58">
        <f t="shared" si="45"/>
        <v>43</v>
      </c>
      <c r="AH17" s="61"/>
      <c r="AI17" s="52"/>
      <c r="AJ17" s="52"/>
    </row>
    <row r="18" spans="1:36">
      <c r="A18" s="21">
        <v>44493</v>
      </c>
      <c r="B18" s="22">
        <v>789.95809999999994</v>
      </c>
      <c r="C18" s="27">
        <v>5.2580999999999998</v>
      </c>
      <c r="D18" s="23">
        <f t="shared" si="23"/>
        <v>795.21619999999996</v>
      </c>
      <c r="E18" s="24">
        <f t="shared" si="24"/>
        <v>-0.59999999996307496</v>
      </c>
      <c r="F18" s="25">
        <f t="shared" si="25"/>
        <v>-1.8000000000029099</v>
      </c>
      <c r="G18" s="26">
        <f t="shared" si="26"/>
        <v>-0.59999999996307496</v>
      </c>
      <c r="H18" s="6">
        <v>6.5545999999999998</v>
      </c>
      <c r="I18" s="35">
        <f t="shared" si="27"/>
        <v>796.5127</v>
      </c>
      <c r="J18" s="24">
        <f t="shared" si="28"/>
        <v>-0.199999999949796</v>
      </c>
      <c r="K18" s="25">
        <f t="shared" si="29"/>
        <v>-2.5999999999157799</v>
      </c>
      <c r="L18" s="26">
        <f t="shared" si="30"/>
        <v>-0.199999999949796</v>
      </c>
      <c r="M18" s="6">
        <v>5.3244999999999996</v>
      </c>
      <c r="N18" s="35">
        <f t="shared" si="31"/>
        <v>795.2826</v>
      </c>
      <c r="O18" s="24">
        <f t="shared" si="32"/>
        <v>-0.20000000006348301</v>
      </c>
      <c r="P18" s="25">
        <f t="shared" si="33"/>
        <v>-2.3000000001047698</v>
      </c>
      <c r="Q18" s="26">
        <f t="shared" si="34"/>
        <v>-0.20000000006348301</v>
      </c>
      <c r="R18" s="41"/>
      <c r="S18" s="21">
        <f t="shared" si="35"/>
        <v>44493</v>
      </c>
      <c r="T18" s="42">
        <v>8.8813999999999993</v>
      </c>
      <c r="U18" s="43">
        <f t="shared" si="36"/>
        <v>9.99999999997669E-2</v>
      </c>
      <c r="V18" s="44">
        <f t="shared" si="37"/>
        <v>-1.10000000000099</v>
      </c>
      <c r="W18" s="45">
        <f t="shared" si="38"/>
        <v>-9.99999999997669E-2</v>
      </c>
      <c r="X18" s="29">
        <v>11.8233</v>
      </c>
      <c r="Y18" s="43">
        <f t="shared" si="39"/>
        <v>-0.19999999999953399</v>
      </c>
      <c r="Z18" s="44">
        <f t="shared" si="40"/>
        <v>-2.10000000000043</v>
      </c>
      <c r="AA18" s="45">
        <f t="shared" si="41"/>
        <v>-0.19999999999953399</v>
      </c>
      <c r="AB18" s="49">
        <v>8.8621999999999908</v>
      </c>
      <c r="AC18" s="43">
        <f t="shared" si="42"/>
        <v>-0.200000000008416</v>
      </c>
      <c r="AD18" s="44">
        <f t="shared" si="43"/>
        <v>-1.9000000000097801</v>
      </c>
      <c r="AE18" s="45">
        <f t="shared" si="44"/>
        <v>-0.200000000008416</v>
      </c>
      <c r="AF18" s="50">
        <v>79156</v>
      </c>
      <c r="AG18" s="58">
        <f t="shared" si="45"/>
        <v>46</v>
      </c>
      <c r="AH18" s="61"/>
      <c r="AI18" s="52"/>
      <c r="AJ18" s="52"/>
    </row>
    <row r="19" spans="1:36">
      <c r="A19" s="21">
        <v>44494</v>
      </c>
      <c r="B19" s="22">
        <v>789.95809999999994</v>
      </c>
      <c r="C19" s="27">
        <v>5.2579000000000002</v>
      </c>
      <c r="D19" s="23">
        <f t="shared" si="23"/>
        <v>795.21600000000001</v>
      </c>
      <c r="E19" s="24">
        <f t="shared" si="24"/>
        <v>-0.20000000006348301</v>
      </c>
      <c r="F19" s="25">
        <f t="shared" si="25"/>
        <v>-2.00000000006639</v>
      </c>
      <c r="G19" s="26">
        <f t="shared" si="26"/>
        <v>-0.20000000006348301</v>
      </c>
      <c r="H19" s="6">
        <v>6.5549999999999997</v>
      </c>
      <c r="I19" s="35">
        <f t="shared" si="27"/>
        <v>796.51310000000001</v>
      </c>
      <c r="J19" s="24">
        <f t="shared" si="28"/>
        <v>0.39999999989959201</v>
      </c>
      <c r="K19" s="25">
        <f t="shared" si="29"/>
        <v>-2.2000000000161899</v>
      </c>
      <c r="L19" s="26">
        <f t="shared" si="30"/>
        <v>0.39999999989959201</v>
      </c>
      <c r="M19" s="6">
        <v>5.3250000000000002</v>
      </c>
      <c r="N19" s="35">
        <f t="shared" si="31"/>
        <v>795.28309999999999</v>
      </c>
      <c r="O19" s="24">
        <f t="shared" si="32"/>
        <v>0.50000000010186296</v>
      </c>
      <c r="P19" s="25">
        <f t="shared" si="33"/>
        <v>-1.8000000000029099</v>
      </c>
      <c r="Q19" s="26">
        <f t="shared" si="34"/>
        <v>0.50000000010186296</v>
      </c>
      <c r="R19" s="41"/>
      <c r="S19" s="21">
        <f t="shared" si="35"/>
        <v>44494</v>
      </c>
      <c r="T19" s="42">
        <v>8.8809000000000005</v>
      </c>
      <c r="U19" s="43">
        <f t="shared" si="36"/>
        <v>-0.49999999999883499</v>
      </c>
      <c r="V19" s="44">
        <f t="shared" si="37"/>
        <v>-1.59999999999982</v>
      </c>
      <c r="W19" s="45">
        <f t="shared" si="38"/>
        <v>0.49999999999883499</v>
      </c>
      <c r="X19" s="29">
        <v>11.823600000000001</v>
      </c>
      <c r="Y19" s="43">
        <f t="shared" si="39"/>
        <v>0.30000000000107702</v>
      </c>
      <c r="Z19" s="44">
        <f t="shared" si="40"/>
        <v>-1.7999999999993599</v>
      </c>
      <c r="AA19" s="45">
        <f t="shared" si="41"/>
        <v>0.30000000000107702</v>
      </c>
      <c r="AB19" s="49">
        <v>8.8623999999999992</v>
      </c>
      <c r="AC19" s="43">
        <f t="shared" si="42"/>
        <v>0.200000000008416</v>
      </c>
      <c r="AD19" s="44">
        <f t="shared" si="43"/>
        <v>-1.70000000000137</v>
      </c>
      <c r="AE19" s="45">
        <f t="shared" si="44"/>
        <v>0.200000000008416</v>
      </c>
      <c r="AF19" s="50">
        <v>79159</v>
      </c>
      <c r="AG19" s="58">
        <f t="shared" si="45"/>
        <v>49</v>
      </c>
      <c r="AH19" s="61"/>
      <c r="AI19" s="52"/>
      <c r="AJ19" s="52"/>
    </row>
    <row r="20" spans="1:36">
      <c r="A20" s="21">
        <v>44495</v>
      </c>
      <c r="B20" s="22">
        <v>789.95809999999994</v>
      </c>
      <c r="C20" s="27">
        <v>5.2577999999999996</v>
      </c>
      <c r="D20" s="23">
        <f t="shared" si="23"/>
        <v>795.21590000000003</v>
      </c>
      <c r="E20" s="24">
        <f t="shared" si="24"/>
        <v>-9.9999999974897905E-2</v>
      </c>
      <c r="F20" s="25">
        <f t="shared" si="25"/>
        <v>-2.1000000000412902</v>
      </c>
      <c r="G20" s="26">
        <f t="shared" si="26"/>
        <v>-9.9999999974897905E-2</v>
      </c>
      <c r="H20" s="6">
        <v>6.5541999999999998</v>
      </c>
      <c r="I20" s="35">
        <f t="shared" si="27"/>
        <v>796.51229999999998</v>
      </c>
      <c r="J20" s="24">
        <f t="shared" si="28"/>
        <v>-0.79999999991286996</v>
      </c>
      <c r="K20" s="25">
        <f t="shared" si="29"/>
        <v>-2.9999999999290599</v>
      </c>
      <c r="L20" s="26">
        <f t="shared" si="30"/>
        <v>-0.79999999991286996</v>
      </c>
      <c r="M20" s="6">
        <v>5.3240999999999996</v>
      </c>
      <c r="N20" s="35">
        <f t="shared" si="31"/>
        <v>795.28219999999999</v>
      </c>
      <c r="O20" s="24">
        <f t="shared" si="32"/>
        <v>-0.90000000000145497</v>
      </c>
      <c r="P20" s="25">
        <f t="shared" si="33"/>
        <v>-2.70000000000437</v>
      </c>
      <c r="Q20" s="26">
        <f t="shared" si="34"/>
        <v>-0.90000000000145497</v>
      </c>
      <c r="R20" s="41"/>
      <c r="S20" s="21">
        <f t="shared" si="35"/>
        <v>44495</v>
      </c>
      <c r="T20" s="42">
        <v>8.8806999999999992</v>
      </c>
      <c r="U20" s="43">
        <f t="shared" si="36"/>
        <v>-0.20000000000130999</v>
      </c>
      <c r="V20" s="44">
        <f t="shared" si="37"/>
        <v>-1.80000000000113</v>
      </c>
      <c r="W20" s="45">
        <f t="shared" si="38"/>
        <v>0.20000000000130999</v>
      </c>
      <c r="X20" s="29">
        <v>11.822900000000001</v>
      </c>
      <c r="Y20" s="43">
        <f t="shared" si="39"/>
        <v>-0.70000000000014495</v>
      </c>
      <c r="Z20" s="44">
        <f t="shared" si="40"/>
        <v>-2.4999999999995</v>
      </c>
      <c r="AA20" s="45">
        <f t="shared" si="41"/>
        <v>-0.70000000000014495</v>
      </c>
      <c r="AB20" s="49">
        <v>8.8617999999999899</v>
      </c>
      <c r="AC20" s="43">
        <f t="shared" si="42"/>
        <v>-0.60000000000926001</v>
      </c>
      <c r="AD20" s="44">
        <f t="shared" si="43"/>
        <v>-2.30000000001063</v>
      </c>
      <c r="AE20" s="45">
        <f t="shared" si="44"/>
        <v>-0.60000000000926001</v>
      </c>
      <c r="AF20" s="50">
        <v>79162</v>
      </c>
      <c r="AG20" s="58">
        <f t="shared" si="45"/>
        <v>52</v>
      </c>
      <c r="AH20" s="61"/>
      <c r="AI20" s="52"/>
      <c r="AJ20" s="52"/>
    </row>
    <row r="21" spans="1:36">
      <c r="A21" s="21">
        <v>44497</v>
      </c>
      <c r="B21" s="22">
        <v>789.95809999999994</v>
      </c>
      <c r="C21" s="27">
        <v>5.2575000000000003</v>
      </c>
      <c r="D21" s="23">
        <f t="shared" ref="D21:D31" si="46">C21+B21</f>
        <v>795.21559999999999</v>
      </c>
      <c r="E21" s="24">
        <f t="shared" ref="E21:E31" si="47">(D21-D20)*1000</f>
        <v>-0.29999999992469401</v>
      </c>
      <c r="F21" s="25">
        <f t="shared" ref="F21:F31" si="48">F20+E21</f>
        <v>-2.39999999996598</v>
      </c>
      <c r="G21" s="26">
        <f t="shared" ref="G21:G31" si="49">E21/(A21-A20)</f>
        <v>-0.149999999962347</v>
      </c>
      <c r="H21" s="6">
        <v>6.5540000000000003</v>
      </c>
      <c r="I21" s="35">
        <f t="shared" ref="I21:I31" si="50">H21+B21</f>
        <v>796.51210000000003</v>
      </c>
      <c r="J21" s="24">
        <f t="shared" ref="J21:J31" si="51">(I21-I20)*1000</f>
        <v>-0.20000000006348301</v>
      </c>
      <c r="K21" s="25">
        <f t="shared" ref="K21:K31" si="52">K20+J21</f>
        <v>-3.1999999999925399</v>
      </c>
      <c r="L21" s="26">
        <f t="shared" ref="L21:L31" si="53">J21/(A21-A20)</f>
        <v>-0.100000000031741</v>
      </c>
      <c r="M21" s="6">
        <v>5.3239000000000001</v>
      </c>
      <c r="N21" s="35">
        <f t="shared" ref="N21:N31" si="54">M21+B21</f>
        <v>795.28200000000004</v>
      </c>
      <c r="O21" s="24">
        <f t="shared" ref="O21:O31" si="55">(N21-N20)*1000</f>
        <v>-0.20000000006348301</v>
      </c>
      <c r="P21" s="25">
        <f t="shared" ref="P21:P31" si="56">P20+O21</f>
        <v>-2.9000000000678501</v>
      </c>
      <c r="Q21" s="26">
        <f t="shared" ref="Q21:Q31" si="57">O21/(A21-A20)</f>
        <v>-0.100000000031741</v>
      </c>
      <c r="R21" s="41"/>
      <c r="S21" s="21">
        <f t="shared" ref="S21:S31" si="58">A21</f>
        <v>44497</v>
      </c>
      <c r="T21" s="42">
        <v>8.8811999999999998</v>
      </c>
      <c r="U21" s="43">
        <f t="shared" si="36"/>
        <v>0.50000000000061096</v>
      </c>
      <c r="V21" s="44">
        <f t="shared" si="37"/>
        <v>-1.3000000000005201</v>
      </c>
      <c r="W21" s="45">
        <f t="shared" si="38"/>
        <v>-0.25000000000030598</v>
      </c>
      <c r="X21" s="29">
        <v>11.822699999999999</v>
      </c>
      <c r="Y21" s="43">
        <f t="shared" si="39"/>
        <v>-0.20000000000130999</v>
      </c>
      <c r="Z21" s="44">
        <f t="shared" si="40"/>
        <v>-2.7000000000008102</v>
      </c>
      <c r="AA21" s="45">
        <f t="shared" si="41"/>
        <v>-0.100000000000655</v>
      </c>
      <c r="AB21" s="49">
        <v>8.8615999999999904</v>
      </c>
      <c r="AC21" s="43">
        <f t="shared" si="42"/>
        <v>-0.19999999999953399</v>
      </c>
      <c r="AD21" s="44">
        <f t="shared" si="43"/>
        <v>-2.5000000000101599</v>
      </c>
      <c r="AE21" s="45">
        <f t="shared" si="44"/>
        <v>-9.99999999997669E-2</v>
      </c>
      <c r="AF21" s="50">
        <v>79165</v>
      </c>
      <c r="AG21" s="58">
        <f t="shared" si="45"/>
        <v>55</v>
      </c>
      <c r="AH21" s="61"/>
      <c r="AI21" s="52"/>
      <c r="AJ21" s="52"/>
    </row>
    <row r="22" spans="1:36">
      <c r="A22" s="21">
        <v>44499</v>
      </c>
      <c r="B22" s="22">
        <v>789.95809999999994</v>
      </c>
      <c r="C22" s="27">
        <v>5.2572999999999999</v>
      </c>
      <c r="D22" s="23">
        <f t="shared" si="46"/>
        <v>795.21540000000005</v>
      </c>
      <c r="E22" s="24">
        <f t="shared" si="47"/>
        <v>-0.20000000006348301</v>
      </c>
      <c r="F22" s="25">
        <f t="shared" si="48"/>
        <v>-2.6000000000294698</v>
      </c>
      <c r="G22" s="26">
        <f t="shared" si="49"/>
        <v>-0.100000000031741</v>
      </c>
      <c r="H22" s="6">
        <v>6.5537999999999998</v>
      </c>
      <c r="I22" s="35">
        <f t="shared" si="50"/>
        <v>796.51189999999997</v>
      </c>
      <c r="J22" s="24">
        <f t="shared" si="51"/>
        <v>-0.199999999949796</v>
      </c>
      <c r="K22" s="25">
        <f t="shared" si="52"/>
        <v>-3.3999999999423398</v>
      </c>
      <c r="L22" s="26">
        <f t="shared" si="53"/>
        <v>-9.9999999974897905E-2</v>
      </c>
      <c r="M22" s="6">
        <v>5.3244999999999996</v>
      </c>
      <c r="N22" s="35">
        <f t="shared" si="54"/>
        <v>795.2826</v>
      </c>
      <c r="O22" s="24">
        <f t="shared" si="55"/>
        <v>0.59999999996307496</v>
      </c>
      <c r="P22" s="25">
        <f t="shared" si="56"/>
        <v>-2.3000000001047698</v>
      </c>
      <c r="Q22" s="26">
        <f t="shared" si="57"/>
        <v>0.29999999998153698</v>
      </c>
      <c r="R22" s="41"/>
      <c r="S22" s="21">
        <f t="shared" si="58"/>
        <v>44499</v>
      </c>
      <c r="T22" s="42">
        <v>8.8803000000000001</v>
      </c>
      <c r="U22" s="43">
        <f t="shared" si="36"/>
        <v>-0.89999999999967895</v>
      </c>
      <c r="V22" s="44">
        <f t="shared" si="37"/>
        <v>-2.2000000000002</v>
      </c>
      <c r="W22" s="45">
        <f t="shared" si="38"/>
        <v>0.44999999999983897</v>
      </c>
      <c r="X22" s="29">
        <v>11.8225</v>
      </c>
      <c r="Y22" s="43">
        <f t="shared" si="39"/>
        <v>-0.19999999999953399</v>
      </c>
      <c r="Z22" s="44">
        <f t="shared" si="40"/>
        <v>-2.9000000000003499</v>
      </c>
      <c r="AA22" s="45">
        <f t="shared" si="41"/>
        <v>-9.99999999997669E-2</v>
      </c>
      <c r="AB22" s="49">
        <v>8.8617000000000008</v>
      </c>
      <c r="AC22" s="43">
        <f t="shared" si="42"/>
        <v>0.100000000010425</v>
      </c>
      <c r="AD22" s="44">
        <f t="shared" si="43"/>
        <v>-2.3999999999997401</v>
      </c>
      <c r="AE22" s="45">
        <f t="shared" si="44"/>
        <v>5.00000000052125E-2</v>
      </c>
      <c r="AF22" s="50">
        <v>79168</v>
      </c>
      <c r="AG22" s="58">
        <f t="shared" si="45"/>
        <v>58</v>
      </c>
      <c r="AH22" s="61"/>
      <c r="AI22" s="52"/>
      <c r="AJ22" s="52"/>
    </row>
    <row r="23" spans="1:36">
      <c r="A23" s="21">
        <v>44501</v>
      </c>
      <c r="B23" s="22">
        <v>789.95809999999994</v>
      </c>
      <c r="C23" s="27">
        <v>5.2577999999999996</v>
      </c>
      <c r="D23" s="23">
        <f t="shared" si="46"/>
        <v>795.21590000000003</v>
      </c>
      <c r="E23" s="24">
        <f t="shared" si="47"/>
        <v>0.49999999998817701</v>
      </c>
      <c r="F23" s="25">
        <f t="shared" si="48"/>
        <v>-2.1000000000412902</v>
      </c>
      <c r="G23" s="26">
        <f t="shared" si="49"/>
        <v>0.24999999999408801</v>
      </c>
      <c r="H23" s="6">
        <v>6.5534999999999997</v>
      </c>
      <c r="I23" s="35">
        <f t="shared" si="50"/>
        <v>796.51160000000004</v>
      </c>
      <c r="J23" s="24">
        <f t="shared" si="51"/>
        <v>-0.30000000003838101</v>
      </c>
      <c r="K23" s="25">
        <f t="shared" si="52"/>
        <v>-3.69999999998072</v>
      </c>
      <c r="L23" s="26">
        <f t="shared" si="53"/>
        <v>-0.15000000001919001</v>
      </c>
      <c r="M23" s="6">
        <v>5.3235000000000001</v>
      </c>
      <c r="N23" s="35">
        <f t="shared" si="54"/>
        <v>795.28160000000003</v>
      </c>
      <c r="O23" s="24">
        <f t="shared" si="55"/>
        <v>-0.99999999997635303</v>
      </c>
      <c r="P23" s="25">
        <f t="shared" si="56"/>
        <v>-3.30000000008113</v>
      </c>
      <c r="Q23" s="26">
        <f t="shared" si="57"/>
        <v>-0.49999999998817701</v>
      </c>
      <c r="R23" s="41"/>
      <c r="S23" s="21">
        <f t="shared" si="58"/>
        <v>44501</v>
      </c>
      <c r="T23" s="42">
        <v>8.8801000000000005</v>
      </c>
      <c r="U23" s="43">
        <f t="shared" si="36"/>
        <v>-0.19999999999953399</v>
      </c>
      <c r="V23" s="44">
        <f t="shared" si="37"/>
        <v>-2.3999999999997401</v>
      </c>
      <c r="W23" s="45">
        <f t="shared" si="38"/>
        <v>9.99999999997669E-2</v>
      </c>
      <c r="X23" s="29">
        <v>11.8226</v>
      </c>
      <c r="Y23" s="43">
        <f t="shared" si="39"/>
        <v>9.99999999997669E-2</v>
      </c>
      <c r="Z23" s="44">
        <f t="shared" si="40"/>
        <v>-2.8000000000005798</v>
      </c>
      <c r="AA23" s="45">
        <f t="shared" si="41"/>
        <v>4.9999999999883499E-2</v>
      </c>
      <c r="AB23" s="49">
        <v>8.8611999999999895</v>
      </c>
      <c r="AC23" s="43">
        <f t="shared" si="42"/>
        <v>-0.50000000001126899</v>
      </c>
      <c r="AD23" s="44">
        <f t="shared" si="43"/>
        <v>-2.900000000011</v>
      </c>
      <c r="AE23" s="45">
        <f t="shared" si="44"/>
        <v>-0.25000000000563499</v>
      </c>
      <c r="AF23" s="50">
        <v>79171</v>
      </c>
      <c r="AG23" s="58">
        <f t="shared" si="45"/>
        <v>61</v>
      </c>
      <c r="AH23" s="61"/>
      <c r="AI23" s="52"/>
      <c r="AJ23" s="52"/>
    </row>
    <row r="24" spans="1:36">
      <c r="A24" s="21">
        <v>44503</v>
      </c>
      <c r="B24" s="22">
        <v>789.95809999999994</v>
      </c>
      <c r="C24" s="27">
        <v>5.2572999999999999</v>
      </c>
      <c r="D24" s="23">
        <f t="shared" si="46"/>
        <v>795.21540000000005</v>
      </c>
      <c r="E24" s="24">
        <f t="shared" si="47"/>
        <v>-0.49999999998817701</v>
      </c>
      <c r="F24" s="25">
        <f t="shared" si="48"/>
        <v>-2.6000000000294698</v>
      </c>
      <c r="G24" s="26">
        <f t="shared" si="49"/>
        <v>-0.24999999999408801</v>
      </c>
      <c r="H24" s="6">
        <v>6.5533999999999999</v>
      </c>
      <c r="I24" s="35">
        <f t="shared" si="50"/>
        <v>796.51149999999996</v>
      </c>
      <c r="J24" s="24">
        <f t="shared" si="51"/>
        <v>-9.9999999974897905E-2</v>
      </c>
      <c r="K24" s="25">
        <f t="shared" si="52"/>
        <v>-3.7999999999556202</v>
      </c>
      <c r="L24" s="26">
        <f t="shared" si="53"/>
        <v>-4.9999999987449001E-2</v>
      </c>
      <c r="M24" s="6">
        <v>5.3233000000000104</v>
      </c>
      <c r="N24" s="35">
        <f t="shared" si="54"/>
        <v>795.28139999999996</v>
      </c>
      <c r="O24" s="24">
        <f t="shared" si="55"/>
        <v>-0.199999999949796</v>
      </c>
      <c r="P24" s="25">
        <f t="shared" si="56"/>
        <v>-3.5000000000309202</v>
      </c>
      <c r="Q24" s="26">
        <f t="shared" si="57"/>
        <v>-9.9999999974897905E-2</v>
      </c>
      <c r="R24" s="41"/>
      <c r="S24" s="21">
        <f t="shared" si="58"/>
        <v>44503</v>
      </c>
      <c r="T24" s="42">
        <v>8.8804999999999996</v>
      </c>
      <c r="U24" s="43">
        <f t="shared" si="36"/>
        <v>0.39999999999906799</v>
      </c>
      <c r="V24" s="44">
        <f t="shared" si="37"/>
        <v>-2.0000000000006701</v>
      </c>
      <c r="W24" s="45">
        <f t="shared" si="38"/>
        <v>-0.19999999999953399</v>
      </c>
      <c r="X24" s="29">
        <v>11.822100000000001</v>
      </c>
      <c r="Y24" s="43">
        <f t="shared" si="39"/>
        <v>-0.49999999999883499</v>
      </c>
      <c r="Z24" s="44">
        <f t="shared" si="40"/>
        <v>-3.2999999999994101</v>
      </c>
      <c r="AA24" s="45">
        <f t="shared" si="41"/>
        <v>-0.24999999999941699</v>
      </c>
      <c r="AB24" s="49">
        <v>8.86099999999999</v>
      </c>
      <c r="AC24" s="43">
        <f t="shared" si="42"/>
        <v>-0.19999999999953399</v>
      </c>
      <c r="AD24" s="44">
        <f t="shared" si="43"/>
        <v>-3.1000000000105401</v>
      </c>
      <c r="AE24" s="45">
        <f t="shared" si="44"/>
        <v>-9.99999999997669E-2</v>
      </c>
      <c r="AF24" s="50">
        <v>79174</v>
      </c>
      <c r="AG24" s="58">
        <f t="shared" si="45"/>
        <v>64</v>
      </c>
      <c r="AH24" s="61"/>
      <c r="AI24" s="52"/>
      <c r="AJ24" s="52"/>
    </row>
    <row r="25" spans="1:36">
      <c r="A25" s="21">
        <v>44505</v>
      </c>
      <c r="B25" s="22">
        <v>789.95809999999994</v>
      </c>
      <c r="C25" s="27">
        <v>5.2567000000000004</v>
      </c>
      <c r="D25" s="23">
        <f t="shared" si="46"/>
        <v>795.21479999999997</v>
      </c>
      <c r="E25" s="24">
        <f t="shared" si="47"/>
        <v>-0.59999999996307496</v>
      </c>
      <c r="F25" s="25">
        <f t="shared" si="48"/>
        <v>-3.1999999999925399</v>
      </c>
      <c r="G25" s="26">
        <f t="shared" si="49"/>
        <v>-0.29999999998153698</v>
      </c>
      <c r="H25" s="6">
        <v>6.5532000000000004</v>
      </c>
      <c r="I25" s="35">
        <f t="shared" si="50"/>
        <v>796.51130000000001</v>
      </c>
      <c r="J25" s="24">
        <f t="shared" si="51"/>
        <v>-0.20000000006348301</v>
      </c>
      <c r="K25" s="25">
        <f t="shared" si="52"/>
        <v>-4.0000000000191003</v>
      </c>
      <c r="L25" s="26">
        <f t="shared" si="53"/>
        <v>-0.100000000031741</v>
      </c>
      <c r="M25" s="6">
        <v>5.3239999999999998</v>
      </c>
      <c r="N25" s="35">
        <f t="shared" si="54"/>
        <v>795.28210000000001</v>
      </c>
      <c r="O25" s="24">
        <f t="shared" si="55"/>
        <v>0.69999999993797202</v>
      </c>
      <c r="P25" s="25">
        <f t="shared" si="56"/>
        <v>-2.8000000000929499</v>
      </c>
      <c r="Q25" s="26">
        <f t="shared" si="57"/>
        <v>0.34999999996898601</v>
      </c>
      <c r="R25" s="41"/>
      <c r="S25" s="21">
        <f t="shared" si="58"/>
        <v>44505</v>
      </c>
      <c r="T25" s="42">
        <v>8.8797000000000104</v>
      </c>
      <c r="U25" s="43">
        <f t="shared" si="36"/>
        <v>-0.79999999998925397</v>
      </c>
      <c r="V25" s="44">
        <f t="shared" si="37"/>
        <v>-2.7999999999899199</v>
      </c>
      <c r="W25" s="45">
        <f t="shared" si="38"/>
        <v>0.39999999999462699</v>
      </c>
      <c r="X25" s="29">
        <v>11.821899999999999</v>
      </c>
      <c r="Y25" s="43">
        <f t="shared" si="39"/>
        <v>-0.20000000000130999</v>
      </c>
      <c r="Z25" s="44">
        <f t="shared" si="40"/>
        <v>-3.5000000000007199</v>
      </c>
      <c r="AA25" s="45">
        <f t="shared" si="41"/>
        <v>-0.100000000000655</v>
      </c>
      <c r="AB25" s="49">
        <v>8.8614999999999995</v>
      </c>
      <c r="AC25" s="43">
        <f t="shared" si="42"/>
        <v>0.50000000000949296</v>
      </c>
      <c r="AD25" s="44">
        <f t="shared" si="43"/>
        <v>-2.6000000000010499</v>
      </c>
      <c r="AE25" s="45">
        <f t="shared" si="44"/>
        <v>0.25000000000474598</v>
      </c>
      <c r="AF25" s="50">
        <v>79177</v>
      </c>
      <c r="AG25" s="58">
        <f t="shared" si="45"/>
        <v>67</v>
      </c>
      <c r="AH25" s="61"/>
      <c r="AI25" s="52"/>
      <c r="AJ25" s="52"/>
    </row>
    <row r="26" spans="1:36">
      <c r="A26" s="21">
        <v>44507</v>
      </c>
      <c r="B26" s="22">
        <v>789.95809999999994</v>
      </c>
      <c r="C26" s="27">
        <v>5.2572000000000001</v>
      </c>
      <c r="D26" s="23">
        <f t="shared" si="46"/>
        <v>795.21529999999996</v>
      </c>
      <c r="E26" s="24">
        <f t="shared" si="47"/>
        <v>0.49999999998817701</v>
      </c>
      <c r="F26" s="25">
        <f t="shared" si="48"/>
        <v>-2.70000000000437</v>
      </c>
      <c r="G26" s="26">
        <f t="shared" si="49"/>
        <v>0.24999999999408801</v>
      </c>
      <c r="H26" s="6">
        <v>6.5536000000000003</v>
      </c>
      <c r="I26" s="35">
        <f t="shared" si="50"/>
        <v>796.51170000000002</v>
      </c>
      <c r="J26" s="24">
        <f t="shared" si="51"/>
        <v>0.40000000001327901</v>
      </c>
      <c r="K26" s="25">
        <f t="shared" si="52"/>
        <v>-3.6000000000058199</v>
      </c>
      <c r="L26" s="26">
        <f t="shared" si="53"/>
        <v>0.20000000000663901</v>
      </c>
      <c r="M26" s="6">
        <v>5.3229000000000104</v>
      </c>
      <c r="N26" s="35">
        <f t="shared" si="54"/>
        <v>795.28099999999995</v>
      </c>
      <c r="O26" s="24">
        <f t="shared" si="55"/>
        <v>-1.09999999995125</v>
      </c>
      <c r="P26" s="25">
        <f t="shared" si="56"/>
        <v>-3.9000000000442001</v>
      </c>
      <c r="Q26" s="26">
        <f t="shared" si="57"/>
        <v>-0.54999999997562599</v>
      </c>
      <c r="R26" s="41"/>
      <c r="S26" s="21">
        <f t="shared" si="58"/>
        <v>44507</v>
      </c>
      <c r="T26" s="42">
        <v>8.8795000000000108</v>
      </c>
      <c r="U26" s="43">
        <f t="shared" si="36"/>
        <v>-0.19999999999953399</v>
      </c>
      <c r="V26" s="44">
        <f t="shared" si="37"/>
        <v>-2.99999999998946</v>
      </c>
      <c r="W26" s="45">
        <f t="shared" si="38"/>
        <v>9.99999999997669E-2</v>
      </c>
      <c r="X26" s="29">
        <v>11.8223</v>
      </c>
      <c r="Y26" s="43">
        <f t="shared" si="39"/>
        <v>0.40000000000084401</v>
      </c>
      <c r="Z26" s="44">
        <f t="shared" si="40"/>
        <v>-3.0999999999998802</v>
      </c>
      <c r="AA26" s="45">
        <f t="shared" si="41"/>
        <v>0.20000000000042201</v>
      </c>
      <c r="AB26" s="49">
        <v>8.8605999999999998</v>
      </c>
      <c r="AC26" s="43">
        <f t="shared" si="42"/>
        <v>-0.89999999999967895</v>
      </c>
      <c r="AD26" s="44">
        <f t="shared" si="43"/>
        <v>-3.5000000000007199</v>
      </c>
      <c r="AE26" s="45">
        <f t="shared" si="44"/>
        <v>-0.44999999999983897</v>
      </c>
      <c r="AF26" s="50">
        <v>79180</v>
      </c>
      <c r="AG26" s="58">
        <f t="shared" si="45"/>
        <v>70</v>
      </c>
      <c r="AH26" s="61"/>
      <c r="AI26" s="60"/>
      <c r="AJ26" s="61"/>
    </row>
    <row r="27" spans="1:36">
      <c r="A27" s="21">
        <v>44509</v>
      </c>
      <c r="B27" s="22">
        <v>789.95809999999994</v>
      </c>
      <c r="C27" s="27">
        <v>5.2562999999999898</v>
      </c>
      <c r="D27" s="23">
        <f t="shared" si="46"/>
        <v>795.21439999999996</v>
      </c>
      <c r="E27" s="24">
        <f t="shared" si="47"/>
        <v>-0.90000000000145497</v>
      </c>
      <c r="F27" s="25">
        <f t="shared" si="48"/>
        <v>-3.6000000000058199</v>
      </c>
      <c r="G27" s="26">
        <f t="shared" si="49"/>
        <v>-0.45000000000072798</v>
      </c>
      <c r="H27" s="6">
        <v>6.5527999999999897</v>
      </c>
      <c r="I27" s="35">
        <f t="shared" si="50"/>
        <v>796.51089999999999</v>
      </c>
      <c r="J27" s="24">
        <f t="shared" si="51"/>
        <v>-0.80000000002655702</v>
      </c>
      <c r="K27" s="25">
        <f t="shared" si="52"/>
        <v>-4.4000000000323798</v>
      </c>
      <c r="L27" s="26">
        <f t="shared" si="53"/>
        <v>-0.40000000001327901</v>
      </c>
      <c r="M27" s="6">
        <v>5.3231999999999999</v>
      </c>
      <c r="N27" s="35">
        <f t="shared" si="54"/>
        <v>795.28129999999999</v>
      </c>
      <c r="O27" s="24">
        <f t="shared" si="55"/>
        <v>0.30000000003838101</v>
      </c>
      <c r="P27" s="25">
        <f t="shared" si="56"/>
        <v>-3.6000000000058199</v>
      </c>
      <c r="Q27" s="26">
        <f t="shared" si="57"/>
        <v>0.15000000001919001</v>
      </c>
      <c r="R27" s="41"/>
      <c r="S27" s="21">
        <f t="shared" si="58"/>
        <v>44509</v>
      </c>
      <c r="T27" s="42">
        <v>8.8801000000000005</v>
      </c>
      <c r="U27" s="43">
        <f t="shared" si="36"/>
        <v>0.59999999998971998</v>
      </c>
      <c r="V27" s="44">
        <f t="shared" si="37"/>
        <v>-2.3999999999997401</v>
      </c>
      <c r="W27" s="45">
        <f t="shared" si="38"/>
        <v>-0.29999999999485999</v>
      </c>
      <c r="X27" s="29">
        <v>11.8222</v>
      </c>
      <c r="Y27" s="43">
        <f t="shared" si="39"/>
        <v>-9.99999999997669E-2</v>
      </c>
      <c r="Z27" s="44">
        <f t="shared" si="40"/>
        <v>-3.1999999999996498</v>
      </c>
      <c r="AA27" s="45">
        <f t="shared" si="41"/>
        <v>-4.9999999999883499E-2</v>
      </c>
      <c r="AB27" s="49">
        <v>8.8607999999999993</v>
      </c>
      <c r="AC27" s="43">
        <f t="shared" si="42"/>
        <v>0.19999999999953399</v>
      </c>
      <c r="AD27" s="44">
        <f t="shared" si="43"/>
        <v>-3.30000000000119</v>
      </c>
      <c r="AE27" s="45">
        <f t="shared" si="44"/>
        <v>9.99999999997669E-2</v>
      </c>
      <c r="AF27" s="50">
        <v>79183</v>
      </c>
      <c r="AG27" s="58">
        <f t="shared" si="45"/>
        <v>73</v>
      </c>
      <c r="AH27" s="61"/>
      <c r="AI27" s="60"/>
      <c r="AJ27" s="61"/>
    </row>
    <row r="28" spans="1:36">
      <c r="A28" s="21">
        <v>44511</v>
      </c>
      <c r="B28" s="22">
        <v>789.95809999999994</v>
      </c>
      <c r="C28" s="27">
        <v>5.2564000000000002</v>
      </c>
      <c r="D28" s="23">
        <f t="shared" si="46"/>
        <v>795.21450000000004</v>
      </c>
      <c r="E28" s="24">
        <f t="shared" si="47"/>
        <v>9.9999999974897905E-2</v>
      </c>
      <c r="F28" s="25">
        <f t="shared" si="48"/>
        <v>-3.5000000000309202</v>
      </c>
      <c r="G28" s="26">
        <f t="shared" si="49"/>
        <v>4.9999999987449001E-2</v>
      </c>
      <c r="H28" s="6">
        <v>6.5526999999999997</v>
      </c>
      <c r="I28" s="35">
        <f t="shared" si="50"/>
        <v>796.51080000000002</v>
      </c>
      <c r="J28" s="24">
        <f t="shared" si="51"/>
        <v>-9.9999999974897905E-2</v>
      </c>
      <c r="K28" s="25">
        <f t="shared" si="52"/>
        <v>-4.5000000000072804</v>
      </c>
      <c r="L28" s="26">
        <f t="shared" si="53"/>
        <v>-4.9999999987449001E-2</v>
      </c>
      <c r="M28" s="6">
        <v>5.3230000000000004</v>
      </c>
      <c r="N28" s="35">
        <f t="shared" si="54"/>
        <v>795.28110000000004</v>
      </c>
      <c r="O28" s="24">
        <f t="shared" si="55"/>
        <v>-0.20000000006348301</v>
      </c>
      <c r="P28" s="25">
        <f t="shared" si="56"/>
        <v>-3.8000000000692999</v>
      </c>
      <c r="Q28" s="26">
        <f t="shared" si="57"/>
        <v>-0.100000000031741</v>
      </c>
      <c r="R28" s="41"/>
      <c r="S28" s="21">
        <f t="shared" si="58"/>
        <v>44511</v>
      </c>
      <c r="T28" s="42">
        <v>8.8804999999999996</v>
      </c>
      <c r="U28" s="43">
        <f t="shared" si="36"/>
        <v>0.39999999999906799</v>
      </c>
      <c r="V28" s="44">
        <f t="shared" si="37"/>
        <v>-2.0000000000006701</v>
      </c>
      <c r="W28" s="45">
        <f t="shared" si="38"/>
        <v>-0.19999999999953399</v>
      </c>
      <c r="X28" s="29">
        <v>11.8223</v>
      </c>
      <c r="Y28" s="43">
        <f t="shared" si="39"/>
        <v>9.99999999997669E-2</v>
      </c>
      <c r="Z28" s="44">
        <f t="shared" si="40"/>
        <v>-3.0999999999998802</v>
      </c>
      <c r="AA28" s="45">
        <f t="shared" si="41"/>
        <v>4.9999999999883499E-2</v>
      </c>
      <c r="AB28" s="49">
        <v>8.8605</v>
      </c>
      <c r="AC28" s="43">
        <f t="shared" si="42"/>
        <v>-0.29999999999930099</v>
      </c>
      <c r="AD28" s="44">
        <f t="shared" si="43"/>
        <v>-3.6000000000004899</v>
      </c>
      <c r="AE28" s="45">
        <f t="shared" si="44"/>
        <v>-0.14999999999965</v>
      </c>
      <c r="AF28" s="50">
        <v>79186</v>
      </c>
      <c r="AG28" s="58">
        <f t="shared" si="45"/>
        <v>76</v>
      </c>
      <c r="AH28" s="61"/>
      <c r="AI28" s="60"/>
      <c r="AJ28" s="61"/>
    </row>
    <row r="29" spans="1:36">
      <c r="A29" s="21">
        <v>44513</v>
      </c>
      <c r="B29" s="22">
        <v>789.95809999999994</v>
      </c>
      <c r="C29" s="27">
        <v>5.2560999999999902</v>
      </c>
      <c r="D29" s="23">
        <f t="shared" si="46"/>
        <v>795.21420000000001</v>
      </c>
      <c r="E29" s="24">
        <f t="shared" si="47"/>
        <v>-0.30000000003838101</v>
      </c>
      <c r="F29" s="25">
        <f t="shared" si="48"/>
        <v>-3.8000000000692999</v>
      </c>
      <c r="G29" s="26">
        <f t="shared" si="49"/>
        <v>-0.15000000001919001</v>
      </c>
      <c r="H29" s="6">
        <v>6.5532000000000004</v>
      </c>
      <c r="I29" s="35">
        <f t="shared" si="50"/>
        <v>796.51130000000001</v>
      </c>
      <c r="J29" s="24">
        <f t="shared" si="51"/>
        <v>0.49999999998817701</v>
      </c>
      <c r="K29" s="25">
        <f t="shared" si="52"/>
        <v>-4.0000000000191003</v>
      </c>
      <c r="L29" s="26">
        <f t="shared" si="53"/>
        <v>0.24999999999408801</v>
      </c>
      <c r="M29" s="6">
        <v>5.3232999999999997</v>
      </c>
      <c r="N29" s="35">
        <f t="shared" si="54"/>
        <v>795.28139999999996</v>
      </c>
      <c r="O29" s="24">
        <f t="shared" si="55"/>
        <v>0.30000000003838101</v>
      </c>
      <c r="P29" s="25">
        <f t="shared" si="56"/>
        <v>-3.5000000000309202</v>
      </c>
      <c r="Q29" s="26">
        <f t="shared" si="57"/>
        <v>0.15000000001919001</v>
      </c>
      <c r="R29" s="41"/>
      <c r="S29" s="21">
        <f t="shared" si="58"/>
        <v>44513</v>
      </c>
      <c r="T29" s="42">
        <v>8.8802000000000003</v>
      </c>
      <c r="U29" s="43">
        <f t="shared" si="36"/>
        <v>-0.29999999999930099</v>
      </c>
      <c r="V29" s="44">
        <f t="shared" si="37"/>
        <v>-2.2999999999999701</v>
      </c>
      <c r="W29" s="45">
        <f t="shared" si="38"/>
        <v>0.14999999999965</v>
      </c>
      <c r="X29" s="29">
        <v>11.8225</v>
      </c>
      <c r="Y29" s="43">
        <f t="shared" si="39"/>
        <v>0.19999999999953399</v>
      </c>
      <c r="Z29" s="44">
        <f t="shared" si="40"/>
        <v>-2.9000000000003499</v>
      </c>
      <c r="AA29" s="45">
        <f t="shared" si="41"/>
        <v>9.99999999997669E-2</v>
      </c>
      <c r="AB29" s="49">
        <v>8.8604000000000003</v>
      </c>
      <c r="AC29" s="43">
        <f t="shared" si="42"/>
        <v>-9.99999999997669E-2</v>
      </c>
      <c r="AD29" s="44">
        <f t="shared" si="43"/>
        <v>-3.70000000000026</v>
      </c>
      <c r="AE29" s="45">
        <f t="shared" si="44"/>
        <v>-4.9999999999883499E-2</v>
      </c>
      <c r="AF29" s="50">
        <v>79189</v>
      </c>
      <c r="AG29" s="58">
        <f t="shared" si="45"/>
        <v>79</v>
      </c>
      <c r="AH29" s="61"/>
      <c r="AI29" s="60"/>
      <c r="AJ29" s="61"/>
    </row>
    <row r="30" spans="1:36">
      <c r="A30" s="21">
        <v>44520</v>
      </c>
      <c r="B30" s="22">
        <v>789.95809999999994</v>
      </c>
      <c r="C30" s="27">
        <v>5.2565</v>
      </c>
      <c r="D30" s="23">
        <f t="shared" si="46"/>
        <v>795.21460000000002</v>
      </c>
      <c r="E30" s="24">
        <f t="shared" si="47"/>
        <v>0.40000000001327901</v>
      </c>
      <c r="F30" s="25">
        <f t="shared" si="48"/>
        <v>-3.40000000005602</v>
      </c>
      <c r="G30" s="26">
        <f t="shared" si="49"/>
        <v>5.7142857144754103E-2</v>
      </c>
      <c r="H30" s="6">
        <v>6.5533999999999999</v>
      </c>
      <c r="I30" s="35">
        <f t="shared" si="50"/>
        <v>796.51149999999996</v>
      </c>
      <c r="J30" s="24">
        <f t="shared" si="51"/>
        <v>0.20000000006348301</v>
      </c>
      <c r="K30" s="25">
        <f t="shared" si="52"/>
        <v>-3.7999999999556202</v>
      </c>
      <c r="L30" s="26">
        <f t="shared" si="53"/>
        <v>2.85714285804975E-2</v>
      </c>
      <c r="M30" s="6">
        <v>5.3235000000000001</v>
      </c>
      <c r="N30" s="35">
        <f t="shared" si="54"/>
        <v>795.28160000000003</v>
      </c>
      <c r="O30" s="24">
        <f t="shared" si="55"/>
        <v>0.199999999949796</v>
      </c>
      <c r="P30" s="25">
        <f t="shared" si="56"/>
        <v>-3.30000000008113</v>
      </c>
      <c r="Q30" s="26">
        <f t="shared" si="57"/>
        <v>2.8571428564256599E-2</v>
      </c>
      <c r="R30" s="41"/>
      <c r="S30" s="21">
        <f t="shared" si="58"/>
        <v>44520</v>
      </c>
      <c r="T30" s="42">
        <v>8.8801000000000005</v>
      </c>
      <c r="U30" s="43">
        <f t="shared" si="36"/>
        <v>-9.99999999997669E-2</v>
      </c>
      <c r="V30" s="44">
        <f t="shared" si="37"/>
        <v>-2.3999999999997401</v>
      </c>
      <c r="W30" s="45">
        <f t="shared" si="38"/>
        <v>1.4285714285680999E-2</v>
      </c>
      <c r="X30" s="29">
        <v>11.8224</v>
      </c>
      <c r="Y30" s="43">
        <f t="shared" si="39"/>
        <v>-9.99999999997669E-2</v>
      </c>
      <c r="Z30" s="44">
        <f t="shared" si="40"/>
        <v>-3.0000000000001101</v>
      </c>
      <c r="AA30" s="45">
        <f t="shared" si="41"/>
        <v>-1.4285714285680999E-2</v>
      </c>
      <c r="AB30" s="49">
        <v>8.8606999999999996</v>
      </c>
      <c r="AC30" s="43">
        <f t="shared" si="42"/>
        <v>0.29999999999930099</v>
      </c>
      <c r="AD30" s="44">
        <f t="shared" si="43"/>
        <v>-3.40000000000096</v>
      </c>
      <c r="AE30" s="45">
        <f t="shared" si="44"/>
        <v>4.2857142857043E-2</v>
      </c>
      <c r="AF30" s="50">
        <v>79208</v>
      </c>
      <c r="AG30" s="58">
        <f t="shared" si="45"/>
        <v>98</v>
      </c>
      <c r="AH30" s="61"/>
      <c r="AI30" s="60"/>
      <c r="AJ30" s="61"/>
    </row>
    <row r="31" spans="1:36">
      <c r="A31" s="21">
        <v>44527</v>
      </c>
      <c r="B31" s="22">
        <v>789.95809999999994</v>
      </c>
      <c r="C31" s="27">
        <v>5.2569000000000097</v>
      </c>
      <c r="D31" s="23">
        <f t="shared" si="46"/>
        <v>795.21500000000003</v>
      </c>
      <c r="E31" s="24">
        <f t="shared" si="47"/>
        <v>0.40000000001327901</v>
      </c>
      <c r="F31" s="25">
        <f t="shared" si="48"/>
        <v>-3.0000000000427498</v>
      </c>
      <c r="G31" s="26">
        <f t="shared" si="49"/>
        <v>5.7142857144754103E-2</v>
      </c>
      <c r="H31" s="6">
        <v>6.5536000000000003</v>
      </c>
      <c r="I31" s="35">
        <f t="shared" si="50"/>
        <v>796.51170000000002</v>
      </c>
      <c r="J31" s="24">
        <f t="shared" si="51"/>
        <v>0.199999999949796</v>
      </c>
      <c r="K31" s="25">
        <f t="shared" si="52"/>
        <v>-3.6000000000058199</v>
      </c>
      <c r="L31" s="26">
        <f t="shared" si="53"/>
        <v>2.8571428564256599E-2</v>
      </c>
      <c r="M31" s="6">
        <v>5.3236999999999997</v>
      </c>
      <c r="N31" s="35">
        <f t="shared" si="54"/>
        <v>795.28179999999998</v>
      </c>
      <c r="O31" s="24">
        <f t="shared" si="55"/>
        <v>0.20000000006348301</v>
      </c>
      <c r="P31" s="25">
        <f t="shared" si="56"/>
        <v>-3.1000000000176402</v>
      </c>
      <c r="Q31" s="26">
        <f t="shared" si="57"/>
        <v>2.85714285804975E-2</v>
      </c>
      <c r="R31" s="41"/>
      <c r="S31" s="21">
        <f t="shared" si="58"/>
        <v>44527</v>
      </c>
      <c r="T31" s="42">
        <v>8.8800000000000008</v>
      </c>
      <c r="U31" s="43">
        <f t="shared" si="36"/>
        <v>-9.99999999997669E-2</v>
      </c>
      <c r="V31" s="44">
        <f t="shared" si="37"/>
        <v>-2.4999999999995</v>
      </c>
      <c r="W31" s="45">
        <f t="shared" si="38"/>
        <v>1.4285714285680999E-2</v>
      </c>
      <c r="X31" s="29">
        <v>11.8223</v>
      </c>
      <c r="Y31" s="43">
        <f t="shared" si="39"/>
        <v>-9.99999999997669E-2</v>
      </c>
      <c r="Z31" s="44">
        <f t="shared" si="40"/>
        <v>-3.0999999999998802</v>
      </c>
      <c r="AA31" s="45">
        <f t="shared" si="41"/>
        <v>-1.4285714285680999E-2</v>
      </c>
      <c r="AB31" s="49">
        <v>8.8610000000000007</v>
      </c>
      <c r="AC31" s="43">
        <f t="shared" si="42"/>
        <v>0.30000000000107702</v>
      </c>
      <c r="AD31" s="44">
        <f t="shared" si="43"/>
        <v>-3.0999999999998802</v>
      </c>
      <c r="AE31" s="45">
        <f t="shared" si="44"/>
        <v>4.28571428572967E-2</v>
      </c>
      <c r="AF31" s="50">
        <v>79227</v>
      </c>
      <c r="AG31" s="58">
        <f t="shared" si="45"/>
        <v>117</v>
      </c>
      <c r="AH31" s="61"/>
      <c r="AI31" s="60"/>
      <c r="AJ31" s="61"/>
    </row>
    <row r="32" spans="1:36" s="70" customFormat="1">
      <c r="A32" s="21"/>
      <c r="B32" s="22"/>
      <c r="C32" s="71"/>
      <c r="D32" s="72"/>
      <c r="E32" s="65"/>
      <c r="F32" s="33"/>
      <c r="G32" s="33"/>
      <c r="H32" s="68"/>
      <c r="I32" s="69"/>
      <c r="J32" s="65"/>
      <c r="K32" s="33"/>
      <c r="L32" s="26"/>
      <c r="M32" s="47"/>
      <c r="N32" s="73"/>
      <c r="O32" s="24"/>
      <c r="P32" s="25"/>
      <c r="Q32" s="26"/>
      <c r="R32" s="41"/>
      <c r="S32" s="21"/>
      <c r="T32" s="42"/>
      <c r="U32" s="65"/>
      <c r="V32" s="33"/>
      <c r="W32" s="33"/>
      <c r="X32" s="33"/>
      <c r="Y32" s="65"/>
      <c r="Z32" s="33"/>
      <c r="AA32" s="33"/>
      <c r="AB32" s="49"/>
      <c r="AC32" s="43"/>
      <c r="AD32" s="44"/>
      <c r="AE32" s="45"/>
      <c r="AF32" s="50"/>
      <c r="AG32" s="58"/>
      <c r="AH32" s="61"/>
      <c r="AI32" s="60"/>
    </row>
    <row r="33" spans="1:36">
      <c r="A33" s="21"/>
      <c r="B33" s="22"/>
      <c r="C33" s="27"/>
      <c r="D33" s="23"/>
      <c r="E33" s="65">
        <f>F31-F30</f>
        <v>0.40000000001327901</v>
      </c>
      <c r="F33" s="33">
        <f>K31-K30</f>
        <v>0.199999999949796</v>
      </c>
      <c r="G33" s="33">
        <f>P31-P30</f>
        <v>0.20000000006348301</v>
      </c>
      <c r="H33" s="68">
        <f>F31</f>
        <v>-3.0000000000427498</v>
      </c>
      <c r="I33" s="69">
        <f>K31</f>
        <v>-3.6000000000058199</v>
      </c>
      <c r="J33" s="65">
        <f>P31</f>
        <v>-3.1000000000176402</v>
      </c>
      <c r="K33" s="33">
        <f>(P31-P30)/7</f>
        <v>2.85714285804975E-2</v>
      </c>
      <c r="L33" s="26"/>
      <c r="N33" s="35"/>
      <c r="O33" s="24"/>
      <c r="P33" s="25"/>
      <c r="Q33" s="26"/>
      <c r="R33" s="41"/>
      <c r="S33" s="21"/>
      <c r="T33" s="42"/>
      <c r="U33" s="65">
        <f>V31-V30</f>
        <v>-9.99999999997669E-2</v>
      </c>
      <c r="V33" s="33">
        <f>Z31-Z30</f>
        <v>-9.99999999997669E-2</v>
      </c>
      <c r="W33" s="33">
        <f>AD31-AD30</f>
        <v>0.30000000000107702</v>
      </c>
      <c r="X33" s="33">
        <f>V31</f>
        <v>-2.4999999999995</v>
      </c>
      <c r="Y33" s="65">
        <f>Z31</f>
        <v>-3.0999999999998802</v>
      </c>
      <c r="Z33" s="33">
        <f>AD31</f>
        <v>-3.0999999999998802</v>
      </c>
      <c r="AA33" s="33">
        <f>(AD31-AD30)/7</f>
        <v>4.28571428572967E-2</v>
      </c>
      <c r="AB33" s="49"/>
      <c r="AC33" s="43"/>
      <c r="AD33" s="44"/>
      <c r="AE33" s="45"/>
      <c r="AF33" s="50"/>
      <c r="AG33" s="58"/>
      <c r="AH33" s="61"/>
      <c r="AI33" s="60"/>
      <c r="AJ33"/>
    </row>
    <row r="34" spans="1:36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</row>
    <row r="35" spans="1:36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6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6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6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6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6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6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6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6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6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6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6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6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6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4"/>
  <sheetViews>
    <sheetView topLeftCell="A5" workbookViewId="0">
      <selection activeCell="P6" sqref="F6:F28 K6:K28 P6:P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8.3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27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44487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44487</v>
      </c>
      <c r="B6" s="22">
        <v>789.95809999999994</v>
      </c>
      <c r="C6" s="27">
        <v>5.9260000000000002</v>
      </c>
      <c r="D6" s="23">
        <f>C6+B6</f>
        <v>795.88409999999999</v>
      </c>
      <c r="E6" s="24">
        <v>0</v>
      </c>
      <c r="F6" s="25">
        <v>0</v>
      </c>
      <c r="G6" s="26">
        <v>0</v>
      </c>
      <c r="H6" s="6">
        <v>6.7103999999999999</v>
      </c>
      <c r="I6" s="35">
        <f>H6+B6</f>
        <v>796.66849999999999</v>
      </c>
      <c r="J6" s="24">
        <v>0</v>
      </c>
      <c r="K6" s="25">
        <v>0</v>
      </c>
      <c r="L6" s="26">
        <v>0</v>
      </c>
      <c r="M6" s="6">
        <v>5.8937999999999997</v>
      </c>
      <c r="N6" s="35">
        <f>M6+B6</f>
        <v>795.8519</v>
      </c>
      <c r="O6" s="24">
        <v>0</v>
      </c>
      <c r="P6" s="25">
        <v>0</v>
      </c>
      <c r="Q6" s="26">
        <v>0</v>
      </c>
      <c r="R6" s="41"/>
      <c r="S6" s="21">
        <f>A6</f>
        <v>44487</v>
      </c>
      <c r="T6" s="42">
        <v>8.6919000000000004</v>
      </c>
      <c r="U6" s="43">
        <v>0</v>
      </c>
      <c r="V6" s="44">
        <v>0</v>
      </c>
      <c r="W6" s="45">
        <f>U6/(S6-S11)</f>
        <v>0</v>
      </c>
      <c r="X6" s="29">
        <v>12.0106</v>
      </c>
      <c r="Y6" s="43">
        <v>0</v>
      </c>
      <c r="Z6" s="44">
        <v>0</v>
      </c>
      <c r="AA6" s="45">
        <v>0</v>
      </c>
      <c r="AB6" s="49">
        <v>9.3912999999999993</v>
      </c>
      <c r="AC6" s="43">
        <v>0</v>
      </c>
      <c r="AD6" s="44">
        <v>0</v>
      </c>
      <c r="AE6" s="45">
        <v>0</v>
      </c>
      <c r="AF6" s="50">
        <v>79148</v>
      </c>
      <c r="AG6" s="58">
        <f>AF6-79140</f>
        <v>8</v>
      </c>
      <c r="AH6" s="59"/>
      <c r="AI6" s="60"/>
      <c r="AJ6" s="61"/>
      <c r="AK6" s="62"/>
      <c r="AL6" s="52"/>
      <c r="AM6" s="52"/>
    </row>
    <row r="7" spans="1:39">
      <c r="A7" s="21">
        <v>44488</v>
      </c>
      <c r="B7" s="22">
        <v>789.95809999999994</v>
      </c>
      <c r="C7" s="27">
        <v>5.9255000000000004</v>
      </c>
      <c r="D7" s="23">
        <f>C7+B7</f>
        <v>795.8836</v>
      </c>
      <c r="E7" s="24">
        <f>(D7-D6)*1000</f>
        <v>-0.49999999998817701</v>
      </c>
      <c r="F7" s="25">
        <f>F6+E7</f>
        <v>-0.49999999998817701</v>
      </c>
      <c r="G7" s="26">
        <f>E7/(A7-A6)</f>
        <v>-0.49999999998817701</v>
      </c>
      <c r="H7" s="6">
        <v>6.7100999999999997</v>
      </c>
      <c r="I7" s="35">
        <f>H7+B7</f>
        <v>796.66819999999996</v>
      </c>
      <c r="J7" s="24">
        <f>(I7-I6)*1000</f>
        <v>-0.30000000003838101</v>
      </c>
      <c r="K7" s="25">
        <f>K6+J7</f>
        <v>-0.30000000003838101</v>
      </c>
      <c r="L7" s="26">
        <f>J7/(A7-A6)</f>
        <v>-0.30000000003838101</v>
      </c>
      <c r="M7" s="6">
        <v>5.8936000000000002</v>
      </c>
      <c r="N7" s="35">
        <f>M7+B7</f>
        <v>795.85170000000005</v>
      </c>
      <c r="O7" s="24">
        <f>(N7-N6)*1000</f>
        <v>-0.20000000006348301</v>
      </c>
      <c r="P7" s="25">
        <f>P6+O7</f>
        <v>-0.20000000006348301</v>
      </c>
      <c r="Q7" s="26">
        <f>O7/(A7-A6)</f>
        <v>-0.20000000006348301</v>
      </c>
      <c r="R7" s="41"/>
      <c r="S7" s="21">
        <f>A7</f>
        <v>44488</v>
      </c>
      <c r="T7" s="42">
        <v>8.6920000000000002</v>
      </c>
      <c r="U7" s="43">
        <f>(T7-T6)*1000</f>
        <v>9.99999999997669E-2</v>
      </c>
      <c r="V7" s="44">
        <f>V6+U7</f>
        <v>9.99999999997669E-2</v>
      </c>
      <c r="W7" s="45">
        <f>U7/(S6-S7)</f>
        <v>-9.99999999997669E-2</v>
      </c>
      <c r="X7" s="29">
        <v>12.010300000000001</v>
      </c>
      <c r="Y7" s="43">
        <f>(X7-X6)*1000</f>
        <v>-0.29999999999930099</v>
      </c>
      <c r="Z7" s="44">
        <f>Z6+Y7</f>
        <v>-0.29999999999930099</v>
      </c>
      <c r="AA7" s="45">
        <f>Y7/(S7-S6)</f>
        <v>-0.29999999999930099</v>
      </c>
      <c r="AB7" s="49">
        <v>9.391</v>
      </c>
      <c r="AC7" s="43">
        <f>(AB7-AB6)*1000</f>
        <v>-0.29999999999930099</v>
      </c>
      <c r="AD7" s="44">
        <f>AD6+AC7</f>
        <v>-0.29999999999930099</v>
      </c>
      <c r="AE7" s="45">
        <f>AC7/(S7-S6)</f>
        <v>-0.29999999999930099</v>
      </c>
      <c r="AF7" s="50">
        <v>79149</v>
      </c>
      <c r="AG7" s="58">
        <f t="shared" ref="AG7:AG32" si="0">AF7-79140</f>
        <v>9</v>
      </c>
      <c r="AH7" s="59"/>
      <c r="AI7" s="60"/>
      <c r="AJ7" s="61"/>
      <c r="AK7" s="62"/>
      <c r="AL7" s="52"/>
      <c r="AM7" s="52"/>
    </row>
    <row r="8" spans="1:39">
      <c r="A8" s="21">
        <v>44489</v>
      </c>
      <c r="B8" s="22">
        <v>789.95809999999994</v>
      </c>
      <c r="C8" s="27">
        <v>5.9253</v>
      </c>
      <c r="D8" s="23">
        <f>C8+B8</f>
        <v>795.88340000000005</v>
      </c>
      <c r="E8" s="24">
        <f>(D8-D7)*1000</f>
        <v>-0.20000000006348301</v>
      </c>
      <c r="F8" s="25">
        <f>F7+E8</f>
        <v>-0.70000000005165897</v>
      </c>
      <c r="G8" s="26">
        <f>E8/(A8-A7)</f>
        <v>-0.20000000006348301</v>
      </c>
      <c r="H8" s="6">
        <v>6.7099000000000002</v>
      </c>
      <c r="I8" s="35">
        <f>H8+B8</f>
        <v>796.66800000000001</v>
      </c>
      <c r="J8" s="24">
        <f>(I8-I7)*1000</f>
        <v>-0.20000000006348301</v>
      </c>
      <c r="K8" s="25">
        <f>K7+J8</f>
        <v>-0.50000000010186296</v>
      </c>
      <c r="L8" s="26">
        <f>J8/(A8-A7)</f>
        <v>-0.20000000006348301</v>
      </c>
      <c r="M8" s="6">
        <v>5.8929999999999998</v>
      </c>
      <c r="N8" s="35">
        <f>M8+B8</f>
        <v>795.85109999999997</v>
      </c>
      <c r="O8" s="24">
        <f>(N8-N7)*1000</f>
        <v>-0.59999999996307496</v>
      </c>
      <c r="P8" s="25">
        <f>P7+O8</f>
        <v>-0.80000000002655702</v>
      </c>
      <c r="Q8" s="26">
        <f>O8/(A8-A7)</f>
        <v>-0.59999999996307496</v>
      </c>
      <c r="R8" s="41"/>
      <c r="S8" s="21">
        <f>A8</f>
        <v>44489</v>
      </c>
      <c r="T8" s="42">
        <v>8.6918000000000006</v>
      </c>
      <c r="U8" s="43">
        <f>(T8-T7)*1000</f>
        <v>-0.19999999999953399</v>
      </c>
      <c r="V8" s="44">
        <f>V7+U8</f>
        <v>-9.99999999997669E-2</v>
      </c>
      <c r="W8" s="45">
        <f>U8/(S7-S8)</f>
        <v>0.19999999999953399</v>
      </c>
      <c r="X8" s="29">
        <v>12.0101</v>
      </c>
      <c r="Y8" s="43">
        <f>(X8-X7)*1000</f>
        <v>-0.20000000000130999</v>
      </c>
      <c r="Z8" s="44">
        <f>Z7+Y8</f>
        <v>-0.50000000000061096</v>
      </c>
      <c r="AA8" s="45">
        <f>Y8/(S8-S7)</f>
        <v>-0.20000000000130999</v>
      </c>
      <c r="AB8" s="49">
        <v>9.3909000000000002</v>
      </c>
      <c r="AC8" s="43">
        <f>(AB8-AB7)*1000</f>
        <v>-9.99999999997669E-2</v>
      </c>
      <c r="AD8" s="44">
        <f>AD7+AC8</f>
        <v>-0.39999999999906799</v>
      </c>
      <c r="AE8" s="45">
        <f>AC8/(S8-S7)</f>
        <v>-9.99999999997669E-2</v>
      </c>
      <c r="AF8" s="50">
        <v>79152</v>
      </c>
      <c r="AG8" s="58">
        <f t="shared" si="0"/>
        <v>12</v>
      </c>
      <c r="AH8" s="59"/>
      <c r="AI8" s="60"/>
      <c r="AJ8" s="61"/>
      <c r="AK8" s="62"/>
      <c r="AL8" s="52"/>
      <c r="AM8" s="52"/>
    </row>
    <row r="9" spans="1:39">
      <c r="A9" s="21">
        <v>44490</v>
      </c>
      <c r="B9" s="22">
        <v>789.95809999999994</v>
      </c>
      <c r="C9" s="27">
        <v>5.9255000000000004</v>
      </c>
      <c r="D9" s="23">
        <f t="shared" ref="D9:D20" si="1">C9+B9</f>
        <v>795.8836</v>
      </c>
      <c r="E9" s="24">
        <f t="shared" ref="E9:E20" si="2">(D9-D8)*1000</f>
        <v>0.20000000006348301</v>
      </c>
      <c r="F9" s="25">
        <f t="shared" ref="F9:F20" si="3">F8+E9</f>
        <v>-0.49999999998817701</v>
      </c>
      <c r="G9" s="26">
        <f t="shared" ref="G9:G20" si="4">E9/(A9-A8)</f>
        <v>0.20000000006348301</v>
      </c>
      <c r="H9" s="6">
        <v>6.7096999999999998</v>
      </c>
      <c r="I9" s="35">
        <f t="shared" ref="I9:I20" si="5">H9+B9</f>
        <v>796.66780000000006</v>
      </c>
      <c r="J9" s="24">
        <f t="shared" ref="J9:J20" si="6">(I9-I8)*1000</f>
        <v>-0.199999999949796</v>
      </c>
      <c r="K9" s="25">
        <f t="shared" ref="K9:K20" si="7">K8+J9</f>
        <v>-0.70000000005165897</v>
      </c>
      <c r="L9" s="26">
        <f t="shared" ref="L9:L20" si="8">J9/(A9-A8)</f>
        <v>-0.199999999949796</v>
      </c>
      <c r="M9" s="6">
        <v>5.8933</v>
      </c>
      <c r="N9" s="35">
        <f t="shared" ref="N9:N20" si="9">M9+B9</f>
        <v>795.85140000000001</v>
      </c>
      <c r="O9" s="24">
        <f t="shared" ref="O9:O20" si="10">(N9-N8)*1000</f>
        <v>0.29999999992469401</v>
      </c>
      <c r="P9" s="25">
        <f t="shared" ref="P9:P20" si="11">P8+O9</f>
        <v>-0.50000000010186296</v>
      </c>
      <c r="Q9" s="26">
        <f t="shared" ref="Q9:Q20" si="12">O9/(A9-A8)</f>
        <v>0.29999999992469401</v>
      </c>
      <c r="R9" s="41"/>
      <c r="S9" s="21">
        <f t="shared" ref="S9:S20" si="13">A9</f>
        <v>44490</v>
      </c>
      <c r="T9" s="42">
        <v>8.6915999999999993</v>
      </c>
      <c r="U9" s="43">
        <f t="shared" ref="U9:U32" si="14">(T9-T8)*1000</f>
        <v>-0.20000000000130999</v>
      </c>
      <c r="V9" s="44">
        <f t="shared" ref="V9:V32" si="15">V8+U9</f>
        <v>-0.30000000000107702</v>
      </c>
      <c r="W9" s="45">
        <f t="shared" ref="W9:W32" si="16">U9/(S8-S9)</f>
        <v>0.20000000000130999</v>
      </c>
      <c r="X9" s="29">
        <v>12.0105</v>
      </c>
      <c r="Y9" s="43">
        <f t="shared" ref="Y9:Y32" si="17">(X9-X8)*1000</f>
        <v>0.40000000000084401</v>
      </c>
      <c r="Z9" s="44">
        <f t="shared" ref="Z9:Z32" si="18">Z8+Y9</f>
        <v>-9.99999999997669E-2</v>
      </c>
      <c r="AA9" s="45">
        <f t="shared" ref="AA9:AA32" si="19">Y9/(S9-S8)</f>
        <v>0.40000000000084401</v>
      </c>
      <c r="AB9" s="49">
        <v>9.3902000000000001</v>
      </c>
      <c r="AC9" s="43">
        <f t="shared" ref="AC9:AC32" si="20">(AB9-AB8)*1000</f>
        <v>-0.70000000000014495</v>
      </c>
      <c r="AD9" s="44">
        <f t="shared" ref="AD9:AD32" si="21">AD8+AC9</f>
        <v>-1.0999999999992101</v>
      </c>
      <c r="AE9" s="45">
        <f t="shared" ref="AE9:AE32" si="22">AC9/(S9-S8)</f>
        <v>-0.70000000000014495</v>
      </c>
      <c r="AF9" s="50">
        <v>79155</v>
      </c>
      <c r="AG9" s="58">
        <f t="shared" si="0"/>
        <v>15</v>
      </c>
      <c r="AH9" s="59"/>
      <c r="AI9" s="60"/>
      <c r="AJ9" s="61"/>
      <c r="AK9" s="62"/>
      <c r="AL9" s="52"/>
      <c r="AM9" s="52"/>
    </row>
    <row r="10" spans="1:39">
      <c r="A10" s="21">
        <v>44491</v>
      </c>
      <c r="B10" s="22">
        <v>789.95809999999994</v>
      </c>
      <c r="C10" s="27">
        <v>5.9249000000000001</v>
      </c>
      <c r="D10" s="23">
        <f t="shared" si="1"/>
        <v>795.88300000000004</v>
      </c>
      <c r="E10" s="24">
        <f t="shared" si="2"/>
        <v>-0.60000000007676102</v>
      </c>
      <c r="F10" s="25">
        <f t="shared" si="3"/>
        <v>-1.1000000000649399</v>
      </c>
      <c r="G10" s="26">
        <f t="shared" si="4"/>
        <v>-0.60000000007676102</v>
      </c>
      <c r="H10" s="6">
        <v>6.7096</v>
      </c>
      <c r="I10" s="35">
        <f t="shared" si="5"/>
        <v>796.66769999999997</v>
      </c>
      <c r="J10" s="24">
        <f t="shared" si="6"/>
        <v>-9.9999999974897905E-2</v>
      </c>
      <c r="K10" s="25">
        <f t="shared" si="7"/>
        <v>-0.80000000002655702</v>
      </c>
      <c r="L10" s="26">
        <f t="shared" si="8"/>
        <v>-9.9999999974897905E-2</v>
      </c>
      <c r="M10" s="6">
        <v>5.8930999999999996</v>
      </c>
      <c r="N10" s="35">
        <f t="shared" si="9"/>
        <v>795.85119999999995</v>
      </c>
      <c r="O10" s="24">
        <f t="shared" si="10"/>
        <v>-0.199999999949796</v>
      </c>
      <c r="P10" s="25">
        <f t="shared" si="11"/>
        <v>-0.70000000005165897</v>
      </c>
      <c r="Q10" s="26">
        <f t="shared" si="12"/>
        <v>-0.199999999949796</v>
      </c>
      <c r="R10" s="41"/>
      <c r="S10" s="21">
        <f t="shared" si="13"/>
        <v>44491</v>
      </c>
      <c r="T10" s="42">
        <v>8.6914999999999996</v>
      </c>
      <c r="U10" s="43">
        <f t="shared" si="14"/>
        <v>-9.99999999997669E-2</v>
      </c>
      <c r="V10" s="44">
        <f t="shared" si="15"/>
        <v>-0.40000000000084401</v>
      </c>
      <c r="W10" s="45">
        <f t="shared" si="16"/>
        <v>9.99999999997669E-2</v>
      </c>
      <c r="X10" s="29">
        <v>12.010400000000001</v>
      </c>
      <c r="Y10" s="43">
        <f t="shared" si="17"/>
        <v>-9.99999999997669E-2</v>
      </c>
      <c r="Z10" s="44">
        <f t="shared" si="18"/>
        <v>-0.19999999999953399</v>
      </c>
      <c r="AA10" s="45">
        <f t="shared" si="19"/>
        <v>-9.99999999997669E-2</v>
      </c>
      <c r="AB10" s="49">
        <v>9.39</v>
      </c>
      <c r="AC10" s="43">
        <f t="shared" si="20"/>
        <v>-0.19999999999953399</v>
      </c>
      <c r="AD10" s="44">
        <f t="shared" si="21"/>
        <v>-1.2999999999987499</v>
      </c>
      <c r="AE10" s="45">
        <f t="shared" si="22"/>
        <v>-0.19999999999953399</v>
      </c>
      <c r="AF10" s="50">
        <v>79156</v>
      </c>
      <c r="AG10" s="58">
        <f t="shared" si="0"/>
        <v>16</v>
      </c>
      <c r="AH10" s="59"/>
      <c r="AI10" s="60"/>
      <c r="AJ10" s="61"/>
      <c r="AK10" s="62"/>
      <c r="AL10" s="52"/>
      <c r="AM10" s="52"/>
    </row>
    <row r="11" spans="1:39">
      <c r="A11" s="21">
        <v>44492</v>
      </c>
      <c r="B11" s="22">
        <v>789.95809999999994</v>
      </c>
      <c r="C11" s="27">
        <v>5.9246999999999996</v>
      </c>
      <c r="D11" s="23">
        <f t="shared" si="1"/>
        <v>795.88279999999997</v>
      </c>
      <c r="E11" s="24">
        <f t="shared" si="2"/>
        <v>-0.199999999949796</v>
      </c>
      <c r="F11" s="25">
        <f t="shared" si="3"/>
        <v>-1.30000000001473</v>
      </c>
      <c r="G11" s="26">
        <f t="shared" si="4"/>
        <v>-0.199999999949796</v>
      </c>
      <c r="H11" s="6">
        <v>6.7092999999999998</v>
      </c>
      <c r="I11" s="35">
        <f t="shared" si="5"/>
        <v>796.66740000000004</v>
      </c>
      <c r="J11" s="24">
        <f t="shared" si="6"/>
        <v>-0.30000000003838101</v>
      </c>
      <c r="K11" s="25">
        <f t="shared" si="7"/>
        <v>-1.1000000000649399</v>
      </c>
      <c r="L11" s="26">
        <f t="shared" si="8"/>
        <v>-0.30000000003838101</v>
      </c>
      <c r="M11" s="6">
        <v>5.8929999999999998</v>
      </c>
      <c r="N11" s="35">
        <f t="shared" si="9"/>
        <v>795.85109999999997</v>
      </c>
      <c r="O11" s="24">
        <f t="shared" si="10"/>
        <v>-9.9999999974897905E-2</v>
      </c>
      <c r="P11" s="25">
        <f t="shared" si="11"/>
        <v>-0.80000000002655702</v>
      </c>
      <c r="Q11" s="26">
        <f t="shared" si="12"/>
        <v>-9.9999999974897905E-2</v>
      </c>
      <c r="R11" s="41"/>
      <c r="S11" s="21">
        <f t="shared" si="13"/>
        <v>44492</v>
      </c>
      <c r="T11" s="42">
        <v>8.6912000000000003</v>
      </c>
      <c r="U11" s="43">
        <f t="shared" si="14"/>
        <v>-0.29999999999930099</v>
      </c>
      <c r="V11" s="44">
        <f t="shared" si="15"/>
        <v>-0.70000000000014495</v>
      </c>
      <c r="W11" s="45">
        <f t="shared" si="16"/>
        <v>0.29999999999930099</v>
      </c>
      <c r="X11" s="29">
        <v>12.010199999999999</v>
      </c>
      <c r="Y11" s="43">
        <f t="shared" si="17"/>
        <v>-0.20000000000130999</v>
      </c>
      <c r="Z11" s="44">
        <f t="shared" si="18"/>
        <v>-0.40000000000084401</v>
      </c>
      <c r="AA11" s="45">
        <f t="shared" si="19"/>
        <v>-0.20000000000130999</v>
      </c>
      <c r="AB11" s="49">
        <v>9.3901000000000003</v>
      </c>
      <c r="AC11" s="43">
        <f t="shared" si="20"/>
        <v>9.99999999997669E-2</v>
      </c>
      <c r="AD11" s="44">
        <f t="shared" si="21"/>
        <v>-1.1999999999989801</v>
      </c>
      <c r="AE11" s="45">
        <f t="shared" si="22"/>
        <v>9.99999999997669E-2</v>
      </c>
      <c r="AF11" s="50">
        <v>79159</v>
      </c>
      <c r="AG11" s="58">
        <f t="shared" si="0"/>
        <v>19</v>
      </c>
      <c r="AH11" s="61"/>
      <c r="AI11" s="60"/>
      <c r="AJ11" s="52"/>
      <c r="AK11" s="52"/>
      <c r="AL11" s="52"/>
      <c r="AM11" s="52"/>
    </row>
    <row r="12" spans="1:39">
      <c r="A12" s="21">
        <v>44493</v>
      </c>
      <c r="B12" s="22">
        <v>789.95809999999994</v>
      </c>
      <c r="C12" s="27">
        <v>5.9248000000000003</v>
      </c>
      <c r="D12" s="23">
        <f t="shared" si="1"/>
        <v>795.88289999999995</v>
      </c>
      <c r="E12" s="24">
        <f t="shared" si="2"/>
        <v>9.9999999974897905E-2</v>
      </c>
      <c r="F12" s="25">
        <f t="shared" si="3"/>
        <v>-1.2000000000398401</v>
      </c>
      <c r="G12" s="26">
        <f t="shared" si="4"/>
        <v>9.9999999974897905E-2</v>
      </c>
      <c r="H12" s="6">
        <v>6.7091000000000003</v>
      </c>
      <c r="I12" s="35">
        <f t="shared" si="5"/>
        <v>796.66719999999998</v>
      </c>
      <c r="J12" s="24">
        <f t="shared" si="6"/>
        <v>-0.199999999949796</v>
      </c>
      <c r="K12" s="25">
        <f t="shared" si="7"/>
        <v>-1.30000000001473</v>
      </c>
      <c r="L12" s="26">
        <f t="shared" si="8"/>
        <v>-0.199999999949796</v>
      </c>
      <c r="M12" s="6">
        <v>5.8926999999999996</v>
      </c>
      <c r="N12" s="35">
        <f t="shared" si="9"/>
        <v>795.85080000000005</v>
      </c>
      <c r="O12" s="24">
        <f t="shared" si="10"/>
        <v>-0.30000000003838101</v>
      </c>
      <c r="P12" s="25">
        <f t="shared" si="11"/>
        <v>-1.1000000000649399</v>
      </c>
      <c r="Q12" s="26">
        <f t="shared" si="12"/>
        <v>-0.30000000003838101</v>
      </c>
      <c r="R12" s="41"/>
      <c r="S12" s="21">
        <f t="shared" si="13"/>
        <v>44493</v>
      </c>
      <c r="T12" s="42">
        <v>8.6910000000000007</v>
      </c>
      <c r="U12" s="43">
        <f t="shared" si="14"/>
        <v>-0.19999999999953399</v>
      </c>
      <c r="V12" s="44">
        <f t="shared" si="15"/>
        <v>-0.89999999999967895</v>
      </c>
      <c r="W12" s="45">
        <f t="shared" si="16"/>
        <v>0.19999999999953399</v>
      </c>
      <c r="X12" s="29">
        <v>12.010300000000001</v>
      </c>
      <c r="Y12" s="43">
        <f t="shared" si="17"/>
        <v>0.10000000000154299</v>
      </c>
      <c r="Z12" s="44">
        <f t="shared" si="18"/>
        <v>-0.29999999999930099</v>
      </c>
      <c r="AA12" s="45">
        <f t="shared" si="19"/>
        <v>0.10000000000154299</v>
      </c>
      <c r="AB12" s="49">
        <v>9.39</v>
      </c>
      <c r="AC12" s="43">
        <f t="shared" si="20"/>
        <v>-9.99999999997669E-2</v>
      </c>
      <c r="AD12" s="44">
        <f t="shared" si="21"/>
        <v>-1.2999999999987499</v>
      </c>
      <c r="AE12" s="45">
        <f t="shared" si="22"/>
        <v>-9.99999999997669E-2</v>
      </c>
      <c r="AF12" s="50">
        <v>79162</v>
      </c>
      <c r="AG12" s="58">
        <f t="shared" si="0"/>
        <v>22</v>
      </c>
      <c r="AH12" s="61"/>
      <c r="AI12" s="60"/>
      <c r="AJ12" s="52"/>
      <c r="AK12" s="52"/>
      <c r="AL12" s="52"/>
      <c r="AM12" s="52"/>
    </row>
    <row r="13" spans="1:39">
      <c r="A13" s="21">
        <v>44494</v>
      </c>
      <c r="B13" s="22">
        <v>789.95809999999994</v>
      </c>
      <c r="C13" s="27">
        <v>5.9242999999999997</v>
      </c>
      <c r="D13" s="23">
        <f t="shared" si="1"/>
        <v>795.88239999999996</v>
      </c>
      <c r="E13" s="24">
        <f t="shared" si="2"/>
        <v>-0.49999999998817701</v>
      </c>
      <c r="F13" s="25">
        <f t="shared" si="3"/>
        <v>-1.70000000002801</v>
      </c>
      <c r="G13" s="26">
        <f t="shared" si="4"/>
        <v>-0.49999999998817701</v>
      </c>
      <c r="H13" s="6">
        <v>6.7092999999999998</v>
      </c>
      <c r="I13" s="35">
        <f t="shared" si="5"/>
        <v>796.66740000000004</v>
      </c>
      <c r="J13" s="24">
        <f t="shared" si="6"/>
        <v>0.199999999949796</v>
      </c>
      <c r="K13" s="25">
        <f t="shared" si="7"/>
        <v>-1.1000000000649399</v>
      </c>
      <c r="L13" s="26">
        <f t="shared" si="8"/>
        <v>0.199999999949796</v>
      </c>
      <c r="M13" s="6">
        <v>5.8925000000000001</v>
      </c>
      <c r="N13" s="35">
        <f t="shared" si="9"/>
        <v>795.85059999999999</v>
      </c>
      <c r="O13" s="24">
        <f t="shared" si="10"/>
        <v>-0.199999999949796</v>
      </c>
      <c r="P13" s="25">
        <f t="shared" si="11"/>
        <v>-1.30000000001473</v>
      </c>
      <c r="Q13" s="26">
        <f t="shared" si="12"/>
        <v>-0.199999999949796</v>
      </c>
      <c r="R13" s="41"/>
      <c r="S13" s="21">
        <f t="shared" si="13"/>
        <v>44494</v>
      </c>
      <c r="T13" s="42">
        <v>8.6911000000000005</v>
      </c>
      <c r="U13" s="43">
        <f t="shared" si="14"/>
        <v>9.99999999997669E-2</v>
      </c>
      <c r="V13" s="44">
        <f t="shared" si="15"/>
        <v>-0.799999999999912</v>
      </c>
      <c r="W13" s="45">
        <f t="shared" si="16"/>
        <v>-9.99999999997669E-2</v>
      </c>
      <c r="X13" s="29">
        <v>12.0098</v>
      </c>
      <c r="Y13" s="43">
        <f t="shared" si="17"/>
        <v>-0.50000000000061096</v>
      </c>
      <c r="Z13" s="44">
        <f t="shared" si="18"/>
        <v>-0.799999999999912</v>
      </c>
      <c r="AA13" s="45">
        <f t="shared" si="19"/>
        <v>-0.50000000000061096</v>
      </c>
      <c r="AB13" s="49">
        <v>9.3899000000000008</v>
      </c>
      <c r="AC13" s="43">
        <f t="shared" si="20"/>
        <v>-9.99999999997669E-2</v>
      </c>
      <c r="AD13" s="44">
        <f t="shared" si="21"/>
        <v>-1.39999999999851</v>
      </c>
      <c r="AE13" s="45">
        <f t="shared" si="22"/>
        <v>-9.99999999997669E-2</v>
      </c>
      <c r="AF13" s="50">
        <v>79165</v>
      </c>
      <c r="AG13" s="58">
        <f t="shared" si="0"/>
        <v>25</v>
      </c>
      <c r="AH13" s="61"/>
      <c r="AI13" s="60"/>
      <c r="AJ13" s="52"/>
      <c r="AK13" s="52"/>
      <c r="AL13" s="52"/>
      <c r="AM13" s="52"/>
    </row>
    <row r="14" spans="1:39">
      <c r="A14" s="21">
        <v>44495</v>
      </c>
      <c r="B14" s="22">
        <v>789.95809999999994</v>
      </c>
      <c r="C14" s="27">
        <v>5.9241000000000001</v>
      </c>
      <c r="D14" s="23">
        <f t="shared" si="1"/>
        <v>795.88220000000001</v>
      </c>
      <c r="E14" s="24">
        <f t="shared" si="2"/>
        <v>-0.20000000006348301</v>
      </c>
      <c r="F14" s="25">
        <f t="shared" si="3"/>
        <v>-1.9000000000915001</v>
      </c>
      <c r="G14" s="26">
        <f t="shared" si="4"/>
        <v>-0.20000000006348301</v>
      </c>
      <c r="H14" s="6">
        <v>6.7087000000000003</v>
      </c>
      <c r="I14" s="35">
        <f t="shared" si="5"/>
        <v>796.66679999999997</v>
      </c>
      <c r="J14" s="24">
        <f t="shared" si="6"/>
        <v>-0.59999999996307496</v>
      </c>
      <c r="K14" s="25">
        <f t="shared" si="7"/>
        <v>-1.70000000002801</v>
      </c>
      <c r="L14" s="26">
        <f t="shared" si="8"/>
        <v>-0.59999999996307496</v>
      </c>
      <c r="M14" s="6">
        <v>5.8925999999999998</v>
      </c>
      <c r="N14" s="35">
        <f t="shared" si="9"/>
        <v>795.85069999999996</v>
      </c>
      <c r="O14" s="24">
        <f t="shared" si="10"/>
        <v>9.9999999974897905E-2</v>
      </c>
      <c r="P14" s="25">
        <f t="shared" si="11"/>
        <v>-1.2000000000398401</v>
      </c>
      <c r="Q14" s="26">
        <f t="shared" si="12"/>
        <v>9.9999999974897905E-2</v>
      </c>
      <c r="R14" s="41"/>
      <c r="S14" s="21">
        <f t="shared" si="13"/>
        <v>44495</v>
      </c>
      <c r="T14" s="42">
        <v>8.6905999999999892</v>
      </c>
      <c r="U14" s="43">
        <f t="shared" si="14"/>
        <v>-0.50000000001126899</v>
      </c>
      <c r="V14" s="44">
        <f t="shared" si="15"/>
        <v>-1.30000000001118</v>
      </c>
      <c r="W14" s="45">
        <f t="shared" si="16"/>
        <v>0.50000000001126899</v>
      </c>
      <c r="X14" s="29">
        <v>12.009600000000001</v>
      </c>
      <c r="Y14" s="43">
        <f t="shared" si="17"/>
        <v>-0.19999999999953399</v>
      </c>
      <c r="Z14" s="44">
        <f t="shared" si="18"/>
        <v>-0.999999999999446</v>
      </c>
      <c r="AA14" s="45">
        <f t="shared" si="19"/>
        <v>-0.19999999999953399</v>
      </c>
      <c r="AB14" s="49">
        <v>9.39</v>
      </c>
      <c r="AC14" s="43">
        <f t="shared" si="20"/>
        <v>9.99999999997669E-2</v>
      </c>
      <c r="AD14" s="44">
        <f t="shared" si="21"/>
        <v>-1.2999999999987499</v>
      </c>
      <c r="AE14" s="45">
        <f t="shared" si="22"/>
        <v>9.99999999997669E-2</v>
      </c>
      <c r="AF14" s="50">
        <v>79168</v>
      </c>
      <c r="AG14" s="58">
        <f t="shared" si="0"/>
        <v>28</v>
      </c>
      <c r="AH14" s="61"/>
      <c r="AI14" s="60"/>
      <c r="AJ14" s="52"/>
      <c r="AK14" s="52"/>
      <c r="AL14" s="52"/>
      <c r="AM14" s="52"/>
    </row>
    <row r="15" spans="1:39">
      <c r="A15" s="21">
        <v>44496</v>
      </c>
      <c r="B15" s="22">
        <v>789.95809999999994</v>
      </c>
      <c r="C15" s="27">
        <v>5.9245999999999999</v>
      </c>
      <c r="D15" s="23">
        <f t="shared" si="1"/>
        <v>795.8827</v>
      </c>
      <c r="E15" s="24">
        <f t="shared" si="2"/>
        <v>0.50000000010186296</v>
      </c>
      <c r="F15" s="25">
        <f t="shared" si="3"/>
        <v>-1.39999999998963</v>
      </c>
      <c r="G15" s="26">
        <f t="shared" si="4"/>
        <v>0.50000000010186296</v>
      </c>
      <c r="H15" s="6">
        <v>6.7084999999999999</v>
      </c>
      <c r="I15" s="35">
        <f t="shared" si="5"/>
        <v>796.66660000000002</v>
      </c>
      <c r="J15" s="24">
        <f t="shared" si="6"/>
        <v>-0.20000000006348301</v>
      </c>
      <c r="K15" s="25">
        <f t="shared" si="7"/>
        <v>-1.9000000000915001</v>
      </c>
      <c r="L15" s="26">
        <f t="shared" si="8"/>
        <v>-0.20000000006348301</v>
      </c>
      <c r="M15" s="6">
        <v>5.8921000000000001</v>
      </c>
      <c r="N15" s="35">
        <f t="shared" si="9"/>
        <v>795.85019999999997</v>
      </c>
      <c r="O15" s="24">
        <f t="shared" si="10"/>
        <v>-0.49999999998817701</v>
      </c>
      <c r="P15" s="25">
        <f t="shared" si="11"/>
        <v>-1.70000000002801</v>
      </c>
      <c r="Q15" s="26">
        <f t="shared" si="12"/>
        <v>-0.49999999998817701</v>
      </c>
      <c r="R15" s="41"/>
      <c r="S15" s="21">
        <f t="shared" si="13"/>
        <v>44496</v>
      </c>
      <c r="T15" s="42">
        <v>8.6903999999999897</v>
      </c>
      <c r="U15" s="43">
        <f t="shared" si="14"/>
        <v>-0.19999999999953399</v>
      </c>
      <c r="V15" s="44">
        <f t="shared" si="15"/>
        <v>-1.5000000000107101</v>
      </c>
      <c r="W15" s="45">
        <f t="shared" si="16"/>
        <v>0.19999999999953399</v>
      </c>
      <c r="X15" s="29">
        <v>12.0101</v>
      </c>
      <c r="Y15" s="43">
        <f t="shared" si="17"/>
        <v>0.49999999999883499</v>
      </c>
      <c r="Z15" s="44">
        <f t="shared" si="18"/>
        <v>-0.50000000000061096</v>
      </c>
      <c r="AA15" s="45">
        <f t="shared" si="19"/>
        <v>0.49999999999883499</v>
      </c>
      <c r="AB15" s="49">
        <v>9.3896999999999995</v>
      </c>
      <c r="AC15" s="43">
        <f t="shared" si="20"/>
        <v>-0.30000000000107702</v>
      </c>
      <c r="AD15" s="44">
        <f t="shared" si="21"/>
        <v>-1.59999999999982</v>
      </c>
      <c r="AE15" s="45">
        <f t="shared" si="22"/>
        <v>-0.30000000000107702</v>
      </c>
      <c r="AF15" s="50">
        <v>79171</v>
      </c>
      <c r="AG15" s="58">
        <f t="shared" si="0"/>
        <v>31</v>
      </c>
      <c r="AH15" s="61"/>
      <c r="AI15" s="60"/>
      <c r="AJ15" s="52"/>
      <c r="AK15" s="52"/>
      <c r="AL15" s="52"/>
      <c r="AM15" s="52"/>
    </row>
    <row r="16" spans="1:39">
      <c r="A16" s="21">
        <v>44497</v>
      </c>
      <c r="B16" s="22">
        <v>789.95809999999994</v>
      </c>
      <c r="C16" s="27">
        <v>5.9237000000000002</v>
      </c>
      <c r="D16" s="23">
        <f t="shared" si="1"/>
        <v>795.8818</v>
      </c>
      <c r="E16" s="24">
        <f t="shared" si="2"/>
        <v>-0.90000000000145497</v>
      </c>
      <c r="F16" s="25">
        <f t="shared" si="3"/>
        <v>-2.2999999999910901</v>
      </c>
      <c r="G16" s="26">
        <f t="shared" si="4"/>
        <v>-0.90000000000145497</v>
      </c>
      <c r="H16" s="6">
        <v>6.7089999999999996</v>
      </c>
      <c r="I16" s="35">
        <f t="shared" si="5"/>
        <v>796.6671</v>
      </c>
      <c r="J16" s="24">
        <f t="shared" si="6"/>
        <v>0.49999999998817701</v>
      </c>
      <c r="K16" s="25">
        <f t="shared" si="7"/>
        <v>-1.4000000001033199</v>
      </c>
      <c r="L16" s="26">
        <f t="shared" si="8"/>
        <v>0.49999999998817701</v>
      </c>
      <c r="M16" s="6">
        <v>5.8918999999999997</v>
      </c>
      <c r="N16" s="35">
        <f t="shared" si="9"/>
        <v>795.85</v>
      </c>
      <c r="O16" s="24">
        <f t="shared" si="10"/>
        <v>-0.20000000006348301</v>
      </c>
      <c r="P16" s="25">
        <f t="shared" si="11"/>
        <v>-1.9000000000915001</v>
      </c>
      <c r="Q16" s="26">
        <f t="shared" si="12"/>
        <v>-0.20000000006348301</v>
      </c>
      <c r="R16" s="41"/>
      <c r="S16" s="21">
        <f t="shared" si="13"/>
        <v>44497</v>
      </c>
      <c r="T16" s="42">
        <v>8.6910000000000007</v>
      </c>
      <c r="U16" s="43">
        <f t="shared" si="14"/>
        <v>0.60000000001103604</v>
      </c>
      <c r="V16" s="44">
        <f t="shared" si="15"/>
        <v>-0.89999999999967895</v>
      </c>
      <c r="W16" s="45">
        <f t="shared" si="16"/>
        <v>-0.60000000001103604</v>
      </c>
      <c r="X16" s="29">
        <v>12.0092</v>
      </c>
      <c r="Y16" s="43">
        <f t="shared" si="17"/>
        <v>-0.89999999999967895</v>
      </c>
      <c r="Z16" s="44">
        <f t="shared" si="18"/>
        <v>-1.4000000000002899</v>
      </c>
      <c r="AA16" s="45">
        <f t="shared" si="19"/>
        <v>-0.89999999999967895</v>
      </c>
      <c r="AB16" s="49">
        <v>9.3895999999999997</v>
      </c>
      <c r="AC16" s="43">
        <f t="shared" si="20"/>
        <v>-9.99999999997669E-2</v>
      </c>
      <c r="AD16" s="44">
        <f t="shared" si="21"/>
        <v>-1.6999999999995901</v>
      </c>
      <c r="AE16" s="45">
        <f t="shared" si="22"/>
        <v>-9.99999999997669E-2</v>
      </c>
      <c r="AF16" s="50">
        <v>79174</v>
      </c>
      <c r="AG16" s="58">
        <f t="shared" si="0"/>
        <v>34</v>
      </c>
      <c r="AH16" s="61"/>
      <c r="AI16" s="60"/>
      <c r="AJ16" s="52"/>
      <c r="AK16" s="52"/>
      <c r="AL16" s="52"/>
      <c r="AM16" s="52"/>
    </row>
    <row r="17" spans="1:39">
      <c r="A17" s="21">
        <v>44498</v>
      </c>
      <c r="B17" s="22">
        <v>789.95809999999994</v>
      </c>
      <c r="C17" s="27">
        <v>5.9234999999999998</v>
      </c>
      <c r="D17" s="23">
        <f t="shared" si="1"/>
        <v>795.88160000000005</v>
      </c>
      <c r="E17" s="24">
        <f t="shared" si="2"/>
        <v>-0.20000000006348301</v>
      </c>
      <c r="F17" s="25">
        <f t="shared" si="3"/>
        <v>-2.5000000000545701</v>
      </c>
      <c r="G17" s="26">
        <f t="shared" si="4"/>
        <v>-0.20000000006348301</v>
      </c>
      <c r="H17" s="6">
        <v>6.7081</v>
      </c>
      <c r="I17" s="35">
        <f t="shared" si="5"/>
        <v>796.6662</v>
      </c>
      <c r="J17" s="24">
        <f t="shared" si="6"/>
        <v>-0.90000000000145497</v>
      </c>
      <c r="K17" s="25">
        <f t="shared" si="7"/>
        <v>-2.3000000001047698</v>
      </c>
      <c r="L17" s="26">
        <f t="shared" si="8"/>
        <v>-0.90000000000145497</v>
      </c>
      <c r="M17" s="6">
        <v>5.8922999999999996</v>
      </c>
      <c r="N17" s="35">
        <f t="shared" si="9"/>
        <v>795.85040000000004</v>
      </c>
      <c r="O17" s="24">
        <f t="shared" si="10"/>
        <v>0.40000000001327901</v>
      </c>
      <c r="P17" s="25">
        <f t="shared" si="11"/>
        <v>-1.5000000000782201</v>
      </c>
      <c r="Q17" s="26">
        <f t="shared" si="12"/>
        <v>0.40000000001327901</v>
      </c>
      <c r="R17" s="41"/>
      <c r="S17" s="21">
        <f t="shared" si="13"/>
        <v>44498</v>
      </c>
      <c r="T17" s="42">
        <v>8.6899999999999906</v>
      </c>
      <c r="U17" s="43">
        <f t="shared" si="14"/>
        <v>-1.0000000000100999</v>
      </c>
      <c r="V17" s="44">
        <f t="shared" si="15"/>
        <v>-1.9000000000097801</v>
      </c>
      <c r="W17" s="45">
        <f t="shared" si="16"/>
        <v>1.0000000000100999</v>
      </c>
      <c r="X17" s="29">
        <v>12.009</v>
      </c>
      <c r="Y17" s="43">
        <f t="shared" si="17"/>
        <v>-0.19999999999953399</v>
      </c>
      <c r="Z17" s="44">
        <f t="shared" si="18"/>
        <v>-1.59999999999982</v>
      </c>
      <c r="AA17" s="45">
        <f t="shared" si="19"/>
        <v>-0.19999999999953399</v>
      </c>
      <c r="AB17" s="49">
        <v>9.3901000000000003</v>
      </c>
      <c r="AC17" s="43">
        <f t="shared" si="20"/>
        <v>0.50000000000061096</v>
      </c>
      <c r="AD17" s="44">
        <f t="shared" si="21"/>
        <v>-1.1999999999989801</v>
      </c>
      <c r="AE17" s="45">
        <f t="shared" si="22"/>
        <v>0.50000000000061096</v>
      </c>
      <c r="AF17" s="50">
        <v>79177</v>
      </c>
      <c r="AG17" s="58">
        <f t="shared" si="0"/>
        <v>37</v>
      </c>
      <c r="AH17" s="61"/>
      <c r="AI17" s="52"/>
      <c r="AJ17" s="52"/>
      <c r="AK17" s="52"/>
      <c r="AL17" s="52"/>
      <c r="AM17" s="52"/>
    </row>
    <row r="18" spans="1:39">
      <c r="A18" s="21">
        <v>44499</v>
      </c>
      <c r="B18" s="22">
        <v>789.95809999999994</v>
      </c>
      <c r="C18" s="27">
        <v>5.9234999999999998</v>
      </c>
      <c r="D18" s="23">
        <f t="shared" si="1"/>
        <v>795.88160000000005</v>
      </c>
      <c r="E18" s="24">
        <f t="shared" si="2"/>
        <v>0</v>
      </c>
      <c r="F18" s="25">
        <f t="shared" si="3"/>
        <v>-2.5000000000545701</v>
      </c>
      <c r="G18" s="26">
        <f t="shared" si="4"/>
        <v>0</v>
      </c>
      <c r="H18" s="6">
        <v>6.7081999999999997</v>
      </c>
      <c r="I18" s="35">
        <f t="shared" si="5"/>
        <v>796.66629999999998</v>
      </c>
      <c r="J18" s="24">
        <f t="shared" si="6"/>
        <v>0.10000000008858501</v>
      </c>
      <c r="K18" s="25">
        <f t="shared" si="7"/>
        <v>-2.2000000000161899</v>
      </c>
      <c r="L18" s="26">
        <f t="shared" si="8"/>
        <v>0.10000000008858501</v>
      </c>
      <c r="M18" s="6">
        <v>5.8914999999999997</v>
      </c>
      <c r="N18" s="35">
        <f t="shared" si="9"/>
        <v>795.84960000000001</v>
      </c>
      <c r="O18" s="24">
        <f t="shared" si="10"/>
        <v>-0.80000000002655702</v>
      </c>
      <c r="P18" s="25">
        <f t="shared" si="11"/>
        <v>-2.3000000001047698</v>
      </c>
      <c r="Q18" s="26">
        <f t="shared" si="12"/>
        <v>-0.80000000002655702</v>
      </c>
      <c r="R18" s="41"/>
      <c r="S18" s="21">
        <f t="shared" si="13"/>
        <v>44499</v>
      </c>
      <c r="T18" s="42">
        <v>8.6897999999999893</v>
      </c>
      <c r="U18" s="43">
        <f t="shared" si="14"/>
        <v>-0.20000000000130999</v>
      </c>
      <c r="V18" s="44">
        <f t="shared" si="15"/>
        <v>-2.1000000000110899</v>
      </c>
      <c r="W18" s="45">
        <f t="shared" si="16"/>
        <v>0.20000000000130999</v>
      </c>
      <c r="X18" s="29">
        <v>12.01</v>
      </c>
      <c r="Y18" s="43">
        <f t="shared" si="17"/>
        <v>0.999999999999446</v>
      </c>
      <c r="Z18" s="44">
        <f t="shared" si="18"/>
        <v>-0.60000000000037801</v>
      </c>
      <c r="AA18" s="45">
        <f t="shared" si="19"/>
        <v>0.999999999999446</v>
      </c>
      <c r="AB18" s="49">
        <v>9.3894000000000002</v>
      </c>
      <c r="AC18" s="43">
        <f t="shared" si="20"/>
        <v>-0.70000000000014495</v>
      </c>
      <c r="AD18" s="44">
        <f t="shared" si="21"/>
        <v>-1.8999999999991199</v>
      </c>
      <c r="AE18" s="45">
        <f t="shared" si="22"/>
        <v>-0.70000000000014495</v>
      </c>
      <c r="AF18" s="50">
        <v>79180</v>
      </c>
      <c r="AG18" s="58">
        <f t="shared" si="0"/>
        <v>40</v>
      </c>
      <c r="AH18" s="61"/>
      <c r="AI18" s="52"/>
      <c r="AJ18" s="52"/>
      <c r="AK18" s="52"/>
      <c r="AL18" s="52"/>
      <c r="AM18" s="52"/>
    </row>
    <row r="19" spans="1:39">
      <c r="A19" s="21">
        <v>44500</v>
      </c>
      <c r="B19" s="22">
        <v>789.95809999999994</v>
      </c>
      <c r="C19" s="27">
        <v>5.9230999999999998</v>
      </c>
      <c r="D19" s="23">
        <f t="shared" si="1"/>
        <v>795.88120000000004</v>
      </c>
      <c r="E19" s="24">
        <f t="shared" si="2"/>
        <v>-0.40000000001327901</v>
      </c>
      <c r="F19" s="25">
        <f t="shared" si="3"/>
        <v>-2.9000000000678501</v>
      </c>
      <c r="G19" s="26">
        <f t="shared" si="4"/>
        <v>-0.40000000001327901</v>
      </c>
      <c r="H19" s="6">
        <v>6.7077000000000098</v>
      </c>
      <c r="I19" s="35">
        <f t="shared" si="5"/>
        <v>796.66579999999999</v>
      </c>
      <c r="J19" s="24">
        <f t="shared" si="6"/>
        <v>-0.49999999998817701</v>
      </c>
      <c r="K19" s="25">
        <f t="shared" si="7"/>
        <v>-2.70000000000437</v>
      </c>
      <c r="L19" s="26">
        <f t="shared" si="8"/>
        <v>-0.49999999998817701</v>
      </c>
      <c r="M19" s="6">
        <v>5.8913000000000002</v>
      </c>
      <c r="N19" s="35">
        <f t="shared" si="9"/>
        <v>795.84939999999995</v>
      </c>
      <c r="O19" s="24">
        <f t="shared" si="10"/>
        <v>-0.199999999949796</v>
      </c>
      <c r="P19" s="25">
        <f t="shared" si="11"/>
        <v>-2.5000000000545701</v>
      </c>
      <c r="Q19" s="26">
        <f t="shared" si="12"/>
        <v>-0.199999999949796</v>
      </c>
      <c r="R19" s="41"/>
      <c r="S19" s="21">
        <f t="shared" si="13"/>
        <v>44500</v>
      </c>
      <c r="T19" s="42">
        <v>8.6905000000000001</v>
      </c>
      <c r="U19" s="43">
        <f t="shared" si="14"/>
        <v>0.70000000001080298</v>
      </c>
      <c r="V19" s="44">
        <f t="shared" si="15"/>
        <v>-1.4000000000002899</v>
      </c>
      <c r="W19" s="45">
        <f t="shared" si="16"/>
        <v>-0.70000000001080298</v>
      </c>
      <c r="X19" s="29">
        <v>12.008599999999999</v>
      </c>
      <c r="Y19" s="43">
        <f t="shared" si="17"/>
        <v>-1.4000000000002899</v>
      </c>
      <c r="Z19" s="44">
        <f t="shared" si="18"/>
        <v>-2.0000000000006701</v>
      </c>
      <c r="AA19" s="45">
        <f t="shared" si="19"/>
        <v>-1.4000000000002899</v>
      </c>
      <c r="AB19" s="49">
        <v>9.3893000000000004</v>
      </c>
      <c r="AC19" s="43">
        <f t="shared" si="20"/>
        <v>-9.99999999997669E-2</v>
      </c>
      <c r="AD19" s="44">
        <f t="shared" si="21"/>
        <v>-1.99999999999889</v>
      </c>
      <c r="AE19" s="45">
        <f t="shared" si="22"/>
        <v>-9.99999999997669E-2</v>
      </c>
      <c r="AF19" s="50">
        <v>79183</v>
      </c>
      <c r="AG19" s="58">
        <f t="shared" si="0"/>
        <v>43</v>
      </c>
      <c r="AH19" s="61"/>
      <c r="AI19" s="52"/>
      <c r="AJ19" s="52"/>
      <c r="AK19" s="52"/>
      <c r="AL19" s="52"/>
      <c r="AM19" s="52"/>
    </row>
    <row r="20" spans="1:39">
      <c r="A20" s="21">
        <v>44501</v>
      </c>
      <c r="B20" s="22">
        <v>789.95809999999994</v>
      </c>
      <c r="C20" s="27">
        <v>5.9228999999999896</v>
      </c>
      <c r="D20" s="23">
        <f t="shared" si="1"/>
        <v>795.88099999999997</v>
      </c>
      <c r="E20" s="24">
        <f t="shared" si="2"/>
        <v>-0.199999999949796</v>
      </c>
      <c r="F20" s="25">
        <f t="shared" si="3"/>
        <v>-3.1000000000176402</v>
      </c>
      <c r="G20" s="26">
        <f t="shared" si="4"/>
        <v>-0.199999999949796</v>
      </c>
      <c r="H20" s="6">
        <v>6.7075000000000102</v>
      </c>
      <c r="I20" s="35">
        <f t="shared" si="5"/>
        <v>796.66560000000004</v>
      </c>
      <c r="J20" s="24">
        <f t="shared" si="6"/>
        <v>-0.20000000006348301</v>
      </c>
      <c r="K20" s="25">
        <f t="shared" si="7"/>
        <v>-2.9000000000678501</v>
      </c>
      <c r="L20" s="26">
        <f t="shared" si="8"/>
        <v>-0.20000000006348301</v>
      </c>
      <c r="M20" s="6">
        <v>5.8914999999999997</v>
      </c>
      <c r="N20" s="35">
        <f t="shared" si="9"/>
        <v>795.84960000000001</v>
      </c>
      <c r="O20" s="24">
        <f t="shared" si="10"/>
        <v>0.199999999949796</v>
      </c>
      <c r="P20" s="25">
        <f t="shared" si="11"/>
        <v>-2.3000000001047698</v>
      </c>
      <c r="Q20" s="26">
        <f t="shared" si="12"/>
        <v>0.199999999949796</v>
      </c>
      <c r="R20" s="41"/>
      <c r="S20" s="21">
        <f t="shared" si="13"/>
        <v>44501</v>
      </c>
      <c r="T20" s="42">
        <v>8.6902000000000008</v>
      </c>
      <c r="U20" s="43">
        <f t="shared" si="14"/>
        <v>-0.29999999999930099</v>
      </c>
      <c r="V20" s="44">
        <f t="shared" si="15"/>
        <v>-1.6999999999995901</v>
      </c>
      <c r="W20" s="45">
        <f t="shared" si="16"/>
        <v>0.29999999999930099</v>
      </c>
      <c r="X20" s="29">
        <v>12.0084</v>
      </c>
      <c r="Y20" s="43">
        <f t="shared" si="17"/>
        <v>-0.19999999999953399</v>
      </c>
      <c r="Z20" s="44">
        <f t="shared" si="18"/>
        <v>-2.2000000000002</v>
      </c>
      <c r="AA20" s="45">
        <f t="shared" si="19"/>
        <v>-0.19999999999953399</v>
      </c>
      <c r="AB20" s="49">
        <v>9.3895</v>
      </c>
      <c r="AC20" s="43">
        <f t="shared" si="20"/>
        <v>0.19999999999953399</v>
      </c>
      <c r="AD20" s="44">
        <f t="shared" si="21"/>
        <v>-1.7999999999993599</v>
      </c>
      <c r="AE20" s="45">
        <f t="shared" si="22"/>
        <v>0.19999999999953399</v>
      </c>
      <c r="AF20" s="50">
        <v>79186</v>
      </c>
      <c r="AG20" s="58">
        <f t="shared" si="0"/>
        <v>46</v>
      </c>
      <c r="AH20" s="61"/>
      <c r="AI20" s="52"/>
      <c r="AJ20" s="52"/>
      <c r="AK20" s="52"/>
      <c r="AL20" s="52"/>
      <c r="AM20" s="52"/>
    </row>
    <row r="21" spans="1:39">
      <c r="A21" s="21">
        <v>44503</v>
      </c>
      <c r="B21" s="22">
        <v>789.95809999999994</v>
      </c>
      <c r="C21" s="27">
        <v>5.9236000000000004</v>
      </c>
      <c r="D21" s="23">
        <f t="shared" ref="D21:D32" si="23">C21+B21</f>
        <v>795.88170000000002</v>
      </c>
      <c r="E21" s="24">
        <f t="shared" ref="E21:E32" si="24">(D21-D20)*1000</f>
        <v>0.69999999993797202</v>
      </c>
      <c r="F21" s="25">
        <f t="shared" ref="F21:F32" si="25">F20+E21</f>
        <v>-2.40000000007967</v>
      </c>
      <c r="G21" s="26">
        <f t="shared" ref="G21:G32" si="26">E21/(A21-A20)</f>
        <v>0.34999999996898601</v>
      </c>
      <c r="H21" s="6">
        <v>6.7077</v>
      </c>
      <c r="I21" s="35">
        <f t="shared" ref="I21:I32" si="27">H21+B21</f>
        <v>796.66579999999999</v>
      </c>
      <c r="J21" s="24">
        <f t="shared" ref="J21:J32" si="28">(I21-I20)*1000</f>
        <v>0.20000000006348301</v>
      </c>
      <c r="K21" s="25">
        <f t="shared" ref="K21:K32" si="29">K20+J21</f>
        <v>-2.70000000000437</v>
      </c>
      <c r="L21" s="26">
        <f t="shared" ref="L21:L32" si="30">J21/(A21-A20)</f>
        <v>0.100000000031741</v>
      </c>
      <c r="M21" s="6">
        <v>5.8908999999999896</v>
      </c>
      <c r="N21" s="35">
        <f t="shared" ref="N21:N32" si="31">M21+B21</f>
        <v>795.84900000000005</v>
      </c>
      <c r="O21" s="24">
        <f t="shared" ref="O21:O32" si="32">(N21-N20)*1000</f>
        <v>-0.59999999996307496</v>
      </c>
      <c r="P21" s="25">
        <f t="shared" ref="P21:P32" si="33">P20+O21</f>
        <v>-2.9000000000678501</v>
      </c>
      <c r="Q21" s="26">
        <f t="shared" ref="Q21:Q32" si="34">O21/(A21-A20)</f>
        <v>-0.29999999998153698</v>
      </c>
      <c r="R21" s="41"/>
      <c r="S21" s="21">
        <f t="shared" ref="S21:S32" si="35">A21</f>
        <v>44503</v>
      </c>
      <c r="T21" s="42">
        <v>8.6900999999999993</v>
      </c>
      <c r="U21" s="43">
        <f t="shared" si="14"/>
        <v>-0.10000000000154299</v>
      </c>
      <c r="V21" s="44">
        <f t="shared" si="15"/>
        <v>-1.80000000000113</v>
      </c>
      <c r="W21" s="45">
        <f t="shared" si="16"/>
        <v>5.0000000000771601E-2</v>
      </c>
      <c r="X21" s="29">
        <v>12.008900000000001</v>
      </c>
      <c r="Y21" s="43">
        <f t="shared" si="17"/>
        <v>0.50000000000061096</v>
      </c>
      <c r="Z21" s="44">
        <f t="shared" si="18"/>
        <v>-1.6999999999995901</v>
      </c>
      <c r="AA21" s="45">
        <f t="shared" si="19"/>
        <v>0.25000000000030598</v>
      </c>
      <c r="AB21" s="49">
        <v>9.3890999999999991</v>
      </c>
      <c r="AC21" s="43">
        <f t="shared" si="20"/>
        <v>-0.40000000000084401</v>
      </c>
      <c r="AD21" s="44">
        <f t="shared" si="21"/>
        <v>-2.2000000000002</v>
      </c>
      <c r="AE21" s="45">
        <f t="shared" si="22"/>
        <v>-0.20000000000042201</v>
      </c>
      <c r="AF21" s="50">
        <v>79189</v>
      </c>
      <c r="AG21" s="58">
        <f t="shared" si="0"/>
        <v>49</v>
      </c>
      <c r="AH21" s="61"/>
      <c r="AI21" s="52"/>
      <c r="AJ21" s="52"/>
      <c r="AK21" s="52"/>
      <c r="AL21" s="52"/>
      <c r="AM21" s="52"/>
    </row>
    <row r="22" spans="1:39">
      <c r="A22" s="21">
        <v>44505</v>
      </c>
      <c r="B22" s="22">
        <v>789.95809999999994</v>
      </c>
      <c r="C22" s="27">
        <v>5.9224999999999897</v>
      </c>
      <c r="D22" s="23">
        <f t="shared" si="23"/>
        <v>795.88059999999996</v>
      </c>
      <c r="E22" s="24">
        <f t="shared" si="24"/>
        <v>-1.09999999995125</v>
      </c>
      <c r="F22" s="25">
        <f t="shared" si="25"/>
        <v>-3.5000000000309202</v>
      </c>
      <c r="G22" s="26">
        <f t="shared" si="26"/>
        <v>-0.54999999997562599</v>
      </c>
      <c r="H22" s="6">
        <v>6.7071000000000103</v>
      </c>
      <c r="I22" s="35">
        <f t="shared" si="27"/>
        <v>796.66520000000003</v>
      </c>
      <c r="J22" s="24">
        <f t="shared" si="28"/>
        <v>-0.60000000007676102</v>
      </c>
      <c r="K22" s="25">
        <f t="shared" si="29"/>
        <v>-3.30000000008113</v>
      </c>
      <c r="L22" s="26">
        <f t="shared" si="30"/>
        <v>-0.30000000003838101</v>
      </c>
      <c r="M22" s="6">
        <v>5.8906999999999901</v>
      </c>
      <c r="N22" s="35">
        <f t="shared" si="31"/>
        <v>795.84879999999998</v>
      </c>
      <c r="O22" s="24">
        <f t="shared" si="32"/>
        <v>-0.199999999949796</v>
      </c>
      <c r="P22" s="25">
        <f t="shared" si="33"/>
        <v>-3.1000000000176402</v>
      </c>
      <c r="Q22" s="26">
        <f t="shared" si="34"/>
        <v>-9.9999999974897905E-2</v>
      </c>
      <c r="R22" s="41"/>
      <c r="S22" s="21">
        <f t="shared" si="35"/>
        <v>44505</v>
      </c>
      <c r="T22" s="42">
        <v>8.6898999999999997</v>
      </c>
      <c r="U22" s="43">
        <f t="shared" si="14"/>
        <v>-0.19999999999953399</v>
      </c>
      <c r="V22" s="44">
        <f t="shared" si="15"/>
        <v>-2.0000000000006701</v>
      </c>
      <c r="W22" s="45">
        <f t="shared" si="16"/>
        <v>9.99999999997669E-2</v>
      </c>
      <c r="X22" s="29">
        <v>12.007999999999999</v>
      </c>
      <c r="Y22" s="43">
        <f t="shared" si="17"/>
        <v>-0.90000000000145497</v>
      </c>
      <c r="Z22" s="44">
        <f t="shared" si="18"/>
        <v>-2.6000000000010499</v>
      </c>
      <c r="AA22" s="45">
        <f t="shared" si="19"/>
        <v>-0.45000000000072798</v>
      </c>
      <c r="AB22" s="49">
        <v>9.3889999999999993</v>
      </c>
      <c r="AC22" s="43">
        <f t="shared" si="20"/>
        <v>-9.99999999997669E-2</v>
      </c>
      <c r="AD22" s="44">
        <f t="shared" si="21"/>
        <v>-2.2999999999999701</v>
      </c>
      <c r="AE22" s="45">
        <f t="shared" si="22"/>
        <v>-4.9999999999883499E-2</v>
      </c>
      <c r="AF22" s="50">
        <v>79192</v>
      </c>
      <c r="AG22" s="58">
        <f t="shared" si="0"/>
        <v>52</v>
      </c>
      <c r="AH22" s="61"/>
      <c r="AI22" s="52"/>
      <c r="AJ22" s="52"/>
      <c r="AK22" s="52"/>
      <c r="AL22" s="52"/>
      <c r="AM22" s="52"/>
    </row>
    <row r="23" spans="1:39">
      <c r="A23" s="21">
        <v>44507</v>
      </c>
      <c r="B23" s="22">
        <v>789.95809999999994</v>
      </c>
      <c r="C23" s="27">
        <v>5.9222999999999901</v>
      </c>
      <c r="D23" s="23">
        <f t="shared" si="23"/>
        <v>795.88040000000001</v>
      </c>
      <c r="E23" s="24">
        <f t="shared" si="24"/>
        <v>-0.20000000006348301</v>
      </c>
      <c r="F23" s="25">
        <f t="shared" si="25"/>
        <v>-3.70000000009441</v>
      </c>
      <c r="G23" s="26">
        <f t="shared" si="26"/>
        <v>-0.100000000031741</v>
      </c>
      <c r="H23" s="6">
        <v>6.7069000000000099</v>
      </c>
      <c r="I23" s="35">
        <f t="shared" si="27"/>
        <v>796.66499999999996</v>
      </c>
      <c r="J23" s="24">
        <f t="shared" si="28"/>
        <v>-0.199999999949796</v>
      </c>
      <c r="K23" s="25">
        <f t="shared" si="29"/>
        <v>-3.5000000000309202</v>
      </c>
      <c r="L23" s="26">
        <f t="shared" si="30"/>
        <v>-9.9999999974897905E-2</v>
      </c>
      <c r="M23" s="6">
        <v>5.8902000000000001</v>
      </c>
      <c r="N23" s="35">
        <f t="shared" si="31"/>
        <v>795.84829999999999</v>
      </c>
      <c r="O23" s="24">
        <f t="shared" si="32"/>
        <v>-0.49999999998817701</v>
      </c>
      <c r="P23" s="25">
        <f t="shared" si="33"/>
        <v>-3.6000000000058199</v>
      </c>
      <c r="Q23" s="26">
        <f t="shared" si="34"/>
        <v>-0.24999999999408801</v>
      </c>
      <c r="S23" s="21">
        <f t="shared" si="35"/>
        <v>44507</v>
      </c>
      <c r="T23" s="42">
        <v>8.6895000000000007</v>
      </c>
      <c r="U23" s="43">
        <f t="shared" si="14"/>
        <v>-0.39999999999906799</v>
      </c>
      <c r="V23" s="44">
        <f t="shared" si="15"/>
        <v>-2.3999999999997401</v>
      </c>
      <c r="W23" s="45">
        <f t="shared" si="16"/>
        <v>0.19999999999953399</v>
      </c>
      <c r="X23" s="29">
        <v>12.0078</v>
      </c>
      <c r="Y23" s="43">
        <f t="shared" si="17"/>
        <v>-0.19999999999953399</v>
      </c>
      <c r="Z23" s="44">
        <f t="shared" si="18"/>
        <v>-2.8000000000005798</v>
      </c>
      <c r="AA23" s="45">
        <f t="shared" si="19"/>
        <v>-9.99999999997669E-2</v>
      </c>
      <c r="AB23" s="49">
        <v>9.3889999999999993</v>
      </c>
      <c r="AC23" s="43">
        <f t="shared" si="20"/>
        <v>0</v>
      </c>
      <c r="AD23" s="44">
        <f t="shared" si="21"/>
        <v>-2.2999999999999701</v>
      </c>
      <c r="AE23" s="45">
        <f t="shared" si="22"/>
        <v>0</v>
      </c>
      <c r="AF23" s="50">
        <v>79195</v>
      </c>
      <c r="AG23" s="58">
        <f t="shared" si="0"/>
        <v>55</v>
      </c>
      <c r="AH23" s="61"/>
      <c r="AI23" s="52"/>
      <c r="AJ23" s="52"/>
      <c r="AK23" s="52"/>
      <c r="AL23" s="52"/>
      <c r="AM23" s="52"/>
    </row>
    <row r="24" spans="1:39">
      <c r="A24" s="21">
        <v>44509</v>
      </c>
      <c r="B24" s="22">
        <v>789.95809999999994</v>
      </c>
      <c r="C24" s="27">
        <v>5.9231999999999996</v>
      </c>
      <c r="D24" s="23">
        <f t="shared" si="23"/>
        <v>795.88130000000001</v>
      </c>
      <c r="E24" s="24">
        <f t="shared" si="24"/>
        <v>0.90000000000145497</v>
      </c>
      <c r="F24" s="25">
        <f t="shared" si="25"/>
        <v>-2.8000000000929499</v>
      </c>
      <c r="G24" s="26">
        <f t="shared" si="26"/>
        <v>0.45000000000072798</v>
      </c>
      <c r="H24" s="6">
        <v>6.7073</v>
      </c>
      <c r="I24" s="35">
        <f t="shared" si="27"/>
        <v>796.66539999999998</v>
      </c>
      <c r="J24" s="24">
        <f t="shared" si="28"/>
        <v>0.40000000001327901</v>
      </c>
      <c r="K24" s="25">
        <f t="shared" si="29"/>
        <v>-3.1000000000176402</v>
      </c>
      <c r="L24" s="26">
        <f t="shared" si="30"/>
        <v>0.20000000000663901</v>
      </c>
      <c r="M24" s="6">
        <v>5.8902999999999901</v>
      </c>
      <c r="N24" s="35">
        <f t="shared" si="31"/>
        <v>795.84839999999997</v>
      </c>
      <c r="O24" s="24">
        <f t="shared" si="32"/>
        <v>9.9999999974897905E-2</v>
      </c>
      <c r="P24" s="25">
        <f t="shared" si="33"/>
        <v>-3.5000000000309202</v>
      </c>
      <c r="Q24" s="26">
        <f t="shared" si="34"/>
        <v>4.9999999987449001E-2</v>
      </c>
      <c r="S24" s="21">
        <f t="shared" si="35"/>
        <v>44509</v>
      </c>
      <c r="T24" s="42">
        <v>8.6896000000000004</v>
      </c>
      <c r="U24" s="43">
        <f t="shared" si="14"/>
        <v>9.99999999997669E-2</v>
      </c>
      <c r="V24" s="44">
        <f t="shared" si="15"/>
        <v>-2.2999999999999701</v>
      </c>
      <c r="W24" s="45">
        <f t="shared" si="16"/>
        <v>-4.9999999999883499E-2</v>
      </c>
      <c r="X24" s="29">
        <v>12.0082</v>
      </c>
      <c r="Y24" s="43">
        <f t="shared" si="17"/>
        <v>0.40000000000084401</v>
      </c>
      <c r="Z24" s="44">
        <f t="shared" si="18"/>
        <v>-2.3999999999997401</v>
      </c>
      <c r="AA24" s="45">
        <f t="shared" si="19"/>
        <v>0.20000000000042201</v>
      </c>
      <c r="AB24" s="49">
        <v>9.3885000000000005</v>
      </c>
      <c r="AC24" s="43">
        <f t="shared" si="20"/>
        <v>-0.49999999999883499</v>
      </c>
      <c r="AD24" s="44">
        <f t="shared" si="21"/>
        <v>-2.7999999999987999</v>
      </c>
      <c r="AE24" s="45">
        <f t="shared" si="22"/>
        <v>-0.24999999999941699</v>
      </c>
      <c r="AF24" s="50">
        <v>79196</v>
      </c>
      <c r="AG24" s="58">
        <f t="shared" si="0"/>
        <v>56</v>
      </c>
      <c r="AH24" s="61"/>
      <c r="AI24" s="52"/>
      <c r="AJ24" s="52"/>
      <c r="AK24" s="52"/>
      <c r="AL24" s="52"/>
      <c r="AM24" s="52"/>
    </row>
    <row r="25" spans="1:39">
      <c r="A25" s="21">
        <v>44511</v>
      </c>
      <c r="B25" s="22">
        <v>789.95809999999994</v>
      </c>
      <c r="C25" s="27">
        <v>5.9225000000000003</v>
      </c>
      <c r="D25" s="23">
        <f t="shared" si="23"/>
        <v>795.88059999999996</v>
      </c>
      <c r="E25" s="24">
        <f t="shared" si="24"/>
        <v>-0.69999999993797202</v>
      </c>
      <c r="F25" s="25">
        <f t="shared" si="25"/>
        <v>-3.5000000000309202</v>
      </c>
      <c r="G25" s="26">
        <f t="shared" si="26"/>
        <v>-0.34999999996898601</v>
      </c>
      <c r="H25" s="6">
        <v>6.7065000000000099</v>
      </c>
      <c r="I25" s="35">
        <f t="shared" si="27"/>
        <v>796.66459999999995</v>
      </c>
      <c r="J25" s="24">
        <f t="shared" si="28"/>
        <v>-0.80000000002655702</v>
      </c>
      <c r="K25" s="25">
        <f t="shared" si="29"/>
        <v>-3.9000000000442001</v>
      </c>
      <c r="L25" s="26">
        <f t="shared" si="30"/>
        <v>-0.40000000001327901</v>
      </c>
      <c r="M25" s="6">
        <v>5.8900999999999897</v>
      </c>
      <c r="N25" s="35">
        <f t="shared" si="31"/>
        <v>795.84820000000002</v>
      </c>
      <c r="O25" s="24">
        <f t="shared" si="32"/>
        <v>-0.20000000006348301</v>
      </c>
      <c r="P25" s="25">
        <f t="shared" si="33"/>
        <v>-3.70000000009441</v>
      </c>
      <c r="Q25" s="26">
        <f t="shared" si="34"/>
        <v>-0.100000000031741</v>
      </c>
      <c r="R25" s="41"/>
      <c r="S25" s="21">
        <f t="shared" si="35"/>
        <v>44511</v>
      </c>
      <c r="T25" s="42">
        <v>8.6898999999999997</v>
      </c>
      <c r="U25" s="43">
        <f t="shared" si="14"/>
        <v>0.29999999999930099</v>
      </c>
      <c r="V25" s="44">
        <f t="shared" si="15"/>
        <v>-2.0000000000006701</v>
      </c>
      <c r="W25" s="45">
        <f t="shared" si="16"/>
        <v>-0.14999999999965</v>
      </c>
      <c r="X25" s="29">
        <v>12.007999999999999</v>
      </c>
      <c r="Y25" s="43">
        <f t="shared" si="17"/>
        <v>-0.20000000000130999</v>
      </c>
      <c r="Z25" s="44">
        <f t="shared" si="18"/>
        <v>-2.6000000000010499</v>
      </c>
      <c r="AA25" s="45">
        <f t="shared" si="19"/>
        <v>-0.100000000000655</v>
      </c>
      <c r="AB25" s="49">
        <v>9.3887</v>
      </c>
      <c r="AC25" s="43">
        <f t="shared" si="20"/>
        <v>0.19999999999953399</v>
      </c>
      <c r="AD25" s="44">
        <f t="shared" si="21"/>
        <v>-2.59999999999927</v>
      </c>
      <c r="AE25" s="45">
        <f t="shared" si="22"/>
        <v>9.99999999997669E-2</v>
      </c>
      <c r="AF25" s="50">
        <v>79197</v>
      </c>
      <c r="AG25" s="58">
        <f t="shared" si="0"/>
        <v>57</v>
      </c>
      <c r="AH25" s="61"/>
      <c r="AI25" s="52"/>
      <c r="AJ25" s="52"/>
      <c r="AK25" s="52"/>
      <c r="AL25" s="52"/>
      <c r="AM25" s="52"/>
    </row>
    <row r="26" spans="1:39">
      <c r="A26" s="21">
        <v>44513</v>
      </c>
      <c r="B26" s="22">
        <v>789.95809999999994</v>
      </c>
      <c r="C26" s="27">
        <v>5.9226000000000001</v>
      </c>
      <c r="D26" s="23">
        <f t="shared" si="23"/>
        <v>795.88070000000005</v>
      </c>
      <c r="E26" s="24">
        <f t="shared" si="24"/>
        <v>9.9999999974897905E-2</v>
      </c>
      <c r="F26" s="25">
        <f t="shared" si="25"/>
        <v>-3.40000000005602</v>
      </c>
      <c r="G26" s="26">
        <f t="shared" si="26"/>
        <v>4.9999999987449001E-2</v>
      </c>
      <c r="H26" s="6">
        <v>6.7072000000000003</v>
      </c>
      <c r="I26" s="35">
        <f t="shared" si="27"/>
        <v>796.6653</v>
      </c>
      <c r="J26" s="24">
        <f t="shared" si="28"/>
        <v>0.69999999993797202</v>
      </c>
      <c r="K26" s="25">
        <f t="shared" si="29"/>
        <v>-3.2000000001062299</v>
      </c>
      <c r="L26" s="26">
        <f t="shared" si="30"/>
        <v>0.34999999996898601</v>
      </c>
      <c r="M26" s="6">
        <v>5.8902999999999999</v>
      </c>
      <c r="N26" s="35">
        <f t="shared" si="31"/>
        <v>795.84839999999997</v>
      </c>
      <c r="O26" s="24">
        <f t="shared" si="32"/>
        <v>0.20000000006348301</v>
      </c>
      <c r="P26" s="25">
        <f t="shared" si="33"/>
        <v>-3.5000000000309202</v>
      </c>
      <c r="Q26" s="26">
        <f t="shared" si="34"/>
        <v>0.100000000031741</v>
      </c>
      <c r="R26" s="41"/>
      <c r="S26" s="21">
        <f t="shared" si="35"/>
        <v>44513</v>
      </c>
      <c r="T26" s="42">
        <v>8.6897000000000002</v>
      </c>
      <c r="U26" s="43">
        <f t="shared" si="14"/>
        <v>-0.19999999999953399</v>
      </c>
      <c r="V26" s="44">
        <f t="shared" si="15"/>
        <v>-2.2000000000002</v>
      </c>
      <c r="W26" s="45">
        <f t="shared" si="16"/>
        <v>9.99999999997669E-2</v>
      </c>
      <c r="X26" s="29">
        <v>12.0085</v>
      </c>
      <c r="Y26" s="43">
        <f t="shared" si="17"/>
        <v>0.50000000000061096</v>
      </c>
      <c r="Z26" s="44">
        <f t="shared" si="18"/>
        <v>-2.10000000000043</v>
      </c>
      <c r="AA26" s="45">
        <f t="shared" si="19"/>
        <v>0.25000000000030598</v>
      </c>
      <c r="AB26" s="49">
        <v>9.3886000000000003</v>
      </c>
      <c r="AC26" s="43">
        <f t="shared" si="20"/>
        <v>-9.99999999997669E-2</v>
      </c>
      <c r="AD26" s="44">
        <f t="shared" si="21"/>
        <v>-2.6999999999990401</v>
      </c>
      <c r="AE26" s="45">
        <f t="shared" si="22"/>
        <v>-4.9999999999883499E-2</v>
      </c>
      <c r="AF26" s="50">
        <v>79198</v>
      </c>
      <c r="AG26" s="58">
        <f t="shared" si="0"/>
        <v>58</v>
      </c>
      <c r="AH26" s="61"/>
      <c r="AI26" s="60"/>
      <c r="AJ26" s="61"/>
      <c r="AK26" s="62"/>
      <c r="AL26" s="60"/>
      <c r="AM26" s="64"/>
    </row>
    <row r="27" spans="1:39">
      <c r="A27" s="21">
        <v>44515</v>
      </c>
      <c r="B27" s="22">
        <v>789.95809999999994</v>
      </c>
      <c r="C27" s="27">
        <v>5.9222999999999999</v>
      </c>
      <c r="D27" s="23">
        <f t="shared" si="23"/>
        <v>795.88040000000001</v>
      </c>
      <c r="E27" s="24">
        <f t="shared" si="24"/>
        <v>-0.30000000003838101</v>
      </c>
      <c r="F27" s="25">
        <f t="shared" si="25"/>
        <v>-3.70000000009441</v>
      </c>
      <c r="G27" s="26">
        <f t="shared" si="26"/>
        <v>-0.15000000001919001</v>
      </c>
      <c r="H27" s="6">
        <v>6.7073</v>
      </c>
      <c r="I27" s="35">
        <f t="shared" si="27"/>
        <v>796.66539999999998</v>
      </c>
      <c r="J27" s="24">
        <f t="shared" si="28"/>
        <v>0.10000000008858501</v>
      </c>
      <c r="K27" s="25">
        <f t="shared" si="29"/>
        <v>-3.1000000000176402</v>
      </c>
      <c r="L27" s="26">
        <f t="shared" si="30"/>
        <v>5.0000000044292399E-2</v>
      </c>
      <c r="M27" s="6">
        <v>5.8903999999999996</v>
      </c>
      <c r="N27" s="35">
        <f t="shared" si="31"/>
        <v>795.84849999999994</v>
      </c>
      <c r="O27" s="24">
        <f t="shared" si="32"/>
        <v>9.9999999974897905E-2</v>
      </c>
      <c r="P27" s="25">
        <f t="shared" si="33"/>
        <v>-3.40000000005602</v>
      </c>
      <c r="Q27" s="26">
        <f t="shared" si="34"/>
        <v>4.9999999987449001E-2</v>
      </c>
      <c r="R27" s="41"/>
      <c r="S27" s="21">
        <f t="shared" si="35"/>
        <v>44515</v>
      </c>
      <c r="T27" s="42">
        <v>8.6891999999999996</v>
      </c>
      <c r="U27" s="43">
        <f t="shared" si="14"/>
        <v>-0.50000000000061096</v>
      </c>
      <c r="V27" s="44">
        <f t="shared" si="15"/>
        <v>-2.7000000000008102</v>
      </c>
      <c r="W27" s="45">
        <f t="shared" si="16"/>
        <v>0.25000000000030598</v>
      </c>
      <c r="X27" s="29">
        <v>12.0083</v>
      </c>
      <c r="Y27" s="43">
        <f t="shared" si="17"/>
        <v>-0.19999999999953399</v>
      </c>
      <c r="Z27" s="44">
        <f t="shared" si="18"/>
        <v>-2.2999999999999701</v>
      </c>
      <c r="AA27" s="45">
        <f t="shared" si="19"/>
        <v>-9.99999999997669E-2</v>
      </c>
      <c r="AB27" s="49">
        <v>9.3882999999999992</v>
      </c>
      <c r="AC27" s="43">
        <f t="shared" si="20"/>
        <v>-0.30000000000107702</v>
      </c>
      <c r="AD27" s="44">
        <f t="shared" si="21"/>
        <v>-3.0000000000001101</v>
      </c>
      <c r="AE27" s="45">
        <f t="shared" si="22"/>
        <v>-0.15000000000053901</v>
      </c>
      <c r="AF27" s="50">
        <v>79198</v>
      </c>
      <c r="AG27" s="58">
        <f t="shared" si="0"/>
        <v>58</v>
      </c>
      <c r="AH27" s="61"/>
      <c r="AI27" s="60"/>
      <c r="AJ27" s="61"/>
      <c r="AK27" s="62"/>
      <c r="AL27" s="60"/>
      <c r="AM27" s="64"/>
    </row>
    <row r="28" spans="1:39">
      <c r="A28" s="21">
        <v>44517</v>
      </c>
      <c r="B28" s="22">
        <v>789.95809999999994</v>
      </c>
      <c r="C28" s="27">
        <v>5.9226000000000001</v>
      </c>
      <c r="D28" s="23">
        <f t="shared" si="23"/>
        <v>795.88070000000005</v>
      </c>
      <c r="E28" s="24">
        <f t="shared" si="24"/>
        <v>0.30000000003838101</v>
      </c>
      <c r="F28" s="25">
        <f t="shared" si="25"/>
        <v>-3.40000000005602</v>
      </c>
      <c r="G28" s="26">
        <f t="shared" si="26"/>
        <v>0.15000000001919001</v>
      </c>
      <c r="H28" s="6">
        <v>6.7069999999999999</v>
      </c>
      <c r="I28" s="35">
        <f t="shared" si="27"/>
        <v>796.66510000000005</v>
      </c>
      <c r="J28" s="24">
        <f t="shared" si="28"/>
        <v>-0.30000000003838101</v>
      </c>
      <c r="K28" s="25">
        <f t="shared" si="29"/>
        <v>-3.40000000005602</v>
      </c>
      <c r="L28" s="26">
        <f t="shared" si="30"/>
        <v>-0.15000000001919001</v>
      </c>
      <c r="M28" s="6">
        <v>5.8902000000000001</v>
      </c>
      <c r="N28" s="35">
        <f t="shared" si="31"/>
        <v>795.84829999999999</v>
      </c>
      <c r="O28" s="24">
        <f t="shared" si="32"/>
        <v>-0.199999999949796</v>
      </c>
      <c r="P28" s="25">
        <f t="shared" si="33"/>
        <v>-3.6000000000058199</v>
      </c>
      <c r="Q28" s="26">
        <f t="shared" si="34"/>
        <v>-9.9999999974897905E-2</v>
      </c>
      <c r="R28" s="41"/>
      <c r="S28" s="21">
        <f t="shared" si="35"/>
        <v>44517</v>
      </c>
      <c r="T28" s="42">
        <v>8.6892999999999994</v>
      </c>
      <c r="U28" s="43">
        <f t="shared" si="14"/>
        <v>9.99999999997669E-2</v>
      </c>
      <c r="V28" s="44">
        <f t="shared" si="15"/>
        <v>-2.6000000000010499</v>
      </c>
      <c r="W28" s="45">
        <f t="shared" si="16"/>
        <v>-4.9999999999883499E-2</v>
      </c>
      <c r="X28" s="29">
        <v>12.008599999999999</v>
      </c>
      <c r="Y28" s="43">
        <f t="shared" si="17"/>
        <v>0.29999999999930099</v>
      </c>
      <c r="Z28" s="44">
        <f t="shared" si="18"/>
        <v>-2.0000000000006701</v>
      </c>
      <c r="AA28" s="45">
        <f t="shared" si="19"/>
        <v>0.14999999999965</v>
      </c>
      <c r="AB28" s="49">
        <v>9.3879999999999999</v>
      </c>
      <c r="AC28" s="43">
        <f t="shared" si="20"/>
        <v>-0.29999999999930099</v>
      </c>
      <c r="AD28" s="44">
        <f t="shared" si="21"/>
        <v>-3.2999999999994101</v>
      </c>
      <c r="AE28" s="45">
        <f t="shared" si="22"/>
        <v>-0.14999999999965</v>
      </c>
      <c r="AF28" s="50">
        <v>79201</v>
      </c>
      <c r="AG28" s="58">
        <f t="shared" si="0"/>
        <v>61</v>
      </c>
      <c r="AH28" s="61"/>
      <c r="AI28" s="60"/>
      <c r="AJ28" s="61"/>
      <c r="AK28" s="62"/>
      <c r="AL28" s="60"/>
      <c r="AM28" s="64"/>
    </row>
    <row r="29" spans="1:39">
      <c r="A29" s="21">
        <v>44519</v>
      </c>
      <c r="B29" s="22">
        <v>789.95809999999994</v>
      </c>
      <c r="C29" s="27">
        <v>5.9226999999999999</v>
      </c>
      <c r="D29" s="23">
        <f t="shared" si="23"/>
        <v>795.88080000000002</v>
      </c>
      <c r="E29" s="24">
        <f t="shared" si="24"/>
        <v>9.9999999974897905E-2</v>
      </c>
      <c r="F29" s="25">
        <f t="shared" si="25"/>
        <v>-3.30000000008113</v>
      </c>
      <c r="G29" s="26">
        <f t="shared" si="26"/>
        <v>4.9999999987449001E-2</v>
      </c>
      <c r="H29" s="6">
        <v>6.7074999999999996</v>
      </c>
      <c r="I29" s="35">
        <f t="shared" si="27"/>
        <v>796.66560000000004</v>
      </c>
      <c r="J29" s="24">
        <f t="shared" si="28"/>
        <v>0.49999999998817701</v>
      </c>
      <c r="K29" s="25">
        <f t="shared" si="29"/>
        <v>-2.9000000000678501</v>
      </c>
      <c r="L29" s="26">
        <f t="shared" si="30"/>
        <v>0.24999999999408801</v>
      </c>
      <c r="M29" s="6">
        <v>5.8902999999999999</v>
      </c>
      <c r="N29" s="35">
        <f t="shared" si="31"/>
        <v>795.84839999999997</v>
      </c>
      <c r="O29" s="24">
        <f t="shared" si="32"/>
        <v>9.9999999974897905E-2</v>
      </c>
      <c r="P29" s="25">
        <f t="shared" si="33"/>
        <v>-3.5000000000309202</v>
      </c>
      <c r="Q29" s="26">
        <f t="shared" si="34"/>
        <v>4.9999999987449001E-2</v>
      </c>
      <c r="R29" s="41"/>
      <c r="S29" s="21">
        <f t="shared" si="35"/>
        <v>44519</v>
      </c>
      <c r="T29" s="42">
        <v>8.6895000000000007</v>
      </c>
      <c r="U29" s="43">
        <f t="shared" si="14"/>
        <v>0.20000000000130999</v>
      </c>
      <c r="V29" s="44">
        <f t="shared" si="15"/>
        <v>-2.3999999999997401</v>
      </c>
      <c r="W29" s="45">
        <f t="shared" si="16"/>
        <v>-0.100000000000655</v>
      </c>
      <c r="X29" s="29">
        <v>12.0084</v>
      </c>
      <c r="Y29" s="43">
        <f t="shared" si="17"/>
        <v>-0.19999999999953399</v>
      </c>
      <c r="Z29" s="44">
        <f t="shared" si="18"/>
        <v>-2.2000000000002</v>
      </c>
      <c r="AA29" s="45">
        <f t="shared" si="19"/>
        <v>-9.99999999997669E-2</v>
      </c>
      <c r="AB29" s="49">
        <v>9.3885000000000005</v>
      </c>
      <c r="AC29" s="43">
        <f t="shared" si="20"/>
        <v>0.50000000000061096</v>
      </c>
      <c r="AD29" s="44">
        <f t="shared" si="21"/>
        <v>-2.7999999999987999</v>
      </c>
      <c r="AE29" s="45">
        <f t="shared" si="22"/>
        <v>0.25000000000030598</v>
      </c>
      <c r="AF29" s="50">
        <v>79204</v>
      </c>
      <c r="AG29" s="58">
        <f t="shared" si="0"/>
        <v>64</v>
      </c>
      <c r="AH29" s="61"/>
      <c r="AI29" s="60"/>
      <c r="AJ29" s="61"/>
      <c r="AK29" s="62"/>
      <c r="AL29" s="60"/>
      <c r="AM29" s="64"/>
    </row>
    <row r="30" spans="1:39">
      <c r="A30" s="21">
        <v>44525</v>
      </c>
      <c r="B30" s="22">
        <v>789.95809999999994</v>
      </c>
      <c r="C30" s="27">
        <v>5.9227999999999996</v>
      </c>
      <c r="D30" s="23">
        <f t="shared" si="23"/>
        <v>795.8809</v>
      </c>
      <c r="E30" s="24">
        <f t="shared" si="24"/>
        <v>0.10000000008858501</v>
      </c>
      <c r="F30" s="25">
        <f t="shared" si="25"/>
        <v>-3.1999999999925399</v>
      </c>
      <c r="G30" s="26">
        <f t="shared" si="26"/>
        <v>1.6666666681430801E-2</v>
      </c>
      <c r="H30" s="6">
        <v>6.7073</v>
      </c>
      <c r="I30" s="35">
        <f t="shared" si="27"/>
        <v>796.66539999999998</v>
      </c>
      <c r="J30" s="24">
        <f t="shared" si="28"/>
        <v>-0.199999999949796</v>
      </c>
      <c r="K30" s="25">
        <f t="shared" si="29"/>
        <v>-3.1000000000176402</v>
      </c>
      <c r="L30" s="26">
        <f t="shared" si="30"/>
        <v>-3.3333333324965998E-2</v>
      </c>
      <c r="M30" s="6">
        <v>5.8903999999999996</v>
      </c>
      <c r="N30" s="35">
        <f t="shared" si="31"/>
        <v>795.84849999999994</v>
      </c>
      <c r="O30" s="24">
        <f t="shared" si="32"/>
        <v>9.9999999974897905E-2</v>
      </c>
      <c r="P30" s="25">
        <f t="shared" si="33"/>
        <v>-3.40000000005602</v>
      </c>
      <c r="Q30" s="26">
        <f t="shared" si="34"/>
        <v>1.6666666662482999E-2</v>
      </c>
      <c r="R30" s="41"/>
      <c r="S30" s="21">
        <f t="shared" si="35"/>
        <v>44525</v>
      </c>
      <c r="T30" s="42">
        <v>8.6897000000000002</v>
      </c>
      <c r="U30" s="43">
        <f t="shared" si="14"/>
        <v>0.19999999999953399</v>
      </c>
      <c r="V30" s="44">
        <f t="shared" si="15"/>
        <v>-2.2000000000002</v>
      </c>
      <c r="W30" s="45">
        <f t="shared" si="16"/>
        <v>-3.3333333333255603E-2</v>
      </c>
      <c r="X30" s="29">
        <v>12.0082</v>
      </c>
      <c r="Y30" s="43">
        <f t="shared" si="17"/>
        <v>-0.19999999999953399</v>
      </c>
      <c r="Z30" s="44">
        <f t="shared" si="18"/>
        <v>-2.3999999999997401</v>
      </c>
      <c r="AA30" s="45">
        <f t="shared" si="19"/>
        <v>-3.3333333333255603E-2</v>
      </c>
      <c r="AB30" s="49">
        <v>9.3881999999999994</v>
      </c>
      <c r="AC30" s="43">
        <f t="shared" si="20"/>
        <v>-0.30000000000107702</v>
      </c>
      <c r="AD30" s="44">
        <f t="shared" si="21"/>
        <v>-3.0999999999998802</v>
      </c>
      <c r="AE30" s="45">
        <f t="shared" si="22"/>
        <v>-5.0000000000179498E-2</v>
      </c>
      <c r="AF30" s="50">
        <v>79207</v>
      </c>
      <c r="AG30" s="58">
        <f t="shared" si="0"/>
        <v>67</v>
      </c>
      <c r="AH30" s="61"/>
      <c r="AI30" s="60"/>
      <c r="AJ30" s="61"/>
      <c r="AK30" s="62"/>
      <c r="AL30" s="60"/>
      <c r="AM30" s="64"/>
    </row>
    <row r="31" spans="1:39" s="70" customFormat="1">
      <c r="A31" s="21">
        <v>44530</v>
      </c>
      <c r="B31" s="22">
        <v>789.95809999999994</v>
      </c>
      <c r="C31" s="27">
        <v>5.9225000000000003</v>
      </c>
      <c r="D31" s="23">
        <f t="shared" si="23"/>
        <v>795.88059999999996</v>
      </c>
      <c r="E31" s="24">
        <f t="shared" si="24"/>
        <v>-0.30000000003838101</v>
      </c>
      <c r="F31" s="25">
        <f t="shared" si="25"/>
        <v>-3.5000000000309202</v>
      </c>
      <c r="G31" s="26">
        <f t="shared" si="26"/>
        <v>-6.0000000007676101E-2</v>
      </c>
      <c r="H31" s="6">
        <v>6.7072000000000003</v>
      </c>
      <c r="I31" s="35">
        <f t="shared" si="27"/>
        <v>796.6653</v>
      </c>
      <c r="J31" s="24">
        <f t="shared" si="28"/>
        <v>-0.10000000008858501</v>
      </c>
      <c r="K31" s="25">
        <f t="shared" si="29"/>
        <v>-3.2000000001062299</v>
      </c>
      <c r="L31" s="26">
        <f t="shared" si="30"/>
        <v>-2.0000000017716998E-2</v>
      </c>
      <c r="M31" s="6">
        <v>5.8902999999999999</v>
      </c>
      <c r="N31" s="35">
        <f t="shared" si="31"/>
        <v>795.84839999999997</v>
      </c>
      <c r="O31" s="24">
        <f t="shared" si="32"/>
        <v>-9.9999999974897905E-2</v>
      </c>
      <c r="P31" s="25">
        <f t="shared" si="33"/>
        <v>-3.5000000000309202</v>
      </c>
      <c r="Q31" s="26">
        <f t="shared" si="34"/>
        <v>-1.99999999949796E-2</v>
      </c>
      <c r="R31" s="41"/>
      <c r="S31" s="21">
        <f t="shared" si="35"/>
        <v>44530</v>
      </c>
      <c r="T31" s="42">
        <v>8.6895000000000007</v>
      </c>
      <c r="U31" s="43">
        <f t="shared" si="14"/>
        <v>-0.19999999999953399</v>
      </c>
      <c r="V31" s="44">
        <f t="shared" si="15"/>
        <v>-2.3999999999997401</v>
      </c>
      <c r="W31" s="45">
        <f t="shared" si="16"/>
        <v>3.9999999999906798E-2</v>
      </c>
      <c r="X31" s="29">
        <v>12.008100000000001</v>
      </c>
      <c r="Y31" s="43">
        <f t="shared" si="17"/>
        <v>-9.99999999997669E-2</v>
      </c>
      <c r="Z31" s="44">
        <f t="shared" si="18"/>
        <v>-2.4999999999995</v>
      </c>
      <c r="AA31" s="45">
        <f t="shared" si="19"/>
        <v>-1.9999999999953399E-2</v>
      </c>
      <c r="AB31" s="49">
        <v>9.3882999999999992</v>
      </c>
      <c r="AC31" s="43">
        <f t="shared" si="20"/>
        <v>9.99999999997669E-2</v>
      </c>
      <c r="AD31" s="44">
        <f t="shared" si="21"/>
        <v>-3.0000000000001101</v>
      </c>
      <c r="AE31" s="45">
        <f t="shared" si="22"/>
        <v>1.9999999999953399E-2</v>
      </c>
      <c r="AF31" s="50">
        <v>79210</v>
      </c>
      <c r="AG31" s="58">
        <f t="shared" si="0"/>
        <v>70</v>
      </c>
      <c r="AH31" s="61"/>
      <c r="AI31" s="60"/>
    </row>
    <row r="32" spans="1:39">
      <c r="A32" s="21">
        <v>44535</v>
      </c>
      <c r="B32" s="22">
        <v>789.95809999999994</v>
      </c>
      <c r="C32" s="27">
        <v>5.9222999999999999</v>
      </c>
      <c r="D32" s="23">
        <f t="shared" si="23"/>
        <v>795.88040000000001</v>
      </c>
      <c r="E32" s="24">
        <f t="shared" si="24"/>
        <v>-0.20000000006348301</v>
      </c>
      <c r="F32" s="25">
        <f t="shared" si="25"/>
        <v>-3.70000000009441</v>
      </c>
      <c r="G32" s="26">
        <f t="shared" si="26"/>
        <v>-4.0000000012696497E-2</v>
      </c>
      <c r="H32" s="6">
        <v>6.7069999999999999</v>
      </c>
      <c r="I32" s="35">
        <f t="shared" si="27"/>
        <v>796.66510000000005</v>
      </c>
      <c r="J32" s="24">
        <f t="shared" si="28"/>
        <v>-0.199999999949796</v>
      </c>
      <c r="K32" s="25">
        <f t="shared" si="29"/>
        <v>-3.40000000005602</v>
      </c>
      <c r="L32" s="26">
        <f t="shared" si="30"/>
        <v>-3.9999999989959199E-2</v>
      </c>
      <c r="M32" s="6">
        <v>5.8901000000000003</v>
      </c>
      <c r="N32" s="35">
        <f t="shared" si="31"/>
        <v>795.84820000000002</v>
      </c>
      <c r="O32" s="24">
        <f t="shared" si="32"/>
        <v>-0.20000000006348301</v>
      </c>
      <c r="P32" s="25">
        <f t="shared" si="33"/>
        <v>-3.70000000009441</v>
      </c>
      <c r="Q32" s="26">
        <f t="shared" si="34"/>
        <v>-4.0000000012696497E-2</v>
      </c>
      <c r="R32" s="41"/>
      <c r="S32" s="21">
        <f t="shared" si="35"/>
        <v>44535</v>
      </c>
      <c r="T32" s="42">
        <v>8.6892999999999994</v>
      </c>
      <c r="U32" s="43">
        <f t="shared" si="14"/>
        <v>-0.20000000000130999</v>
      </c>
      <c r="V32" s="44">
        <f t="shared" si="15"/>
        <v>-2.6000000000010499</v>
      </c>
      <c r="W32" s="45">
        <f t="shared" si="16"/>
        <v>4.0000000000262E-2</v>
      </c>
      <c r="X32" s="29">
        <v>12.0078</v>
      </c>
      <c r="Y32" s="43">
        <f t="shared" si="17"/>
        <v>-0.30000000000107702</v>
      </c>
      <c r="Z32" s="44">
        <f t="shared" si="18"/>
        <v>-2.8000000000005798</v>
      </c>
      <c r="AA32" s="45">
        <f t="shared" si="19"/>
        <v>-6.0000000000215402E-2</v>
      </c>
      <c r="AB32" s="49">
        <v>9.3879999999999999</v>
      </c>
      <c r="AC32" s="43">
        <f t="shared" si="20"/>
        <v>-0.29999999999930099</v>
      </c>
      <c r="AD32" s="44">
        <f t="shared" si="21"/>
        <v>-3.2999999999994101</v>
      </c>
      <c r="AE32" s="45">
        <f t="shared" si="22"/>
        <v>-5.99999999998602E-2</v>
      </c>
      <c r="AF32" s="50">
        <v>79213</v>
      </c>
      <c r="AG32" s="58">
        <f t="shared" si="0"/>
        <v>73</v>
      </c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65">
        <f>F32-F29</f>
        <v>-0.40000000001327901</v>
      </c>
      <c r="F34" s="33">
        <f>K32-K29</f>
        <v>-0.49999999998817701</v>
      </c>
      <c r="G34" s="33">
        <f>P32-P29</f>
        <v>-0.20000000006348301</v>
      </c>
      <c r="H34" s="68">
        <f>F32</f>
        <v>-3.70000000009441</v>
      </c>
      <c r="I34" s="69">
        <f>K32</f>
        <v>-3.40000000005602</v>
      </c>
      <c r="J34" s="65">
        <f>P32</f>
        <v>-3.70000000009441</v>
      </c>
      <c r="K34" s="33">
        <f>(P32-P31)/7</f>
        <v>-2.85714285804975E-2</v>
      </c>
      <c r="L34" s="26"/>
      <c r="N34" s="35"/>
      <c r="O34" s="24"/>
      <c r="P34" s="25"/>
      <c r="Q34" s="26"/>
      <c r="R34" s="41"/>
      <c r="S34" s="21"/>
      <c r="T34" s="42"/>
      <c r="U34" s="65">
        <f>V32-V29</f>
        <v>-0.20000000000130999</v>
      </c>
      <c r="V34" s="33">
        <f>Z32-Z29</f>
        <v>-0.60000000000037801</v>
      </c>
      <c r="W34" s="33">
        <f>AD32-AD29</f>
        <v>-0.50000000000061096</v>
      </c>
      <c r="X34" s="33">
        <f>V32</f>
        <v>-2.6000000000010499</v>
      </c>
      <c r="Y34" s="65">
        <f>Z32</f>
        <v>-2.8000000000005798</v>
      </c>
      <c r="Z34" s="33">
        <f>AD32</f>
        <v>-3.2999999999994101</v>
      </c>
      <c r="AA34" s="33">
        <f>(AD32-AD31)/7</f>
        <v>-4.2857142857043E-2</v>
      </c>
      <c r="AB34" s="49"/>
      <c r="AC34" s="43"/>
      <c r="AD34" s="44"/>
      <c r="AE34" s="45"/>
      <c r="AF34" s="50"/>
      <c r="AG34" s="58"/>
      <c r="AH34" s="61"/>
      <c r="AI34" s="60"/>
      <c r="AJ34"/>
      <c r="AK34"/>
      <c r="AL34"/>
      <c r="AM3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3"/>
  <sheetViews>
    <sheetView topLeftCell="A2" workbookViewId="0">
      <selection activeCell="P6" sqref="F6:F28 K6:K28 P6:P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9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28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44494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44494</v>
      </c>
      <c r="B6" s="22">
        <v>789.95809999999994</v>
      </c>
      <c r="C6" s="27">
        <v>6.0174000000000003</v>
      </c>
      <c r="D6" s="23">
        <f t="shared" ref="D6:D30" si="0">C6+B6</f>
        <v>795.97550000000001</v>
      </c>
      <c r="E6" s="24">
        <v>0</v>
      </c>
      <c r="F6" s="25">
        <v>0</v>
      </c>
      <c r="G6" s="26">
        <v>0</v>
      </c>
      <c r="H6" s="6">
        <v>6.8575999999999997</v>
      </c>
      <c r="I6" s="35">
        <f t="shared" ref="I6:I30" si="1">H6+B6</f>
        <v>796.81569999999999</v>
      </c>
      <c r="J6" s="24">
        <v>0</v>
      </c>
      <c r="K6" s="25">
        <v>0</v>
      </c>
      <c r="L6" s="26">
        <v>0</v>
      </c>
      <c r="M6" s="6">
        <v>5.4878999999999998</v>
      </c>
      <c r="N6" s="35">
        <f t="shared" ref="N6:N30" si="2">M6+B6</f>
        <v>795.44600000000003</v>
      </c>
      <c r="O6" s="24">
        <v>0</v>
      </c>
      <c r="P6" s="25">
        <v>0</v>
      </c>
      <c r="Q6" s="26">
        <v>0</v>
      </c>
      <c r="R6" s="41"/>
      <c r="S6" s="21">
        <f t="shared" ref="S6:S30" si="3">A6</f>
        <v>44494</v>
      </c>
      <c r="T6" s="42">
        <v>9.1258999999999997</v>
      </c>
      <c r="U6" s="43">
        <v>0</v>
      </c>
      <c r="V6" s="44">
        <v>0</v>
      </c>
      <c r="W6" s="45">
        <f>U6/(S6-S11)</f>
        <v>0</v>
      </c>
      <c r="X6" s="29">
        <v>11.9184</v>
      </c>
      <c r="Y6" s="43">
        <v>0</v>
      </c>
      <c r="Z6" s="44">
        <v>0</v>
      </c>
      <c r="AA6" s="45">
        <v>0</v>
      </c>
      <c r="AB6" s="49">
        <v>8.2874999999999996</v>
      </c>
      <c r="AC6" s="43">
        <v>0</v>
      </c>
      <c r="AD6" s="44">
        <v>0</v>
      </c>
      <c r="AE6" s="45">
        <v>0</v>
      </c>
      <c r="AF6" s="50">
        <v>79150</v>
      </c>
      <c r="AG6" s="58">
        <f>AF6-79148</f>
        <v>2</v>
      </c>
      <c r="AH6" s="59"/>
      <c r="AI6" s="60"/>
      <c r="AJ6" s="61"/>
      <c r="AK6" s="62"/>
      <c r="AL6" s="52"/>
      <c r="AM6" s="52"/>
    </row>
    <row r="7" spans="1:39">
      <c r="A7" s="21">
        <v>44495</v>
      </c>
      <c r="B7" s="22">
        <v>789.95809999999994</v>
      </c>
      <c r="C7" s="27">
        <v>6.0175000000000001</v>
      </c>
      <c r="D7" s="23">
        <f t="shared" si="0"/>
        <v>795.97559999999999</v>
      </c>
      <c r="E7" s="24">
        <f t="shared" ref="E7:E30" si="4">(D7-D6)*1000</f>
        <v>0.10000000008858501</v>
      </c>
      <c r="F7" s="25">
        <f t="shared" ref="F7:F30" si="5">F6+E7</f>
        <v>0.10000000008858501</v>
      </c>
      <c r="G7" s="26">
        <f t="shared" ref="G7:G30" si="6">E7/(A7-A6)</f>
        <v>0.10000000008858501</v>
      </c>
      <c r="H7" s="6">
        <v>6.8573000000000004</v>
      </c>
      <c r="I7" s="35">
        <f t="shared" si="1"/>
        <v>796.81539999999995</v>
      </c>
      <c r="J7" s="24">
        <f t="shared" ref="J7:J30" si="7">(I7-I6)*1000</f>
        <v>-0.30000000003838101</v>
      </c>
      <c r="K7" s="25">
        <f t="shared" ref="K7:K30" si="8">K6+J7</f>
        <v>-0.30000000003838101</v>
      </c>
      <c r="L7" s="26">
        <f t="shared" ref="L7:L30" si="9">J7/(A7-A6)</f>
        <v>-0.30000000003838101</v>
      </c>
      <c r="M7" s="6">
        <v>5.4875999999999996</v>
      </c>
      <c r="N7" s="35">
        <f t="shared" si="2"/>
        <v>795.44569999999999</v>
      </c>
      <c r="O7" s="24">
        <f t="shared" ref="O7:O30" si="10">(N7-N6)*1000</f>
        <v>-0.29999999992469401</v>
      </c>
      <c r="P7" s="25">
        <f t="shared" ref="P7:P30" si="11">P6+O7</f>
        <v>-0.29999999992469401</v>
      </c>
      <c r="Q7" s="26">
        <f t="shared" ref="Q7:Q30" si="12">O7/(A7-A6)</f>
        <v>-0.29999999992469401</v>
      </c>
      <c r="R7" s="41"/>
      <c r="S7" s="21">
        <f t="shared" si="3"/>
        <v>44495</v>
      </c>
      <c r="T7" s="42">
        <v>9.1257000000000001</v>
      </c>
      <c r="U7" s="43">
        <f t="shared" ref="U7:U30" si="13">(T7-T6)*1000</f>
        <v>-0.19999999999953399</v>
      </c>
      <c r="V7" s="44">
        <f t="shared" ref="V7:V30" si="14">V6+U7</f>
        <v>-0.19999999999953399</v>
      </c>
      <c r="W7" s="45">
        <f t="shared" ref="W7:W30" si="15">U7/(S6-S7)</f>
        <v>0.19999999999953399</v>
      </c>
      <c r="X7" s="29">
        <v>11.9185</v>
      </c>
      <c r="Y7" s="43">
        <f t="shared" ref="Y7:Y30" si="16">(X7-X6)*1000</f>
        <v>9.99999999997669E-2</v>
      </c>
      <c r="Z7" s="44">
        <f t="shared" ref="Z7:Z30" si="17">Z6+Y7</f>
        <v>9.99999999997669E-2</v>
      </c>
      <c r="AA7" s="45">
        <f t="shared" ref="AA7:AA30" si="18">Y7/(S7-S6)</f>
        <v>9.99999999997669E-2</v>
      </c>
      <c r="AB7" s="49">
        <v>8.2873000000000001</v>
      </c>
      <c r="AC7" s="43">
        <f t="shared" ref="AC7:AC30" si="19">(AB7-AB6)*1000</f>
        <v>-0.19999999999953399</v>
      </c>
      <c r="AD7" s="44">
        <f t="shared" ref="AD7:AD30" si="20">AD6+AC7</f>
        <v>-0.19999999999953399</v>
      </c>
      <c r="AE7" s="45">
        <f t="shared" ref="AE7:AE30" si="21">AC7/(S7-S6)</f>
        <v>-0.19999999999953399</v>
      </c>
      <c r="AF7" s="50">
        <v>79151</v>
      </c>
      <c r="AG7" s="58">
        <f t="shared" ref="AG7:AG30" si="22">AF7-79148</f>
        <v>3</v>
      </c>
      <c r="AH7" s="59"/>
      <c r="AI7" s="60"/>
      <c r="AJ7" s="61"/>
      <c r="AK7" s="62"/>
      <c r="AL7" s="52"/>
      <c r="AM7" s="52"/>
    </row>
    <row r="8" spans="1:39">
      <c r="A8" s="21">
        <v>44496</v>
      </c>
      <c r="B8" s="22">
        <v>789.95809999999994</v>
      </c>
      <c r="C8" s="27">
        <v>6.0172999999999996</v>
      </c>
      <c r="D8" s="23">
        <f t="shared" si="0"/>
        <v>795.97540000000004</v>
      </c>
      <c r="E8" s="24">
        <f t="shared" si="4"/>
        <v>-0.20000000006348301</v>
      </c>
      <c r="F8" s="25">
        <f t="shared" si="5"/>
        <v>-9.9999999974897905E-2</v>
      </c>
      <c r="G8" s="26">
        <f t="shared" si="6"/>
        <v>-0.20000000006348301</v>
      </c>
      <c r="H8" s="6">
        <v>6.8571</v>
      </c>
      <c r="I8" s="35">
        <f t="shared" si="1"/>
        <v>796.8152</v>
      </c>
      <c r="J8" s="24">
        <f t="shared" si="7"/>
        <v>-0.20000000006348301</v>
      </c>
      <c r="K8" s="25">
        <f t="shared" si="8"/>
        <v>-0.50000000010186296</v>
      </c>
      <c r="L8" s="26">
        <f t="shared" si="9"/>
        <v>-0.20000000006348301</v>
      </c>
      <c r="M8" s="6">
        <v>5.4873000000000003</v>
      </c>
      <c r="N8" s="35">
        <f t="shared" si="2"/>
        <v>795.44539999999995</v>
      </c>
      <c r="O8" s="24">
        <f t="shared" si="10"/>
        <v>-0.30000000003838101</v>
      </c>
      <c r="P8" s="25">
        <f t="shared" si="11"/>
        <v>-0.59999999996307496</v>
      </c>
      <c r="Q8" s="26">
        <f t="shared" si="12"/>
        <v>-0.30000000003838101</v>
      </c>
      <c r="R8" s="41"/>
      <c r="S8" s="21">
        <f t="shared" si="3"/>
        <v>44496</v>
      </c>
      <c r="T8" s="42">
        <v>9.1255000000000006</v>
      </c>
      <c r="U8" s="43">
        <f t="shared" si="13"/>
        <v>-0.19999999999953399</v>
      </c>
      <c r="V8" s="44">
        <f t="shared" si="14"/>
        <v>-0.39999999999906799</v>
      </c>
      <c r="W8" s="45">
        <f t="shared" si="15"/>
        <v>0.19999999999953399</v>
      </c>
      <c r="X8" s="29">
        <v>11.9183</v>
      </c>
      <c r="Y8" s="43">
        <f t="shared" si="16"/>
        <v>-0.19999999999953399</v>
      </c>
      <c r="Z8" s="44">
        <f t="shared" si="17"/>
        <v>-9.99999999997669E-2</v>
      </c>
      <c r="AA8" s="45">
        <f t="shared" si="18"/>
        <v>-0.19999999999953399</v>
      </c>
      <c r="AB8" s="49">
        <v>8.2871000000000006</v>
      </c>
      <c r="AC8" s="43">
        <f t="shared" si="19"/>
        <v>-0.19999999999953399</v>
      </c>
      <c r="AD8" s="44">
        <f t="shared" si="20"/>
        <v>-0.39999999999906799</v>
      </c>
      <c r="AE8" s="45">
        <f t="shared" si="21"/>
        <v>-0.19999999999953399</v>
      </c>
      <c r="AF8" s="50">
        <v>79152</v>
      </c>
      <c r="AG8" s="58">
        <f t="shared" si="22"/>
        <v>4</v>
      </c>
      <c r="AH8" s="59"/>
      <c r="AI8" s="60"/>
      <c r="AJ8" s="61"/>
      <c r="AK8" s="62"/>
      <c r="AL8" s="52"/>
      <c r="AM8" s="52"/>
    </row>
    <row r="9" spans="1:39">
      <c r="A9" s="21">
        <v>44497</v>
      </c>
      <c r="B9" s="22">
        <v>789.95809999999994</v>
      </c>
      <c r="C9" s="27">
        <v>6.0170000000000003</v>
      </c>
      <c r="D9" s="23">
        <f t="shared" si="0"/>
        <v>795.9751</v>
      </c>
      <c r="E9" s="24">
        <f t="shared" si="4"/>
        <v>-0.29999999992469401</v>
      </c>
      <c r="F9" s="25">
        <f t="shared" si="5"/>
        <v>-0.39999999989959201</v>
      </c>
      <c r="G9" s="26">
        <f t="shared" si="6"/>
        <v>-0.29999999992469401</v>
      </c>
      <c r="H9" s="6">
        <v>6.8573000000000004</v>
      </c>
      <c r="I9" s="35">
        <f t="shared" si="1"/>
        <v>796.81539999999995</v>
      </c>
      <c r="J9" s="24">
        <f t="shared" si="7"/>
        <v>0.20000000006348301</v>
      </c>
      <c r="K9" s="25">
        <f t="shared" si="8"/>
        <v>-0.30000000003838101</v>
      </c>
      <c r="L9" s="26">
        <f t="shared" si="9"/>
        <v>0.20000000006348301</v>
      </c>
      <c r="M9" s="6">
        <v>5.4870999999999999</v>
      </c>
      <c r="N9" s="35">
        <f t="shared" si="2"/>
        <v>795.4452</v>
      </c>
      <c r="O9" s="24">
        <f t="shared" si="10"/>
        <v>-0.199999999949796</v>
      </c>
      <c r="P9" s="25">
        <f t="shared" si="11"/>
        <v>-0.79999999991286996</v>
      </c>
      <c r="Q9" s="26">
        <f t="shared" si="12"/>
        <v>-0.199999999949796</v>
      </c>
      <c r="R9" s="41"/>
      <c r="S9" s="21">
        <f t="shared" si="3"/>
        <v>44497</v>
      </c>
      <c r="T9" s="42">
        <v>9.1254000000000008</v>
      </c>
      <c r="U9" s="43">
        <f t="shared" si="13"/>
        <v>-9.99999999997669E-2</v>
      </c>
      <c r="V9" s="44">
        <f t="shared" si="14"/>
        <v>-0.49999999999883499</v>
      </c>
      <c r="W9" s="45">
        <f t="shared" si="15"/>
        <v>9.99999999997669E-2</v>
      </c>
      <c r="X9" s="29">
        <v>11.918100000000001</v>
      </c>
      <c r="Y9" s="43">
        <f t="shared" si="16"/>
        <v>-0.19999999999953399</v>
      </c>
      <c r="Z9" s="44">
        <f t="shared" si="17"/>
        <v>-0.29999999999930099</v>
      </c>
      <c r="AA9" s="45">
        <f t="shared" si="18"/>
        <v>-0.19999999999953399</v>
      </c>
      <c r="AB9" s="49">
        <v>8.2872000000000003</v>
      </c>
      <c r="AC9" s="43">
        <f t="shared" si="19"/>
        <v>9.99999999997669E-2</v>
      </c>
      <c r="AD9" s="44">
        <f t="shared" si="20"/>
        <v>-0.29999999999930099</v>
      </c>
      <c r="AE9" s="45">
        <f t="shared" si="21"/>
        <v>9.99999999997669E-2</v>
      </c>
      <c r="AF9" s="50">
        <v>79153</v>
      </c>
      <c r="AG9" s="58">
        <f t="shared" si="22"/>
        <v>5</v>
      </c>
      <c r="AH9" s="59"/>
      <c r="AI9" s="60"/>
      <c r="AJ9" s="61"/>
      <c r="AK9" s="62"/>
      <c r="AL9" s="52"/>
      <c r="AM9" s="52"/>
    </row>
    <row r="10" spans="1:39">
      <c r="A10" s="21">
        <v>44498</v>
      </c>
      <c r="B10" s="22">
        <v>789.95809999999994</v>
      </c>
      <c r="C10" s="27">
        <v>6.0171000000000001</v>
      </c>
      <c r="D10" s="23">
        <f t="shared" si="0"/>
        <v>795.97519999999997</v>
      </c>
      <c r="E10" s="24">
        <f t="shared" si="4"/>
        <v>9.9999999974897905E-2</v>
      </c>
      <c r="F10" s="25">
        <f t="shared" si="5"/>
        <v>-0.29999999992469401</v>
      </c>
      <c r="G10" s="26">
        <f t="shared" si="6"/>
        <v>9.9999999974897905E-2</v>
      </c>
      <c r="H10" s="6">
        <v>6.8569000000000004</v>
      </c>
      <c r="I10" s="35">
        <f t="shared" si="1"/>
        <v>796.81500000000005</v>
      </c>
      <c r="J10" s="24">
        <f t="shared" si="7"/>
        <v>-0.40000000001327901</v>
      </c>
      <c r="K10" s="25">
        <f t="shared" si="8"/>
        <v>-0.70000000005165897</v>
      </c>
      <c r="L10" s="26">
        <f t="shared" si="9"/>
        <v>-0.40000000001327901</v>
      </c>
      <c r="M10" s="6">
        <v>5.4869000000000003</v>
      </c>
      <c r="N10" s="35">
        <f t="shared" si="2"/>
        <v>795.44500000000005</v>
      </c>
      <c r="O10" s="24">
        <f t="shared" si="10"/>
        <v>-0.20000000006348301</v>
      </c>
      <c r="P10" s="25">
        <f t="shared" si="11"/>
        <v>-0.99999999997635303</v>
      </c>
      <c r="Q10" s="26">
        <f t="shared" si="12"/>
        <v>-0.20000000006348301</v>
      </c>
      <c r="R10" s="41"/>
      <c r="S10" s="21">
        <f t="shared" si="3"/>
        <v>44498</v>
      </c>
      <c r="T10" s="42">
        <v>9.1250999999999998</v>
      </c>
      <c r="U10" s="43">
        <f t="shared" si="13"/>
        <v>-0.30000000000107702</v>
      </c>
      <c r="V10" s="44">
        <f t="shared" si="14"/>
        <v>-0.799999999999912</v>
      </c>
      <c r="W10" s="45">
        <f t="shared" si="15"/>
        <v>0.30000000000107702</v>
      </c>
      <c r="X10" s="29">
        <v>11.918200000000001</v>
      </c>
      <c r="Y10" s="43">
        <f t="shared" si="16"/>
        <v>9.99999999997669E-2</v>
      </c>
      <c r="Z10" s="44">
        <f t="shared" si="17"/>
        <v>-0.19999999999953399</v>
      </c>
      <c r="AA10" s="45">
        <f t="shared" si="18"/>
        <v>9.99999999997669E-2</v>
      </c>
      <c r="AB10" s="49">
        <v>8.2866999999999997</v>
      </c>
      <c r="AC10" s="43">
        <f t="shared" si="19"/>
        <v>-0.50000000000061096</v>
      </c>
      <c r="AD10" s="44">
        <f t="shared" si="20"/>
        <v>-0.799999999999912</v>
      </c>
      <c r="AE10" s="45">
        <f t="shared" si="21"/>
        <v>-0.50000000000061096</v>
      </c>
      <c r="AF10" s="50">
        <v>79154</v>
      </c>
      <c r="AG10" s="58">
        <f t="shared" si="22"/>
        <v>6</v>
      </c>
      <c r="AH10" s="59"/>
      <c r="AI10" s="60"/>
      <c r="AJ10" s="61"/>
      <c r="AK10" s="62"/>
      <c r="AL10" s="52"/>
      <c r="AM10" s="52"/>
    </row>
    <row r="11" spans="1:39">
      <c r="A11" s="21">
        <v>44499</v>
      </c>
      <c r="B11" s="22">
        <v>789.95809999999994</v>
      </c>
      <c r="C11" s="27">
        <v>6.0166000000000004</v>
      </c>
      <c r="D11" s="23">
        <f t="shared" si="0"/>
        <v>795.97469999999998</v>
      </c>
      <c r="E11" s="24">
        <f t="shared" si="4"/>
        <v>-0.49999999998817701</v>
      </c>
      <c r="F11" s="25">
        <f t="shared" si="5"/>
        <v>-0.79999999991286996</v>
      </c>
      <c r="G11" s="26">
        <f t="shared" si="6"/>
        <v>-0.49999999998817701</v>
      </c>
      <c r="H11" s="6">
        <v>6.8567999999999998</v>
      </c>
      <c r="I11" s="35">
        <f t="shared" si="1"/>
        <v>796.81489999999997</v>
      </c>
      <c r="J11" s="24">
        <f t="shared" si="7"/>
        <v>-9.9999999974897905E-2</v>
      </c>
      <c r="K11" s="25">
        <f t="shared" si="8"/>
        <v>-0.80000000002655702</v>
      </c>
      <c r="L11" s="26">
        <f t="shared" si="9"/>
        <v>-9.9999999974897905E-2</v>
      </c>
      <c r="M11" s="6">
        <v>5.4870000000000001</v>
      </c>
      <c r="N11" s="35">
        <f t="shared" si="2"/>
        <v>795.44510000000002</v>
      </c>
      <c r="O11" s="24">
        <f t="shared" si="10"/>
        <v>9.9999999974897905E-2</v>
      </c>
      <c r="P11" s="25">
        <f t="shared" si="11"/>
        <v>-0.90000000000145497</v>
      </c>
      <c r="Q11" s="26">
        <f t="shared" si="12"/>
        <v>9.9999999974897905E-2</v>
      </c>
      <c r="R11" s="41"/>
      <c r="S11" s="21">
        <f t="shared" si="3"/>
        <v>44499</v>
      </c>
      <c r="T11" s="42">
        <v>9.1249000000000002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11.9177</v>
      </c>
      <c r="Y11" s="43">
        <f t="shared" si="16"/>
        <v>-0.50000000000061096</v>
      </c>
      <c r="Z11" s="44">
        <f t="shared" si="17"/>
        <v>-0.70000000000014495</v>
      </c>
      <c r="AA11" s="45">
        <f t="shared" si="18"/>
        <v>-0.50000000000061096</v>
      </c>
      <c r="AB11" s="49">
        <v>8.2865000000000002</v>
      </c>
      <c r="AC11" s="43">
        <f t="shared" si="19"/>
        <v>-0.19999999999953399</v>
      </c>
      <c r="AD11" s="44">
        <f t="shared" si="20"/>
        <v>-0.999999999999446</v>
      </c>
      <c r="AE11" s="45">
        <f t="shared" si="21"/>
        <v>-0.19999999999953399</v>
      </c>
      <c r="AF11" s="50">
        <v>79155</v>
      </c>
      <c r="AG11" s="58">
        <f t="shared" si="22"/>
        <v>7</v>
      </c>
      <c r="AH11" s="61"/>
      <c r="AI11" s="60"/>
      <c r="AJ11" s="52"/>
      <c r="AK11" s="52"/>
      <c r="AL11" s="52"/>
      <c r="AM11" s="52"/>
    </row>
    <row r="12" spans="1:39">
      <c r="A12" s="21">
        <v>44500</v>
      </c>
      <c r="B12" s="22">
        <v>789.95809999999994</v>
      </c>
      <c r="C12" s="27">
        <v>6.0164</v>
      </c>
      <c r="D12" s="23">
        <f t="shared" si="0"/>
        <v>795.97450000000003</v>
      </c>
      <c r="E12" s="24">
        <f t="shared" si="4"/>
        <v>-0.20000000006348301</v>
      </c>
      <c r="F12" s="25">
        <f t="shared" si="5"/>
        <v>-0.99999999997635303</v>
      </c>
      <c r="G12" s="26">
        <f t="shared" si="6"/>
        <v>-0.20000000006348301</v>
      </c>
      <c r="H12" s="6">
        <v>6.8564999999999996</v>
      </c>
      <c r="I12" s="35">
        <f t="shared" si="1"/>
        <v>796.81460000000004</v>
      </c>
      <c r="J12" s="24">
        <f t="shared" si="7"/>
        <v>-0.30000000003838101</v>
      </c>
      <c r="K12" s="25">
        <f t="shared" si="8"/>
        <v>-1.1000000000649399</v>
      </c>
      <c r="L12" s="26">
        <f t="shared" si="9"/>
        <v>-0.30000000003838101</v>
      </c>
      <c r="M12" s="6">
        <v>5.4865000000000004</v>
      </c>
      <c r="N12" s="35">
        <f t="shared" si="2"/>
        <v>795.44460000000004</v>
      </c>
      <c r="O12" s="24">
        <f t="shared" si="10"/>
        <v>-0.49999999998817701</v>
      </c>
      <c r="P12" s="25">
        <f t="shared" si="11"/>
        <v>-1.39999999998963</v>
      </c>
      <c r="Q12" s="26">
        <f t="shared" si="12"/>
        <v>-0.49999999998817701</v>
      </c>
      <c r="R12" s="41"/>
      <c r="S12" s="21">
        <f t="shared" si="3"/>
        <v>44500</v>
      </c>
      <c r="T12" s="42">
        <v>9.125</v>
      </c>
      <c r="U12" s="43">
        <f t="shared" si="13"/>
        <v>9.99999999997669E-2</v>
      </c>
      <c r="V12" s="44">
        <f t="shared" si="14"/>
        <v>-0.89999999999967895</v>
      </c>
      <c r="W12" s="45">
        <f t="shared" si="15"/>
        <v>-9.99999999997669E-2</v>
      </c>
      <c r="X12" s="29">
        <v>11.9175</v>
      </c>
      <c r="Y12" s="43">
        <f t="shared" si="16"/>
        <v>-0.19999999999953399</v>
      </c>
      <c r="Z12" s="44">
        <f t="shared" si="17"/>
        <v>-0.89999999999967895</v>
      </c>
      <c r="AA12" s="45">
        <f t="shared" si="18"/>
        <v>-0.19999999999953399</v>
      </c>
      <c r="AB12" s="49">
        <v>8.2870000000000008</v>
      </c>
      <c r="AC12" s="43">
        <f t="shared" si="19"/>
        <v>0.50000000000061096</v>
      </c>
      <c r="AD12" s="44">
        <f t="shared" si="20"/>
        <v>-0.49999999999883499</v>
      </c>
      <c r="AE12" s="45">
        <f t="shared" si="21"/>
        <v>0.50000000000061096</v>
      </c>
      <c r="AF12" s="50">
        <v>79156</v>
      </c>
      <c r="AG12" s="58">
        <f t="shared" si="22"/>
        <v>8</v>
      </c>
      <c r="AH12" s="61"/>
      <c r="AI12" s="60"/>
      <c r="AJ12" s="52"/>
      <c r="AK12" s="52"/>
      <c r="AL12" s="52"/>
      <c r="AM12" s="52"/>
    </row>
    <row r="13" spans="1:39">
      <c r="A13" s="21">
        <v>44501</v>
      </c>
      <c r="B13" s="22">
        <v>789.95809999999994</v>
      </c>
      <c r="C13" s="27">
        <v>6.0167999999999999</v>
      </c>
      <c r="D13" s="23">
        <f t="shared" si="0"/>
        <v>795.97490000000005</v>
      </c>
      <c r="E13" s="24">
        <f t="shared" si="4"/>
        <v>0.40000000001327901</v>
      </c>
      <c r="F13" s="25">
        <f t="shared" si="5"/>
        <v>-0.59999999996307496</v>
      </c>
      <c r="G13" s="26">
        <f t="shared" si="6"/>
        <v>0.40000000001327901</v>
      </c>
      <c r="H13" s="6">
        <v>6.8563000000000001</v>
      </c>
      <c r="I13" s="35">
        <f t="shared" si="1"/>
        <v>796.81439999999998</v>
      </c>
      <c r="J13" s="24">
        <f t="shared" si="7"/>
        <v>-0.199999999949796</v>
      </c>
      <c r="K13" s="25">
        <f t="shared" si="8"/>
        <v>-1.30000000001473</v>
      </c>
      <c r="L13" s="26">
        <f t="shared" si="9"/>
        <v>-0.199999999949796</v>
      </c>
      <c r="M13" s="6">
        <v>5.4863</v>
      </c>
      <c r="N13" s="35">
        <f t="shared" si="2"/>
        <v>795.44439999999997</v>
      </c>
      <c r="O13" s="24">
        <f t="shared" si="10"/>
        <v>-0.199999999949796</v>
      </c>
      <c r="P13" s="25">
        <f t="shared" si="11"/>
        <v>-1.5999999999394301</v>
      </c>
      <c r="Q13" s="26">
        <f t="shared" si="12"/>
        <v>-0.199999999949796</v>
      </c>
      <c r="R13" s="41"/>
      <c r="S13" s="21">
        <f t="shared" si="3"/>
        <v>44501</v>
      </c>
      <c r="T13" s="42">
        <v>9.1244999999999994</v>
      </c>
      <c r="U13" s="43">
        <f t="shared" si="13"/>
        <v>-0.50000000000061096</v>
      </c>
      <c r="V13" s="44">
        <f t="shared" si="14"/>
        <v>-1.4000000000002899</v>
      </c>
      <c r="W13" s="45">
        <f t="shared" si="15"/>
        <v>0.50000000000061096</v>
      </c>
      <c r="X13" s="29">
        <v>11.9176</v>
      </c>
      <c r="Y13" s="43">
        <f t="shared" si="16"/>
        <v>9.99999999997669E-2</v>
      </c>
      <c r="Z13" s="44">
        <f t="shared" si="17"/>
        <v>-0.799999999999912</v>
      </c>
      <c r="AA13" s="45">
        <f t="shared" si="18"/>
        <v>9.99999999997669E-2</v>
      </c>
      <c r="AB13" s="49">
        <v>8.2860999999999994</v>
      </c>
      <c r="AC13" s="43">
        <f t="shared" si="19"/>
        <v>-0.90000000000145497</v>
      </c>
      <c r="AD13" s="44">
        <f t="shared" si="20"/>
        <v>-1.4000000000002899</v>
      </c>
      <c r="AE13" s="45">
        <f t="shared" si="21"/>
        <v>-0.90000000000145497</v>
      </c>
      <c r="AF13" s="50">
        <v>79159</v>
      </c>
      <c r="AG13" s="58">
        <f t="shared" si="22"/>
        <v>11</v>
      </c>
      <c r="AH13" s="61"/>
      <c r="AI13" s="60"/>
      <c r="AJ13" s="52"/>
      <c r="AK13" s="52"/>
      <c r="AL13" s="52"/>
      <c r="AM13" s="52"/>
    </row>
    <row r="14" spans="1:39">
      <c r="A14" s="21">
        <v>44502</v>
      </c>
      <c r="B14" s="22">
        <v>789.95809999999994</v>
      </c>
      <c r="C14" s="27">
        <v>6.016</v>
      </c>
      <c r="D14" s="23">
        <f t="shared" si="0"/>
        <v>795.97410000000002</v>
      </c>
      <c r="E14" s="24">
        <f t="shared" si="4"/>
        <v>-0.80000000002655702</v>
      </c>
      <c r="F14" s="25">
        <f t="shared" si="5"/>
        <v>-1.39999999998963</v>
      </c>
      <c r="G14" s="26">
        <f t="shared" si="6"/>
        <v>-0.80000000002655702</v>
      </c>
      <c r="H14" s="6">
        <v>6.8563999999999998</v>
      </c>
      <c r="I14" s="35">
        <f t="shared" si="1"/>
        <v>796.81449999999995</v>
      </c>
      <c r="J14" s="24">
        <f t="shared" si="7"/>
        <v>9.9999999974897905E-2</v>
      </c>
      <c r="K14" s="25">
        <f t="shared" si="8"/>
        <v>-1.2000000000398401</v>
      </c>
      <c r="L14" s="26">
        <f t="shared" si="9"/>
        <v>9.9999999974897905E-2</v>
      </c>
      <c r="M14" s="6">
        <v>5.4865000000000004</v>
      </c>
      <c r="N14" s="35">
        <f t="shared" si="2"/>
        <v>795.44460000000004</v>
      </c>
      <c r="O14" s="24">
        <f t="shared" si="10"/>
        <v>0.199999999949796</v>
      </c>
      <c r="P14" s="25">
        <f t="shared" si="11"/>
        <v>-1.39999999998963</v>
      </c>
      <c r="Q14" s="26">
        <f t="shared" si="12"/>
        <v>0.199999999949796</v>
      </c>
      <c r="R14" s="41"/>
      <c r="S14" s="21">
        <f t="shared" si="3"/>
        <v>44502</v>
      </c>
      <c r="T14" s="42">
        <v>9.1242999999999999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11.9171</v>
      </c>
      <c r="Y14" s="43">
        <f t="shared" si="16"/>
        <v>-0.50000000000061096</v>
      </c>
      <c r="Z14" s="44">
        <f t="shared" si="17"/>
        <v>-1.3000000000005201</v>
      </c>
      <c r="AA14" s="45">
        <f t="shared" si="18"/>
        <v>-0.50000000000061096</v>
      </c>
      <c r="AB14" s="49">
        <v>8.2858999999999998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79162</v>
      </c>
      <c r="AG14" s="58">
        <f t="shared" si="22"/>
        <v>14</v>
      </c>
      <c r="AH14" s="61"/>
      <c r="AI14" s="60"/>
      <c r="AJ14" s="52"/>
      <c r="AK14" s="52"/>
      <c r="AL14" s="52"/>
      <c r="AM14" s="52"/>
    </row>
    <row r="15" spans="1:39">
      <c r="A15" s="21">
        <v>44503</v>
      </c>
      <c r="B15" s="22">
        <v>789.95809999999994</v>
      </c>
      <c r="C15" s="27">
        <v>6.0157999999999996</v>
      </c>
      <c r="D15" s="23">
        <f t="shared" si="0"/>
        <v>795.97389999999996</v>
      </c>
      <c r="E15" s="24">
        <f t="shared" si="4"/>
        <v>-0.199999999949796</v>
      </c>
      <c r="F15" s="25">
        <f t="shared" si="5"/>
        <v>-1.5999999999394301</v>
      </c>
      <c r="G15" s="26">
        <f t="shared" si="6"/>
        <v>-0.199999999949796</v>
      </c>
      <c r="H15" s="6">
        <v>6.8559000000000001</v>
      </c>
      <c r="I15" s="35">
        <f t="shared" si="1"/>
        <v>796.81399999999996</v>
      </c>
      <c r="J15" s="24">
        <f t="shared" si="7"/>
        <v>-0.49999999998817701</v>
      </c>
      <c r="K15" s="25">
        <f t="shared" si="8"/>
        <v>-1.70000000002801</v>
      </c>
      <c r="L15" s="26">
        <f t="shared" si="9"/>
        <v>-0.49999999998817701</v>
      </c>
      <c r="M15" s="6">
        <v>5.4859</v>
      </c>
      <c r="N15" s="35">
        <f t="shared" si="2"/>
        <v>795.44399999999996</v>
      </c>
      <c r="O15" s="24">
        <f t="shared" si="10"/>
        <v>-0.59999999996307496</v>
      </c>
      <c r="P15" s="25">
        <f t="shared" si="11"/>
        <v>-1.9999999999527101</v>
      </c>
      <c r="Q15" s="26">
        <f t="shared" si="12"/>
        <v>-0.59999999996307496</v>
      </c>
      <c r="R15" s="41"/>
      <c r="S15" s="21">
        <f t="shared" si="3"/>
        <v>44503</v>
      </c>
      <c r="T15" s="42">
        <v>9.1244999999999994</v>
      </c>
      <c r="U15" s="43">
        <f t="shared" si="13"/>
        <v>0.19999999999953399</v>
      </c>
      <c r="V15" s="44">
        <f t="shared" si="14"/>
        <v>-1.4000000000002899</v>
      </c>
      <c r="W15" s="45">
        <f t="shared" si="15"/>
        <v>-0.19999999999953399</v>
      </c>
      <c r="X15" s="29">
        <v>11.9169</v>
      </c>
      <c r="Y15" s="43">
        <f t="shared" si="16"/>
        <v>-0.19999999999953399</v>
      </c>
      <c r="Z15" s="44">
        <f t="shared" si="17"/>
        <v>-1.50000000000006</v>
      </c>
      <c r="AA15" s="45">
        <f t="shared" si="18"/>
        <v>-0.19999999999953399</v>
      </c>
      <c r="AB15" s="49">
        <v>8.2861999999999991</v>
      </c>
      <c r="AC15" s="43">
        <f t="shared" si="19"/>
        <v>0.29999999999930099</v>
      </c>
      <c r="AD15" s="44">
        <f t="shared" si="20"/>
        <v>-1.3000000000005201</v>
      </c>
      <c r="AE15" s="45">
        <f t="shared" si="21"/>
        <v>0.29999999999930099</v>
      </c>
      <c r="AF15" s="50">
        <v>79165</v>
      </c>
      <c r="AG15" s="58">
        <f t="shared" si="22"/>
        <v>17</v>
      </c>
      <c r="AH15" s="61"/>
      <c r="AI15" s="60"/>
      <c r="AJ15" s="52"/>
      <c r="AK15" s="52"/>
      <c r="AL15" s="52"/>
      <c r="AM15" s="52"/>
    </row>
    <row r="16" spans="1:39">
      <c r="A16" s="21">
        <v>44504</v>
      </c>
      <c r="B16" s="22">
        <v>789.95809999999994</v>
      </c>
      <c r="C16" s="27">
        <v>6.0162000000000004</v>
      </c>
      <c r="D16" s="23">
        <f t="shared" si="0"/>
        <v>795.97429999999997</v>
      </c>
      <c r="E16" s="24">
        <f t="shared" si="4"/>
        <v>0.40000000001327901</v>
      </c>
      <c r="F16" s="25">
        <f t="shared" si="5"/>
        <v>-1.1999999999261499</v>
      </c>
      <c r="G16" s="26">
        <f t="shared" si="6"/>
        <v>0.40000000001327901</v>
      </c>
      <c r="H16" s="6">
        <v>6.8556999999999997</v>
      </c>
      <c r="I16" s="35">
        <f t="shared" si="1"/>
        <v>796.81380000000001</v>
      </c>
      <c r="J16" s="24">
        <f t="shared" si="7"/>
        <v>-0.20000000006348301</v>
      </c>
      <c r="K16" s="25">
        <f t="shared" si="8"/>
        <v>-1.9000000000915001</v>
      </c>
      <c r="L16" s="26">
        <f t="shared" si="9"/>
        <v>-0.20000000006348301</v>
      </c>
      <c r="M16" s="6">
        <v>5.4856999999999996</v>
      </c>
      <c r="N16" s="35">
        <f t="shared" si="2"/>
        <v>795.44380000000001</v>
      </c>
      <c r="O16" s="24">
        <f t="shared" si="10"/>
        <v>-0.20000000006348301</v>
      </c>
      <c r="P16" s="25">
        <f t="shared" si="11"/>
        <v>-2.2000000000161899</v>
      </c>
      <c r="Q16" s="26">
        <f t="shared" si="12"/>
        <v>-0.20000000006348301</v>
      </c>
      <c r="R16" s="41"/>
      <c r="S16" s="21">
        <f t="shared" si="3"/>
        <v>44504</v>
      </c>
      <c r="T16" s="42">
        <v>9.1239000000000008</v>
      </c>
      <c r="U16" s="43">
        <f t="shared" si="13"/>
        <v>-0.59999999999860198</v>
      </c>
      <c r="V16" s="44">
        <f t="shared" si="14"/>
        <v>-1.99999999999889</v>
      </c>
      <c r="W16" s="45">
        <f t="shared" si="15"/>
        <v>0.59999999999860198</v>
      </c>
      <c r="X16" s="29">
        <v>11.916499999999999</v>
      </c>
      <c r="Y16" s="43">
        <f t="shared" si="16"/>
        <v>-0.40000000000084401</v>
      </c>
      <c r="Z16" s="44">
        <f t="shared" si="17"/>
        <v>-1.9000000000009001</v>
      </c>
      <c r="AA16" s="45">
        <f t="shared" si="18"/>
        <v>-0.40000000000084401</v>
      </c>
      <c r="AB16" s="49">
        <v>8.2855000000000008</v>
      </c>
      <c r="AC16" s="43">
        <f t="shared" si="19"/>
        <v>-0.69999999999836904</v>
      </c>
      <c r="AD16" s="44">
        <f t="shared" si="20"/>
        <v>-1.99999999999889</v>
      </c>
      <c r="AE16" s="45">
        <f t="shared" si="21"/>
        <v>-0.69999999999836904</v>
      </c>
      <c r="AF16" s="50">
        <v>79168</v>
      </c>
      <c r="AG16" s="58">
        <f t="shared" si="22"/>
        <v>20</v>
      </c>
      <c r="AH16" s="61"/>
      <c r="AI16" s="60"/>
      <c r="AJ16" s="52"/>
      <c r="AK16" s="52"/>
      <c r="AL16" s="52"/>
      <c r="AM16" s="52"/>
    </row>
    <row r="17" spans="1:39">
      <c r="A17" s="21">
        <v>44505</v>
      </c>
      <c r="B17" s="22">
        <v>789.95809999999994</v>
      </c>
      <c r="C17" s="27">
        <v>6.0153999999999996</v>
      </c>
      <c r="D17" s="23">
        <f t="shared" si="0"/>
        <v>795.97349999999994</v>
      </c>
      <c r="E17" s="24">
        <f t="shared" si="4"/>
        <v>-0.80000000002655702</v>
      </c>
      <c r="F17" s="25">
        <f t="shared" si="5"/>
        <v>-1.9999999999527101</v>
      </c>
      <c r="G17" s="26">
        <f t="shared" si="6"/>
        <v>-0.80000000002655702</v>
      </c>
      <c r="H17" s="6">
        <v>6.8562000000000003</v>
      </c>
      <c r="I17" s="35">
        <f t="shared" si="1"/>
        <v>796.8143</v>
      </c>
      <c r="J17" s="24">
        <f t="shared" si="7"/>
        <v>0.49999999998817701</v>
      </c>
      <c r="K17" s="25">
        <f t="shared" si="8"/>
        <v>-1.4000000001033199</v>
      </c>
      <c r="L17" s="26">
        <f t="shared" si="9"/>
        <v>0.49999999998817701</v>
      </c>
      <c r="M17" s="6">
        <v>5.4862000000000002</v>
      </c>
      <c r="N17" s="35">
        <f t="shared" si="2"/>
        <v>795.4443</v>
      </c>
      <c r="O17" s="24">
        <f t="shared" si="10"/>
        <v>0.50000000010186296</v>
      </c>
      <c r="P17" s="25">
        <f t="shared" si="11"/>
        <v>-1.69999999991433</v>
      </c>
      <c r="Q17" s="26">
        <f t="shared" si="12"/>
        <v>0.50000000010186296</v>
      </c>
      <c r="R17" s="41"/>
      <c r="S17" s="21">
        <f t="shared" si="3"/>
        <v>44505</v>
      </c>
      <c r="T17" s="42">
        <v>9.1236999999999995</v>
      </c>
      <c r="U17" s="43">
        <f t="shared" si="13"/>
        <v>-0.20000000000130999</v>
      </c>
      <c r="V17" s="44">
        <f t="shared" si="14"/>
        <v>-2.2000000000002</v>
      </c>
      <c r="W17" s="45">
        <f t="shared" si="15"/>
        <v>0.20000000000130999</v>
      </c>
      <c r="X17" s="29">
        <v>11.916499999999999</v>
      </c>
      <c r="Y17" s="43">
        <f t="shared" si="16"/>
        <v>0</v>
      </c>
      <c r="Z17" s="44">
        <f t="shared" si="17"/>
        <v>-1.9000000000009001</v>
      </c>
      <c r="AA17" s="45">
        <f t="shared" si="18"/>
        <v>0</v>
      </c>
      <c r="AB17" s="49">
        <v>8.2852999999999994</v>
      </c>
      <c r="AC17" s="43">
        <f t="shared" si="19"/>
        <v>-0.20000000000130999</v>
      </c>
      <c r="AD17" s="44">
        <f t="shared" si="20"/>
        <v>-2.2000000000002</v>
      </c>
      <c r="AE17" s="45">
        <f t="shared" si="21"/>
        <v>-0.20000000000130999</v>
      </c>
      <c r="AF17" s="50">
        <v>79171</v>
      </c>
      <c r="AG17" s="58">
        <f t="shared" si="22"/>
        <v>23</v>
      </c>
      <c r="AH17" s="61"/>
      <c r="AI17" s="52"/>
      <c r="AJ17" s="52"/>
      <c r="AK17" s="52"/>
      <c r="AL17" s="52"/>
      <c r="AM17" s="52"/>
    </row>
    <row r="18" spans="1:39">
      <c r="A18" s="21">
        <v>44506</v>
      </c>
      <c r="B18" s="22">
        <v>789.95809999999994</v>
      </c>
      <c r="C18" s="27">
        <v>6.0152000000000001</v>
      </c>
      <c r="D18" s="23">
        <f t="shared" si="0"/>
        <v>795.97329999999999</v>
      </c>
      <c r="E18" s="24">
        <f t="shared" si="4"/>
        <v>-0.199999999949796</v>
      </c>
      <c r="F18" s="25">
        <f t="shared" si="5"/>
        <v>-2.1999999999024999</v>
      </c>
      <c r="G18" s="26">
        <f t="shared" si="6"/>
        <v>-0.199999999949796</v>
      </c>
      <c r="H18" s="6">
        <v>6.8552999999999997</v>
      </c>
      <c r="I18" s="35">
        <f t="shared" si="1"/>
        <v>796.8134</v>
      </c>
      <c r="J18" s="24">
        <f t="shared" si="7"/>
        <v>-0.89999999988776802</v>
      </c>
      <c r="K18" s="25">
        <f t="shared" si="8"/>
        <v>-2.2999999999910901</v>
      </c>
      <c r="L18" s="26">
        <f t="shared" si="9"/>
        <v>-0.89999999988776802</v>
      </c>
      <c r="M18" s="6">
        <v>5.4852999999999996</v>
      </c>
      <c r="N18" s="35">
        <f t="shared" si="2"/>
        <v>795.4434</v>
      </c>
      <c r="O18" s="24">
        <f t="shared" si="10"/>
        <v>-0.90000000000145497</v>
      </c>
      <c r="P18" s="25">
        <f t="shared" si="11"/>
        <v>-2.5999999999157799</v>
      </c>
      <c r="Q18" s="26">
        <f t="shared" si="12"/>
        <v>-0.90000000000145497</v>
      </c>
      <c r="R18" s="41"/>
      <c r="S18" s="21">
        <f t="shared" si="3"/>
        <v>44506</v>
      </c>
      <c r="T18" s="42">
        <v>9.1235999999999997</v>
      </c>
      <c r="U18" s="43">
        <f t="shared" si="13"/>
        <v>-9.99999999997669E-2</v>
      </c>
      <c r="V18" s="44">
        <f t="shared" si="14"/>
        <v>-2.2999999999999701</v>
      </c>
      <c r="W18" s="45">
        <f t="shared" si="15"/>
        <v>9.99999999997669E-2</v>
      </c>
      <c r="X18" s="29">
        <v>11.9163</v>
      </c>
      <c r="Y18" s="43">
        <f t="shared" si="16"/>
        <v>-0.19999999999953399</v>
      </c>
      <c r="Z18" s="44">
        <f t="shared" si="17"/>
        <v>-2.10000000000043</v>
      </c>
      <c r="AA18" s="45">
        <f t="shared" si="18"/>
        <v>-0.19999999999953399</v>
      </c>
      <c r="AB18" s="49">
        <v>8.2859999999999996</v>
      </c>
      <c r="AC18" s="43">
        <f t="shared" si="19"/>
        <v>0.70000000000014495</v>
      </c>
      <c r="AD18" s="44">
        <f t="shared" si="20"/>
        <v>-1.50000000000006</v>
      </c>
      <c r="AE18" s="45">
        <f t="shared" si="21"/>
        <v>0.70000000000014495</v>
      </c>
      <c r="AF18" s="50">
        <v>79174</v>
      </c>
      <c r="AG18" s="58">
        <f t="shared" si="22"/>
        <v>26</v>
      </c>
      <c r="AH18" s="61"/>
      <c r="AI18" s="52"/>
      <c r="AJ18" s="52"/>
      <c r="AK18" s="52"/>
      <c r="AL18" s="52"/>
      <c r="AM18" s="52"/>
    </row>
    <row r="19" spans="1:39">
      <c r="A19" s="21">
        <v>44507</v>
      </c>
      <c r="B19" s="22">
        <v>789.95809999999994</v>
      </c>
      <c r="C19" s="27">
        <v>6.016</v>
      </c>
      <c r="D19" s="23">
        <f t="shared" si="0"/>
        <v>795.97410000000002</v>
      </c>
      <c r="E19" s="24">
        <f t="shared" si="4"/>
        <v>0.79999999991286996</v>
      </c>
      <c r="F19" s="25">
        <f t="shared" si="5"/>
        <v>-1.39999999998963</v>
      </c>
      <c r="G19" s="26">
        <f t="shared" si="6"/>
        <v>0.79999999991286996</v>
      </c>
      <c r="H19" s="6">
        <v>6.8551000000000002</v>
      </c>
      <c r="I19" s="35">
        <f t="shared" si="1"/>
        <v>796.81320000000005</v>
      </c>
      <c r="J19" s="24">
        <f t="shared" si="7"/>
        <v>-0.20000000006348301</v>
      </c>
      <c r="K19" s="25">
        <f t="shared" si="8"/>
        <v>-2.5000000000545701</v>
      </c>
      <c r="L19" s="26">
        <f t="shared" si="9"/>
        <v>-0.20000000006348301</v>
      </c>
      <c r="M19" s="6">
        <v>5.4851000000000001</v>
      </c>
      <c r="N19" s="35">
        <f t="shared" si="2"/>
        <v>795.44320000000005</v>
      </c>
      <c r="O19" s="24">
        <f t="shared" si="10"/>
        <v>-0.20000000006348301</v>
      </c>
      <c r="P19" s="25">
        <f t="shared" si="11"/>
        <v>-2.79999999997926</v>
      </c>
      <c r="Q19" s="26">
        <f t="shared" si="12"/>
        <v>-0.20000000006348301</v>
      </c>
      <c r="R19" s="41"/>
      <c r="S19" s="21">
        <f t="shared" si="3"/>
        <v>44507</v>
      </c>
      <c r="T19" s="42">
        <v>9.1234999999999999</v>
      </c>
      <c r="U19" s="43">
        <f t="shared" si="13"/>
        <v>-9.99999999997669E-2</v>
      </c>
      <c r="V19" s="44">
        <f t="shared" si="14"/>
        <v>-2.3999999999997401</v>
      </c>
      <c r="W19" s="45">
        <f t="shared" si="15"/>
        <v>9.99999999997669E-2</v>
      </c>
      <c r="X19" s="29">
        <v>11.916399999999999</v>
      </c>
      <c r="Y19" s="43">
        <f t="shared" si="16"/>
        <v>9.99999999997669E-2</v>
      </c>
      <c r="Z19" s="44">
        <f t="shared" si="17"/>
        <v>-2.0000000000006701</v>
      </c>
      <c r="AA19" s="45">
        <f t="shared" si="18"/>
        <v>9.99999999997669E-2</v>
      </c>
      <c r="AB19" s="49">
        <v>8.2849000000000093</v>
      </c>
      <c r="AC19" s="43">
        <f t="shared" si="19"/>
        <v>-1.09999999999033</v>
      </c>
      <c r="AD19" s="44">
        <f t="shared" si="20"/>
        <v>-2.59999999999039</v>
      </c>
      <c r="AE19" s="45">
        <f t="shared" si="21"/>
        <v>-1.09999999999033</v>
      </c>
      <c r="AF19" s="50">
        <v>79177</v>
      </c>
      <c r="AG19" s="58">
        <f t="shared" si="22"/>
        <v>29</v>
      </c>
      <c r="AH19" s="61"/>
      <c r="AI19" s="52"/>
      <c r="AJ19" s="52"/>
      <c r="AK19" s="52"/>
      <c r="AL19" s="52"/>
      <c r="AM19" s="52"/>
    </row>
    <row r="20" spans="1:39">
      <c r="A20" s="21">
        <v>44508</v>
      </c>
      <c r="B20" s="22">
        <v>789.95809999999994</v>
      </c>
      <c r="C20" s="27">
        <v>6.0148000000000001</v>
      </c>
      <c r="D20" s="23">
        <f t="shared" si="0"/>
        <v>795.97289999999998</v>
      </c>
      <c r="E20" s="24">
        <f t="shared" si="4"/>
        <v>-1.1999999999261499</v>
      </c>
      <c r="F20" s="25">
        <f t="shared" si="5"/>
        <v>-2.5999999999157799</v>
      </c>
      <c r="G20" s="26">
        <f t="shared" si="6"/>
        <v>-1.1999999999261499</v>
      </c>
      <c r="H20" s="6">
        <v>6.8555999999999999</v>
      </c>
      <c r="I20" s="35">
        <f t="shared" si="1"/>
        <v>796.81370000000004</v>
      </c>
      <c r="J20" s="24">
        <f t="shared" si="7"/>
        <v>0.49999999998817701</v>
      </c>
      <c r="K20" s="25">
        <f t="shared" si="8"/>
        <v>-2.00000000006639</v>
      </c>
      <c r="L20" s="26">
        <f t="shared" si="9"/>
        <v>0.49999999998817701</v>
      </c>
      <c r="M20" s="6">
        <v>5.4859999999999998</v>
      </c>
      <c r="N20" s="35">
        <f t="shared" si="2"/>
        <v>795.44410000000005</v>
      </c>
      <c r="O20" s="24">
        <f t="shared" si="10"/>
        <v>0.90000000000145497</v>
      </c>
      <c r="P20" s="25">
        <f t="shared" si="11"/>
        <v>-1.8999999999778101</v>
      </c>
      <c r="Q20" s="26">
        <f t="shared" si="12"/>
        <v>0.90000000000145497</v>
      </c>
      <c r="R20" s="41"/>
      <c r="S20" s="21">
        <f t="shared" si="3"/>
        <v>44508</v>
      </c>
      <c r="T20" s="42">
        <v>9.1231000000000098</v>
      </c>
      <c r="U20" s="43">
        <f t="shared" si="13"/>
        <v>-0.39999999999018598</v>
      </c>
      <c r="V20" s="44">
        <f t="shared" si="14"/>
        <v>-2.7999999999899199</v>
      </c>
      <c r="W20" s="45">
        <f t="shared" si="15"/>
        <v>0.39999999999018598</v>
      </c>
      <c r="X20" s="29">
        <v>11.915900000000001</v>
      </c>
      <c r="Y20" s="43">
        <f t="shared" si="16"/>
        <v>-0.49999999999883499</v>
      </c>
      <c r="Z20" s="44">
        <f t="shared" si="17"/>
        <v>-2.4999999999995</v>
      </c>
      <c r="AA20" s="45">
        <f t="shared" si="18"/>
        <v>-0.49999999999883499</v>
      </c>
      <c r="AB20" s="49">
        <v>8.2847000000000097</v>
      </c>
      <c r="AC20" s="43">
        <f t="shared" si="19"/>
        <v>-0.19999999999953399</v>
      </c>
      <c r="AD20" s="44">
        <f t="shared" si="20"/>
        <v>-2.7999999999899199</v>
      </c>
      <c r="AE20" s="45">
        <f t="shared" si="21"/>
        <v>-0.19999999999953399</v>
      </c>
      <c r="AF20" s="50">
        <v>79180</v>
      </c>
      <c r="AG20" s="58">
        <f t="shared" si="22"/>
        <v>32</v>
      </c>
      <c r="AH20" s="61"/>
      <c r="AI20" s="52"/>
      <c r="AJ20" s="52"/>
      <c r="AK20" s="52"/>
      <c r="AL20" s="52"/>
      <c r="AM20" s="52"/>
    </row>
    <row r="21" spans="1:39">
      <c r="A21" s="21">
        <v>44510</v>
      </c>
      <c r="B21" s="22">
        <v>789.95809999999994</v>
      </c>
      <c r="C21" s="27">
        <v>6.0147000000000004</v>
      </c>
      <c r="D21" s="23">
        <f t="shared" si="0"/>
        <v>795.97280000000001</v>
      </c>
      <c r="E21" s="24">
        <f t="shared" si="4"/>
        <v>-0.10000000008858501</v>
      </c>
      <c r="F21" s="25">
        <f t="shared" si="5"/>
        <v>-2.70000000000437</v>
      </c>
      <c r="G21" s="26">
        <f t="shared" si="6"/>
        <v>-5.0000000044292399E-2</v>
      </c>
      <c r="H21" s="6">
        <v>6.8547000000000002</v>
      </c>
      <c r="I21" s="35">
        <f t="shared" si="1"/>
        <v>796.81280000000004</v>
      </c>
      <c r="J21" s="24">
        <f t="shared" si="7"/>
        <v>-0.90000000000145497</v>
      </c>
      <c r="K21" s="25">
        <f t="shared" si="8"/>
        <v>-2.9000000000678501</v>
      </c>
      <c r="L21" s="26">
        <f t="shared" si="9"/>
        <v>-0.45000000000072798</v>
      </c>
      <c r="M21" s="6">
        <v>5.4846999999999904</v>
      </c>
      <c r="N21" s="35">
        <f t="shared" si="2"/>
        <v>795.44280000000003</v>
      </c>
      <c r="O21" s="24">
        <f t="shared" si="10"/>
        <v>-1.30000000001473</v>
      </c>
      <c r="P21" s="25">
        <f t="shared" si="11"/>
        <v>-3.1999999999925399</v>
      </c>
      <c r="Q21" s="26">
        <f t="shared" si="12"/>
        <v>-0.65000000000736702</v>
      </c>
      <c r="R21" s="41"/>
      <c r="S21" s="21">
        <f t="shared" si="3"/>
        <v>44510</v>
      </c>
      <c r="T21" s="42">
        <v>9.1229000000000102</v>
      </c>
      <c r="U21" s="43">
        <f t="shared" si="13"/>
        <v>-0.19999999999953399</v>
      </c>
      <c r="V21" s="44">
        <f t="shared" si="14"/>
        <v>-2.99999999998946</v>
      </c>
      <c r="W21" s="45">
        <f t="shared" si="15"/>
        <v>9.99999999997669E-2</v>
      </c>
      <c r="X21" s="29">
        <v>11.915699999999999</v>
      </c>
      <c r="Y21" s="43">
        <f t="shared" si="16"/>
        <v>-0.20000000000130999</v>
      </c>
      <c r="Z21" s="44">
        <f t="shared" si="17"/>
        <v>-2.7000000000008102</v>
      </c>
      <c r="AA21" s="45">
        <f t="shared" si="18"/>
        <v>-0.100000000000655</v>
      </c>
      <c r="AB21" s="49">
        <v>8.2849000000000004</v>
      </c>
      <c r="AC21" s="43">
        <f t="shared" si="19"/>
        <v>0.19999999999065199</v>
      </c>
      <c r="AD21" s="44">
        <f t="shared" si="20"/>
        <v>-2.59999999999927</v>
      </c>
      <c r="AE21" s="45">
        <f t="shared" si="21"/>
        <v>9.9999999995325994E-2</v>
      </c>
      <c r="AF21" s="50">
        <v>79183</v>
      </c>
      <c r="AG21" s="58">
        <f t="shared" si="22"/>
        <v>35</v>
      </c>
      <c r="AH21" s="61"/>
      <c r="AI21" s="52"/>
      <c r="AJ21" s="52"/>
      <c r="AK21" s="52"/>
      <c r="AL21" s="52"/>
      <c r="AM21" s="52"/>
    </row>
    <row r="22" spans="1:39">
      <c r="A22" s="21">
        <v>44512</v>
      </c>
      <c r="B22" s="22">
        <v>789.95809999999994</v>
      </c>
      <c r="C22" s="27">
        <v>6.0143999999999904</v>
      </c>
      <c r="D22" s="23">
        <f t="shared" si="0"/>
        <v>795.97249999999997</v>
      </c>
      <c r="E22" s="24">
        <f t="shared" si="4"/>
        <v>-0.29999999992469401</v>
      </c>
      <c r="F22" s="25">
        <f t="shared" si="5"/>
        <v>-2.9999999999290599</v>
      </c>
      <c r="G22" s="26">
        <f t="shared" si="6"/>
        <v>-0.149999999962347</v>
      </c>
      <c r="H22" s="6">
        <v>6.8544999999999998</v>
      </c>
      <c r="I22" s="35">
        <f t="shared" si="1"/>
        <v>796.81259999999997</v>
      </c>
      <c r="J22" s="24">
        <f t="shared" si="7"/>
        <v>-0.199999999949796</v>
      </c>
      <c r="K22" s="25">
        <f t="shared" si="8"/>
        <v>-3.1000000000176402</v>
      </c>
      <c r="L22" s="26">
        <f t="shared" si="9"/>
        <v>-9.9999999974897905E-2</v>
      </c>
      <c r="M22" s="6">
        <v>5.4844999999999899</v>
      </c>
      <c r="N22" s="35">
        <f t="shared" si="2"/>
        <v>795.44259999999997</v>
      </c>
      <c r="O22" s="24">
        <f t="shared" si="10"/>
        <v>-0.199999999949796</v>
      </c>
      <c r="P22" s="25">
        <f t="shared" si="11"/>
        <v>-3.3999999999423398</v>
      </c>
      <c r="Q22" s="26">
        <f t="shared" si="12"/>
        <v>-9.9999999974897905E-2</v>
      </c>
      <c r="R22" s="41"/>
      <c r="S22" s="21">
        <f t="shared" si="3"/>
        <v>44512</v>
      </c>
      <c r="T22" s="42">
        <v>9.1227999999999998</v>
      </c>
      <c r="U22" s="43">
        <f t="shared" si="13"/>
        <v>-0.100000000010425</v>
      </c>
      <c r="V22" s="44">
        <f t="shared" si="14"/>
        <v>-3.0999999999998802</v>
      </c>
      <c r="W22" s="45">
        <f t="shared" si="15"/>
        <v>5.00000000052125E-2</v>
      </c>
      <c r="X22" s="29">
        <v>11.915800000000001</v>
      </c>
      <c r="Y22" s="43">
        <f t="shared" si="16"/>
        <v>0.10000000000154299</v>
      </c>
      <c r="Z22" s="44">
        <f t="shared" si="17"/>
        <v>-2.59999999999927</v>
      </c>
      <c r="AA22" s="45">
        <f t="shared" si="18"/>
        <v>5.0000000000771601E-2</v>
      </c>
      <c r="AB22" s="49">
        <v>8.2843000000000107</v>
      </c>
      <c r="AC22" s="43">
        <f t="shared" si="19"/>
        <v>-0.59999999998971998</v>
      </c>
      <c r="AD22" s="44">
        <f t="shared" si="20"/>
        <v>-3.1999999999889899</v>
      </c>
      <c r="AE22" s="45">
        <f t="shared" si="21"/>
        <v>-0.29999999999485999</v>
      </c>
      <c r="AF22" s="50">
        <v>79186</v>
      </c>
      <c r="AG22" s="58">
        <f t="shared" si="22"/>
        <v>38</v>
      </c>
      <c r="AH22" s="61"/>
      <c r="AI22" s="52"/>
      <c r="AJ22" s="52"/>
      <c r="AK22" s="52"/>
      <c r="AL22" s="52"/>
      <c r="AM22" s="52"/>
    </row>
    <row r="23" spans="1:39">
      <c r="A23" s="21">
        <v>44514</v>
      </c>
      <c r="B23" s="22">
        <v>789.95809999999994</v>
      </c>
      <c r="C23" s="27">
        <v>6.01419999999999</v>
      </c>
      <c r="D23" s="23">
        <f t="shared" si="0"/>
        <v>795.97230000000002</v>
      </c>
      <c r="E23" s="24">
        <f t="shared" si="4"/>
        <v>-0.20000000006348301</v>
      </c>
      <c r="F23" s="25">
        <f t="shared" si="5"/>
        <v>-3.1999999999925399</v>
      </c>
      <c r="G23" s="26">
        <f t="shared" si="6"/>
        <v>-0.100000000031741</v>
      </c>
      <c r="H23" s="6">
        <v>6.8548</v>
      </c>
      <c r="I23" s="35">
        <f t="shared" si="1"/>
        <v>796.81290000000001</v>
      </c>
      <c r="J23" s="24">
        <f t="shared" si="7"/>
        <v>0.29999999992469401</v>
      </c>
      <c r="K23" s="25">
        <f t="shared" si="8"/>
        <v>-2.8000000000929499</v>
      </c>
      <c r="L23" s="26">
        <f t="shared" si="9"/>
        <v>0.149999999962347</v>
      </c>
      <c r="M23" s="6">
        <v>5.4851999999999999</v>
      </c>
      <c r="N23" s="35">
        <f t="shared" si="2"/>
        <v>795.44330000000002</v>
      </c>
      <c r="O23" s="24">
        <f t="shared" si="10"/>
        <v>0.69999999993797202</v>
      </c>
      <c r="P23" s="25">
        <f t="shared" si="11"/>
        <v>-2.70000000000437</v>
      </c>
      <c r="Q23" s="26">
        <f t="shared" si="12"/>
        <v>0.34999999996898601</v>
      </c>
      <c r="S23" s="21">
        <f t="shared" si="3"/>
        <v>44514</v>
      </c>
      <c r="T23" s="42">
        <v>9.1225000000000094</v>
      </c>
      <c r="U23" s="43">
        <f t="shared" si="13"/>
        <v>-0.29999999999041899</v>
      </c>
      <c r="V23" s="44">
        <f t="shared" si="14"/>
        <v>-3.3999999999903001</v>
      </c>
      <c r="W23" s="45">
        <f t="shared" si="15"/>
        <v>0.14999999999520999</v>
      </c>
      <c r="X23" s="29">
        <v>11.9153</v>
      </c>
      <c r="Y23" s="43">
        <f t="shared" si="16"/>
        <v>-0.50000000000061096</v>
      </c>
      <c r="Z23" s="44">
        <f t="shared" si="17"/>
        <v>-3.0999999999998802</v>
      </c>
      <c r="AA23" s="45">
        <f t="shared" si="18"/>
        <v>-0.25000000000030598</v>
      </c>
      <c r="AB23" s="49">
        <v>8.2841000000000093</v>
      </c>
      <c r="AC23" s="43">
        <f t="shared" si="19"/>
        <v>-0.20000000000130999</v>
      </c>
      <c r="AD23" s="44">
        <f t="shared" si="20"/>
        <v>-3.3999999999903001</v>
      </c>
      <c r="AE23" s="45">
        <f t="shared" si="21"/>
        <v>-0.100000000000655</v>
      </c>
      <c r="AF23" s="50">
        <v>79189</v>
      </c>
      <c r="AG23" s="58">
        <f t="shared" si="22"/>
        <v>41</v>
      </c>
      <c r="AH23" s="61"/>
      <c r="AI23" s="52"/>
      <c r="AJ23" s="52"/>
      <c r="AK23" s="52"/>
      <c r="AL23" s="52"/>
      <c r="AM23" s="52"/>
    </row>
    <row r="24" spans="1:39">
      <c r="A24" s="21">
        <v>44516</v>
      </c>
      <c r="B24" s="22">
        <v>789.95809999999994</v>
      </c>
      <c r="C24" s="27">
        <v>6.0143000000000004</v>
      </c>
      <c r="D24" s="23">
        <f t="shared" si="0"/>
        <v>795.97239999999999</v>
      </c>
      <c r="E24" s="24">
        <f t="shared" si="4"/>
        <v>0.10000000008858501</v>
      </c>
      <c r="F24" s="25">
        <f t="shared" si="5"/>
        <v>-3.09999999990396</v>
      </c>
      <c r="G24" s="26">
        <f t="shared" si="6"/>
        <v>5.0000000044292399E-2</v>
      </c>
      <c r="H24" s="6">
        <v>6.8547000000000002</v>
      </c>
      <c r="I24" s="35">
        <f t="shared" si="1"/>
        <v>796.81280000000004</v>
      </c>
      <c r="J24" s="24">
        <f t="shared" si="7"/>
        <v>-9.9999999974897905E-2</v>
      </c>
      <c r="K24" s="25">
        <f t="shared" si="8"/>
        <v>-2.9000000000678501</v>
      </c>
      <c r="L24" s="26">
        <f t="shared" si="9"/>
        <v>-4.9999999987449001E-2</v>
      </c>
      <c r="M24" s="6">
        <v>5.4850000000000003</v>
      </c>
      <c r="N24" s="35">
        <f t="shared" si="2"/>
        <v>795.44309999999996</v>
      </c>
      <c r="O24" s="24">
        <f t="shared" si="10"/>
        <v>-0.199999999949796</v>
      </c>
      <c r="P24" s="25">
        <f t="shared" si="11"/>
        <v>-2.8999999999541601</v>
      </c>
      <c r="Q24" s="26">
        <f t="shared" si="12"/>
        <v>-9.9999999974897905E-2</v>
      </c>
      <c r="S24" s="21">
        <f t="shared" si="3"/>
        <v>44516</v>
      </c>
      <c r="T24" s="42">
        <v>9.1223000000000098</v>
      </c>
      <c r="U24" s="43">
        <f t="shared" si="13"/>
        <v>-0.19999999999953399</v>
      </c>
      <c r="V24" s="44">
        <f t="shared" si="14"/>
        <v>-3.59999999998983</v>
      </c>
      <c r="W24" s="45">
        <f t="shared" si="15"/>
        <v>9.99999999997669E-2</v>
      </c>
      <c r="X24" s="29">
        <v>11.915100000000001</v>
      </c>
      <c r="Y24" s="43">
        <f t="shared" si="16"/>
        <v>-0.19999999999953399</v>
      </c>
      <c r="Z24" s="44">
        <f t="shared" si="17"/>
        <v>-3.2999999999994101</v>
      </c>
      <c r="AA24" s="45">
        <f t="shared" si="18"/>
        <v>-9.99999999997669E-2</v>
      </c>
      <c r="AB24" s="49">
        <v>8.2843</v>
      </c>
      <c r="AC24" s="43">
        <f t="shared" si="19"/>
        <v>0.19999999999065199</v>
      </c>
      <c r="AD24" s="44">
        <f t="shared" si="20"/>
        <v>-3.1999999999996498</v>
      </c>
      <c r="AE24" s="45">
        <f t="shared" si="21"/>
        <v>9.9999999995325994E-2</v>
      </c>
      <c r="AF24" s="50">
        <v>79192</v>
      </c>
      <c r="AG24" s="58">
        <f t="shared" si="22"/>
        <v>44</v>
      </c>
      <c r="AH24" s="61"/>
      <c r="AI24" s="52"/>
      <c r="AJ24" s="52"/>
      <c r="AK24" s="52"/>
      <c r="AL24" s="52"/>
      <c r="AM24" s="52"/>
    </row>
    <row r="25" spans="1:39">
      <c r="A25" s="21">
        <v>44518</v>
      </c>
      <c r="B25" s="22">
        <v>789.95809999999994</v>
      </c>
      <c r="C25" s="27">
        <v>6.0141999999999998</v>
      </c>
      <c r="D25" s="23">
        <f t="shared" si="0"/>
        <v>795.97230000000002</v>
      </c>
      <c r="E25" s="24">
        <f t="shared" si="4"/>
        <v>-0.10000000008858501</v>
      </c>
      <c r="F25" s="25">
        <f t="shared" si="5"/>
        <v>-3.1999999999925399</v>
      </c>
      <c r="G25" s="26">
        <f t="shared" si="6"/>
        <v>-5.0000000044292399E-2</v>
      </c>
      <c r="H25" s="6">
        <v>6.8552</v>
      </c>
      <c r="I25" s="35">
        <f t="shared" si="1"/>
        <v>796.81330000000003</v>
      </c>
      <c r="J25" s="24">
        <f t="shared" si="7"/>
        <v>0.49999999998817701</v>
      </c>
      <c r="K25" s="25">
        <f t="shared" si="8"/>
        <v>-2.40000000007967</v>
      </c>
      <c r="L25" s="26">
        <f t="shared" si="9"/>
        <v>0.24999999999408801</v>
      </c>
      <c r="M25" s="6">
        <v>5.4851000000000001</v>
      </c>
      <c r="N25" s="35">
        <f t="shared" si="2"/>
        <v>795.44320000000005</v>
      </c>
      <c r="O25" s="24">
        <f t="shared" si="10"/>
        <v>9.9999999974897905E-2</v>
      </c>
      <c r="P25" s="25">
        <f t="shared" si="11"/>
        <v>-2.79999999997926</v>
      </c>
      <c r="Q25" s="26">
        <f t="shared" si="12"/>
        <v>4.9999999987449001E-2</v>
      </c>
      <c r="R25" s="41"/>
      <c r="S25" s="21">
        <f t="shared" si="3"/>
        <v>44518</v>
      </c>
      <c r="T25" s="42">
        <v>9.1219999999999999</v>
      </c>
      <c r="U25" s="43">
        <f t="shared" si="13"/>
        <v>-0.30000000000995902</v>
      </c>
      <c r="V25" s="44">
        <f t="shared" si="14"/>
        <v>-3.8999999999997899</v>
      </c>
      <c r="W25" s="45">
        <f t="shared" si="15"/>
        <v>0.15000000000497901</v>
      </c>
      <c r="X25" s="29">
        <v>11.9152</v>
      </c>
      <c r="Y25" s="43">
        <f t="shared" si="16"/>
        <v>9.99999999997669E-2</v>
      </c>
      <c r="Z25" s="44">
        <f t="shared" si="17"/>
        <v>-3.1999999999996498</v>
      </c>
      <c r="AA25" s="45">
        <f t="shared" si="18"/>
        <v>4.9999999999883499E-2</v>
      </c>
      <c r="AB25" s="49">
        <v>8.2847000000000008</v>
      </c>
      <c r="AC25" s="43">
        <f t="shared" si="19"/>
        <v>0.40000000000084401</v>
      </c>
      <c r="AD25" s="44">
        <f t="shared" si="20"/>
        <v>-2.7999999999987999</v>
      </c>
      <c r="AE25" s="45">
        <f t="shared" si="21"/>
        <v>0.20000000000042201</v>
      </c>
      <c r="AF25" s="50">
        <v>79198</v>
      </c>
      <c r="AG25" s="58">
        <f t="shared" si="22"/>
        <v>50</v>
      </c>
      <c r="AH25" s="61"/>
      <c r="AI25" s="52"/>
      <c r="AJ25" s="52"/>
      <c r="AK25" s="52"/>
      <c r="AL25" s="52"/>
      <c r="AM25" s="52"/>
    </row>
    <row r="26" spans="1:39">
      <c r="A26" s="21">
        <v>44520</v>
      </c>
      <c r="B26" s="22">
        <v>789.95809999999994</v>
      </c>
      <c r="C26" s="27">
        <v>6.0145</v>
      </c>
      <c r="D26" s="23">
        <f t="shared" si="0"/>
        <v>795.97260000000006</v>
      </c>
      <c r="E26" s="24">
        <f t="shared" si="4"/>
        <v>0.30000000003838101</v>
      </c>
      <c r="F26" s="25">
        <f t="shared" si="5"/>
        <v>-2.8999999999541601</v>
      </c>
      <c r="G26" s="26">
        <f t="shared" si="6"/>
        <v>0.15000000001919001</v>
      </c>
      <c r="H26" s="6">
        <v>6.8550000000000004</v>
      </c>
      <c r="I26" s="35">
        <f t="shared" si="1"/>
        <v>796.81309999999996</v>
      </c>
      <c r="J26" s="24">
        <f t="shared" si="7"/>
        <v>-0.199999999949796</v>
      </c>
      <c r="K26" s="25">
        <f t="shared" si="8"/>
        <v>-2.6000000000294698</v>
      </c>
      <c r="L26" s="26">
        <f t="shared" si="9"/>
        <v>-9.9999999974897905E-2</v>
      </c>
      <c r="M26" s="6">
        <v>5.4852999999999996</v>
      </c>
      <c r="N26" s="35">
        <f t="shared" si="2"/>
        <v>795.4434</v>
      </c>
      <c r="O26" s="24">
        <f t="shared" si="10"/>
        <v>0.20000000006348301</v>
      </c>
      <c r="P26" s="25">
        <f t="shared" si="11"/>
        <v>-2.5999999999157799</v>
      </c>
      <c r="Q26" s="26">
        <f t="shared" si="12"/>
        <v>0.100000000031741</v>
      </c>
      <c r="R26" s="41"/>
      <c r="S26" s="21">
        <f t="shared" si="3"/>
        <v>44520</v>
      </c>
      <c r="T26" s="42">
        <v>9.1224000000000007</v>
      </c>
      <c r="U26" s="43">
        <f t="shared" si="13"/>
        <v>0.40000000000084401</v>
      </c>
      <c r="V26" s="44">
        <f t="shared" si="14"/>
        <v>-3.4999999999989502</v>
      </c>
      <c r="W26" s="45">
        <f t="shared" si="15"/>
        <v>-0.20000000000042201</v>
      </c>
      <c r="X26" s="29">
        <v>11.9153</v>
      </c>
      <c r="Y26" s="43">
        <f t="shared" si="16"/>
        <v>9.99999999997669E-2</v>
      </c>
      <c r="Z26" s="44">
        <f t="shared" si="17"/>
        <v>-3.0999999999998802</v>
      </c>
      <c r="AA26" s="45">
        <f t="shared" si="18"/>
        <v>4.9999999999883499E-2</v>
      </c>
      <c r="AB26" s="49">
        <v>8.2848000000000006</v>
      </c>
      <c r="AC26" s="43">
        <f t="shared" si="19"/>
        <v>9.99999999997669E-2</v>
      </c>
      <c r="AD26" s="44">
        <f t="shared" si="20"/>
        <v>-2.6999999999990401</v>
      </c>
      <c r="AE26" s="45">
        <f t="shared" si="21"/>
        <v>4.9999999999883499E-2</v>
      </c>
      <c r="AF26" s="50">
        <v>79208</v>
      </c>
      <c r="AG26" s="58">
        <f t="shared" si="22"/>
        <v>60</v>
      </c>
      <c r="AH26" s="61"/>
      <c r="AI26" s="60"/>
      <c r="AJ26" s="61"/>
      <c r="AK26" s="62"/>
      <c r="AL26" s="60"/>
      <c r="AM26" s="64"/>
    </row>
    <row r="27" spans="1:39">
      <c r="A27" s="21">
        <v>44525</v>
      </c>
      <c r="B27" s="22">
        <v>789.95809999999994</v>
      </c>
      <c r="C27" s="27">
        <v>6.0148000000000001</v>
      </c>
      <c r="D27" s="23">
        <f t="shared" si="0"/>
        <v>795.97289999999998</v>
      </c>
      <c r="E27" s="24">
        <f t="shared" si="4"/>
        <v>0.30000000003838101</v>
      </c>
      <c r="F27" s="25">
        <f t="shared" si="5"/>
        <v>-2.5999999999157799</v>
      </c>
      <c r="G27" s="26">
        <f t="shared" si="6"/>
        <v>6.0000000007676101E-2</v>
      </c>
      <c r="H27" s="6">
        <v>6.8548</v>
      </c>
      <c r="I27" s="35">
        <f t="shared" si="1"/>
        <v>796.81290000000001</v>
      </c>
      <c r="J27" s="24">
        <f t="shared" si="7"/>
        <v>-0.20000000006348301</v>
      </c>
      <c r="K27" s="25">
        <f t="shared" si="8"/>
        <v>-2.8000000000929499</v>
      </c>
      <c r="L27" s="26">
        <f t="shared" si="9"/>
        <v>-4.0000000012696497E-2</v>
      </c>
      <c r="M27" s="6">
        <v>5.4855</v>
      </c>
      <c r="N27" s="35">
        <f t="shared" si="2"/>
        <v>795.44359999999995</v>
      </c>
      <c r="O27" s="24">
        <f t="shared" si="10"/>
        <v>0.199999999949796</v>
      </c>
      <c r="P27" s="25">
        <f t="shared" si="11"/>
        <v>-2.39999999996598</v>
      </c>
      <c r="Q27" s="26">
        <f t="shared" si="12"/>
        <v>3.9999999989959199E-2</v>
      </c>
      <c r="R27" s="41"/>
      <c r="S27" s="21">
        <f t="shared" si="3"/>
        <v>44525</v>
      </c>
      <c r="T27" s="42">
        <v>9.1227999999999998</v>
      </c>
      <c r="U27" s="43">
        <f t="shared" si="13"/>
        <v>0.39999999999906799</v>
      </c>
      <c r="V27" s="44">
        <f t="shared" si="14"/>
        <v>-3.0999999999998802</v>
      </c>
      <c r="W27" s="45">
        <f t="shared" si="15"/>
        <v>-7.9999999999813595E-2</v>
      </c>
      <c r="X27" s="29">
        <v>11.9152</v>
      </c>
      <c r="Y27" s="43">
        <f t="shared" si="16"/>
        <v>-9.99999999997669E-2</v>
      </c>
      <c r="Z27" s="44">
        <f t="shared" si="17"/>
        <v>-3.1999999999996498</v>
      </c>
      <c r="AA27" s="45">
        <f t="shared" si="18"/>
        <v>-1.9999999999953399E-2</v>
      </c>
      <c r="AB27" s="49">
        <v>8.2849000000000004</v>
      </c>
      <c r="AC27" s="43">
        <f t="shared" si="19"/>
        <v>9.99999999997669E-2</v>
      </c>
      <c r="AD27" s="44">
        <f t="shared" si="20"/>
        <v>-2.59999999999927</v>
      </c>
      <c r="AE27" s="45">
        <f t="shared" si="21"/>
        <v>1.9999999999953399E-2</v>
      </c>
      <c r="AF27" s="50">
        <v>79218</v>
      </c>
      <c r="AG27" s="58">
        <f t="shared" si="22"/>
        <v>70</v>
      </c>
      <c r="AH27" s="61"/>
      <c r="AI27" s="60"/>
      <c r="AJ27" s="61"/>
      <c r="AK27" s="62"/>
      <c r="AL27" s="60"/>
      <c r="AM27" s="64"/>
    </row>
    <row r="28" spans="1:39" s="70" customFormat="1">
      <c r="A28" s="21">
        <v>44530</v>
      </c>
      <c r="B28" s="22">
        <v>789.95809999999994</v>
      </c>
      <c r="C28" s="27">
        <v>6.0143000000000004</v>
      </c>
      <c r="D28" s="23">
        <f t="shared" si="0"/>
        <v>795.97239999999999</v>
      </c>
      <c r="E28" s="24">
        <f t="shared" si="4"/>
        <v>-0.49999999998817701</v>
      </c>
      <c r="F28" s="25">
        <f t="shared" si="5"/>
        <v>-3.09999999990396</v>
      </c>
      <c r="G28" s="26">
        <f t="shared" si="6"/>
        <v>-9.99999999976353E-2</v>
      </c>
      <c r="H28" s="6">
        <v>6.8545999999999996</v>
      </c>
      <c r="I28" s="35">
        <f t="shared" si="1"/>
        <v>796.81269999999995</v>
      </c>
      <c r="J28" s="24">
        <f t="shared" si="7"/>
        <v>-0.199999999949796</v>
      </c>
      <c r="K28" s="25">
        <f t="shared" si="8"/>
        <v>-3.0000000000427498</v>
      </c>
      <c r="L28" s="26">
        <f t="shared" si="9"/>
        <v>-3.9999999989959199E-2</v>
      </c>
      <c r="M28" s="6">
        <v>5.4851999999999999</v>
      </c>
      <c r="N28" s="35">
        <f t="shared" si="2"/>
        <v>795.44330000000002</v>
      </c>
      <c r="O28" s="24">
        <f t="shared" si="10"/>
        <v>-0.30000000003838101</v>
      </c>
      <c r="P28" s="25">
        <f t="shared" si="11"/>
        <v>-2.70000000000437</v>
      </c>
      <c r="Q28" s="26">
        <f t="shared" si="12"/>
        <v>-6.0000000007676101E-2</v>
      </c>
      <c r="R28" s="41"/>
      <c r="S28" s="21">
        <f t="shared" si="3"/>
        <v>44530</v>
      </c>
      <c r="T28" s="42">
        <v>9.1225000000000005</v>
      </c>
      <c r="U28" s="43">
        <f t="shared" si="13"/>
        <v>-0.29999999999930099</v>
      </c>
      <c r="V28" s="44">
        <f t="shared" si="14"/>
        <v>-3.3999999999991801</v>
      </c>
      <c r="W28" s="45">
        <f t="shared" si="15"/>
        <v>5.99999999998602E-2</v>
      </c>
      <c r="X28" s="29">
        <v>11.914999999999999</v>
      </c>
      <c r="Y28" s="43">
        <f t="shared" si="16"/>
        <v>-0.20000000000130999</v>
      </c>
      <c r="Z28" s="44">
        <f t="shared" si="17"/>
        <v>-3.40000000000096</v>
      </c>
      <c r="AA28" s="45">
        <f t="shared" si="18"/>
        <v>-4.0000000000262E-2</v>
      </c>
      <c r="AB28" s="49">
        <v>8.2843</v>
      </c>
      <c r="AC28" s="43">
        <f t="shared" si="19"/>
        <v>-0.60000000000037801</v>
      </c>
      <c r="AD28" s="44">
        <f t="shared" si="20"/>
        <v>-3.1999999999996498</v>
      </c>
      <c r="AE28" s="45">
        <f t="shared" si="21"/>
        <v>-0.120000000000076</v>
      </c>
      <c r="AF28" s="50">
        <v>79228</v>
      </c>
      <c r="AG28" s="58">
        <f t="shared" si="22"/>
        <v>80</v>
      </c>
      <c r="AH28" s="61"/>
      <c r="AI28" s="60"/>
    </row>
    <row r="29" spans="1:39">
      <c r="A29" s="21">
        <v>44535</v>
      </c>
      <c r="B29" s="22">
        <v>789.95809999999994</v>
      </c>
      <c r="C29" s="27">
        <v>6.0141999999999998</v>
      </c>
      <c r="D29" s="23">
        <f t="shared" si="0"/>
        <v>795.97230000000002</v>
      </c>
      <c r="E29" s="24">
        <f t="shared" si="4"/>
        <v>-0.10000000008858501</v>
      </c>
      <c r="F29" s="25">
        <f t="shared" si="5"/>
        <v>-3.1999999999925399</v>
      </c>
      <c r="G29" s="26">
        <f t="shared" si="6"/>
        <v>-2.0000000017716998E-2</v>
      </c>
      <c r="H29" s="6">
        <v>6.8548</v>
      </c>
      <c r="I29" s="35">
        <f t="shared" si="1"/>
        <v>796.81290000000001</v>
      </c>
      <c r="J29" s="24">
        <f t="shared" si="7"/>
        <v>0.199999999949796</v>
      </c>
      <c r="K29" s="25">
        <f t="shared" si="8"/>
        <v>-2.8000000000929499</v>
      </c>
      <c r="L29" s="26">
        <f t="shared" si="9"/>
        <v>3.9999999989959199E-2</v>
      </c>
      <c r="M29" s="6">
        <v>5.4859</v>
      </c>
      <c r="N29" s="35">
        <f t="shared" si="2"/>
        <v>795.44399999999996</v>
      </c>
      <c r="O29" s="24">
        <f t="shared" si="10"/>
        <v>0.70000000005165897</v>
      </c>
      <c r="P29" s="25">
        <f t="shared" si="11"/>
        <v>-1.9999999999527101</v>
      </c>
      <c r="Q29" s="26">
        <f t="shared" si="12"/>
        <v>0.140000000010332</v>
      </c>
      <c r="R29" s="41"/>
      <c r="S29" s="21">
        <f t="shared" si="3"/>
        <v>44535</v>
      </c>
      <c r="T29" s="42">
        <v>9.1226000000000003</v>
      </c>
      <c r="U29" s="43">
        <f t="shared" si="13"/>
        <v>9.99999999997669E-2</v>
      </c>
      <c r="V29" s="44">
        <f t="shared" si="14"/>
        <v>-3.2999999999994101</v>
      </c>
      <c r="W29" s="45">
        <f t="shared" si="15"/>
        <v>-1.9999999999953399E-2</v>
      </c>
      <c r="X29" s="29">
        <v>11.915100000000001</v>
      </c>
      <c r="Y29" s="43">
        <f t="shared" si="16"/>
        <v>0.10000000000154299</v>
      </c>
      <c r="Z29" s="44">
        <f t="shared" si="17"/>
        <v>-3.2999999999994101</v>
      </c>
      <c r="AA29" s="45">
        <f t="shared" si="18"/>
        <v>2.0000000000308701E-2</v>
      </c>
      <c r="AB29" s="49">
        <v>8.2840000000000007</v>
      </c>
      <c r="AC29" s="43">
        <f t="shared" si="19"/>
        <v>-0.29999999999930099</v>
      </c>
      <c r="AD29" s="44">
        <f t="shared" si="20"/>
        <v>-3.4999999999989502</v>
      </c>
      <c r="AE29" s="45">
        <f t="shared" si="21"/>
        <v>-5.99999999998602E-2</v>
      </c>
      <c r="AF29" s="50">
        <v>79238</v>
      </c>
      <c r="AG29" s="58">
        <f t="shared" si="22"/>
        <v>90</v>
      </c>
      <c r="AH29" s="61"/>
      <c r="AI29" s="60"/>
      <c r="AJ29" s="61"/>
      <c r="AK29" s="62"/>
      <c r="AL29" s="60"/>
      <c r="AM29" s="64"/>
    </row>
    <row r="30" spans="1:39">
      <c r="A30" s="21">
        <v>44540</v>
      </c>
      <c r="B30" s="22">
        <v>789.95809999999994</v>
      </c>
      <c r="C30" s="27">
        <v>6.0140000000000002</v>
      </c>
      <c r="D30" s="23">
        <f t="shared" si="0"/>
        <v>795.97209999999995</v>
      </c>
      <c r="E30" s="24">
        <f t="shared" si="4"/>
        <v>-0.199999999949796</v>
      </c>
      <c r="F30" s="25">
        <f t="shared" si="5"/>
        <v>-3.3999999999423398</v>
      </c>
      <c r="G30" s="26">
        <f t="shared" si="6"/>
        <v>-3.9999999989959199E-2</v>
      </c>
      <c r="H30" s="6">
        <v>6.8551000000000002</v>
      </c>
      <c r="I30" s="35">
        <f t="shared" si="1"/>
        <v>796.81320000000005</v>
      </c>
      <c r="J30" s="24">
        <f t="shared" si="7"/>
        <v>0.30000000003838101</v>
      </c>
      <c r="K30" s="25">
        <f t="shared" si="8"/>
        <v>-2.5000000000545701</v>
      </c>
      <c r="L30" s="26">
        <f t="shared" si="9"/>
        <v>6.0000000007676101E-2</v>
      </c>
      <c r="M30" s="6">
        <v>5.4861000000000004</v>
      </c>
      <c r="N30" s="35">
        <f t="shared" si="2"/>
        <v>795.44420000000002</v>
      </c>
      <c r="O30" s="24">
        <f t="shared" si="10"/>
        <v>0.199999999949796</v>
      </c>
      <c r="P30" s="25">
        <f t="shared" si="11"/>
        <v>-1.8000000000029099</v>
      </c>
      <c r="Q30" s="26">
        <f t="shared" si="12"/>
        <v>3.9999999989959199E-2</v>
      </c>
      <c r="R30" s="41"/>
      <c r="S30" s="21">
        <f t="shared" si="3"/>
        <v>44540</v>
      </c>
      <c r="T30" s="42">
        <v>9.1229999999999993</v>
      </c>
      <c r="U30" s="43">
        <f t="shared" si="13"/>
        <v>0.39999999999906799</v>
      </c>
      <c r="V30" s="44">
        <f t="shared" si="14"/>
        <v>-2.9000000000003499</v>
      </c>
      <c r="W30" s="45">
        <f t="shared" si="15"/>
        <v>-7.9999999999813595E-2</v>
      </c>
      <c r="X30" s="29">
        <v>11.9155</v>
      </c>
      <c r="Y30" s="43">
        <f t="shared" si="16"/>
        <v>0.39999999999906799</v>
      </c>
      <c r="Z30" s="44">
        <f t="shared" si="17"/>
        <v>-2.9000000000003499</v>
      </c>
      <c r="AA30" s="45">
        <f t="shared" si="18"/>
        <v>7.9999999999813595E-2</v>
      </c>
      <c r="AB30" s="49">
        <v>8.2843</v>
      </c>
      <c r="AC30" s="43">
        <f t="shared" si="19"/>
        <v>0.29999999999930099</v>
      </c>
      <c r="AD30" s="44">
        <f t="shared" si="20"/>
        <v>-3.1999999999996498</v>
      </c>
      <c r="AE30" s="45">
        <f t="shared" si="21"/>
        <v>5.99999999998602E-2</v>
      </c>
      <c r="AF30" s="50">
        <v>79248</v>
      </c>
      <c r="AG30" s="58">
        <f t="shared" si="22"/>
        <v>100</v>
      </c>
      <c r="AH30" s="61"/>
      <c r="AI30" s="60"/>
      <c r="AJ30" s="61"/>
      <c r="AK30" s="62"/>
      <c r="AL30" s="60"/>
      <c r="AM30" s="64"/>
    </row>
    <row r="31" spans="1:39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65">
        <f>F30-F26</f>
        <v>-0.49999999998817701</v>
      </c>
      <c r="F32" s="33">
        <f>K30-K26</f>
        <v>9.9999999974897905E-2</v>
      </c>
      <c r="G32" s="33">
        <f>P30-P26</f>
        <v>0.79999999991286996</v>
      </c>
      <c r="H32" s="68">
        <f>F30</f>
        <v>-3.3999999999423398</v>
      </c>
      <c r="I32" s="69">
        <f>K30</f>
        <v>-2.5000000000545701</v>
      </c>
      <c r="J32" s="65">
        <f>P30</f>
        <v>-1.8000000000029099</v>
      </c>
      <c r="K32" s="33">
        <f>(K30-K29)/7</f>
        <v>4.2857142862625798E-2</v>
      </c>
      <c r="L32" s="26"/>
      <c r="N32" s="35"/>
      <c r="O32" s="24"/>
      <c r="P32" s="25"/>
      <c r="Q32" s="26"/>
      <c r="R32" s="41"/>
      <c r="S32" s="21"/>
      <c r="T32" s="42"/>
      <c r="U32" s="65">
        <f>V30-V26</f>
        <v>0.59999999999860198</v>
      </c>
      <c r="V32" s="33">
        <f>Z30-Z26</f>
        <v>0.19999999999953399</v>
      </c>
      <c r="W32" s="33">
        <f>AD30-AD26</f>
        <v>-0.50000000000061096</v>
      </c>
      <c r="X32" s="33">
        <f>V30</f>
        <v>-2.9000000000003499</v>
      </c>
      <c r="Y32" s="65">
        <f>Z30</f>
        <v>-2.9000000000003499</v>
      </c>
      <c r="Z32" s="33">
        <f>AD30</f>
        <v>-3.1999999999996498</v>
      </c>
      <c r="AA32" s="33">
        <f>(AD30-AD29)/7</f>
        <v>4.2857142857043E-2</v>
      </c>
      <c r="AB32" s="49"/>
      <c r="AC32" s="43"/>
      <c r="AD32" s="44"/>
      <c r="AE32" s="45"/>
      <c r="AF32" s="50"/>
      <c r="AG32" s="58"/>
      <c r="AH32" s="61"/>
      <c r="AI32" s="60"/>
      <c r="AJ32"/>
      <c r="AK32"/>
      <c r="AL32"/>
      <c r="AM32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4"/>
  <sheetViews>
    <sheetView topLeftCell="A5" workbookViewId="0">
      <selection activeCell="P29" sqref="F29:F34 K29:K34 P29:P34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8.2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29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44502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44502</v>
      </c>
      <c r="B6" s="22">
        <v>789.95809999999994</v>
      </c>
      <c r="C6" s="27">
        <v>7.0877999999999997</v>
      </c>
      <c r="D6" s="23">
        <f t="shared" ref="D6:D22" si="0">C6+B6</f>
        <v>797.04589999999996</v>
      </c>
      <c r="E6" s="24">
        <v>0</v>
      </c>
      <c r="F6" s="25">
        <v>0</v>
      </c>
      <c r="G6" s="26">
        <v>0</v>
      </c>
      <c r="H6" s="6">
        <v>7.9805999999999999</v>
      </c>
      <c r="I6" s="35">
        <f t="shared" ref="I6:I22" si="1">H6+B6</f>
        <v>797.93870000000004</v>
      </c>
      <c r="J6" s="24">
        <v>0</v>
      </c>
      <c r="K6" s="25">
        <v>0</v>
      </c>
      <c r="L6" s="26">
        <v>0</v>
      </c>
      <c r="M6" s="6">
        <v>7.0967000000000002</v>
      </c>
      <c r="N6" s="35">
        <f t="shared" ref="N6:N22" si="2">M6+B6</f>
        <v>797.0548</v>
      </c>
      <c r="O6" s="24">
        <v>0</v>
      </c>
      <c r="P6" s="25">
        <v>0</v>
      </c>
      <c r="Q6" s="26">
        <v>0</v>
      </c>
      <c r="R6" s="41"/>
      <c r="S6" s="21">
        <f t="shared" ref="S6:S22" si="3">A6</f>
        <v>44502</v>
      </c>
      <c r="T6" s="42">
        <v>9.1465999999999994</v>
      </c>
      <c r="U6" s="43">
        <v>0</v>
      </c>
      <c r="V6" s="44">
        <v>0</v>
      </c>
      <c r="W6" s="45">
        <f>U6/(S6-S11)</f>
        <v>0</v>
      </c>
      <c r="X6" s="29">
        <v>17.2958</v>
      </c>
      <c r="Y6" s="43">
        <v>0</v>
      </c>
      <c r="Z6" s="44">
        <v>0</v>
      </c>
      <c r="AA6" s="45">
        <v>0</v>
      </c>
      <c r="AB6" s="49">
        <v>10.6899</v>
      </c>
      <c r="AC6" s="43">
        <v>0</v>
      </c>
      <c r="AD6" s="44">
        <v>0</v>
      </c>
      <c r="AE6" s="45">
        <v>0</v>
      </c>
      <c r="AF6" s="50">
        <v>79165</v>
      </c>
      <c r="AG6" s="58">
        <f>AF6-79160</f>
        <v>5</v>
      </c>
      <c r="AH6" s="59"/>
      <c r="AI6" s="60"/>
      <c r="AJ6" s="61"/>
      <c r="AK6" s="62"/>
      <c r="AL6" s="52"/>
      <c r="AM6" s="52"/>
    </row>
    <row r="7" spans="1:39">
      <c r="A7" s="21">
        <v>44503</v>
      </c>
      <c r="B7" s="22">
        <v>789.95809999999994</v>
      </c>
      <c r="C7" s="27">
        <v>7.0875000000000004</v>
      </c>
      <c r="D7" s="23">
        <f t="shared" si="0"/>
        <v>797.04560000000004</v>
      </c>
      <c r="E7" s="24">
        <f t="shared" ref="E7:E22" si="4">(D7-D6)*1000</f>
        <v>-0.30000000003838101</v>
      </c>
      <c r="F7" s="25">
        <f t="shared" ref="F7:F22" si="5">F6+E7</f>
        <v>-0.30000000003838101</v>
      </c>
      <c r="G7" s="26">
        <f t="shared" ref="G7:G22" si="6">E7/(A7-A6)</f>
        <v>-0.30000000003838101</v>
      </c>
      <c r="H7" s="6">
        <v>7.9802999999999997</v>
      </c>
      <c r="I7" s="35">
        <f t="shared" si="1"/>
        <v>797.9384</v>
      </c>
      <c r="J7" s="24">
        <f t="shared" ref="J7:J22" si="7">(I7-I6)*1000</f>
        <v>-0.29999999992469401</v>
      </c>
      <c r="K7" s="25">
        <f t="shared" ref="K7:K22" si="8">K6+J7</f>
        <v>-0.29999999992469401</v>
      </c>
      <c r="L7" s="26">
        <f t="shared" ref="L7:L22" si="9">J7/(A7-A6)</f>
        <v>-0.29999999992469401</v>
      </c>
      <c r="M7" s="6">
        <v>7.0964999999999998</v>
      </c>
      <c r="N7" s="35">
        <f t="shared" si="2"/>
        <v>797.05460000000005</v>
      </c>
      <c r="O7" s="24">
        <f t="shared" ref="O7:O22" si="10">(N7-N6)*1000</f>
        <v>-0.20000000006348301</v>
      </c>
      <c r="P7" s="25">
        <f t="shared" ref="P7:P22" si="11">P6+O7</f>
        <v>-0.20000000006348301</v>
      </c>
      <c r="Q7" s="26">
        <f t="shared" ref="Q7:Q22" si="12">O7/(A7-A6)</f>
        <v>-0.20000000006348301</v>
      </c>
      <c r="R7" s="41"/>
      <c r="S7" s="21">
        <f t="shared" si="3"/>
        <v>44503</v>
      </c>
      <c r="T7" s="42">
        <v>9.1464999999999996</v>
      </c>
      <c r="U7" s="43">
        <f t="shared" ref="U7:U22" si="13">(T7-T6)*1000</f>
        <v>-9.99999999997669E-2</v>
      </c>
      <c r="V7" s="44">
        <f t="shared" ref="V7:V22" si="14">V6+U7</f>
        <v>-9.99999999997669E-2</v>
      </c>
      <c r="W7" s="45">
        <f t="shared" ref="W7:W22" si="15">U7/(S6-S7)</f>
        <v>9.99999999997669E-2</v>
      </c>
      <c r="X7" s="29">
        <v>17.295500000000001</v>
      </c>
      <c r="Y7" s="43">
        <f t="shared" ref="Y7:Y22" si="16">(X7-X6)*1000</f>
        <v>-0.29999999999930099</v>
      </c>
      <c r="Z7" s="44">
        <f t="shared" ref="Z7:Z22" si="17">Z6+Y7</f>
        <v>-0.29999999999930099</v>
      </c>
      <c r="AA7" s="45">
        <f t="shared" ref="AA7:AA22" si="18">Y7/(S7-S6)</f>
        <v>-0.29999999999930099</v>
      </c>
      <c r="AB7" s="49">
        <v>10.689500000000001</v>
      </c>
      <c r="AC7" s="43">
        <f t="shared" ref="AC7:AC22" si="19">(AB7-AB6)*1000</f>
        <v>-0.39999999999906799</v>
      </c>
      <c r="AD7" s="44">
        <f t="shared" ref="AD7:AD22" si="20">AD6+AC7</f>
        <v>-0.39999999999906799</v>
      </c>
      <c r="AE7" s="45">
        <f t="shared" ref="AE7:AE22" si="21">AC7/(S7-S6)</f>
        <v>-0.39999999999906799</v>
      </c>
      <c r="AF7" s="50">
        <v>79166</v>
      </c>
      <c r="AG7" s="58">
        <f t="shared" ref="AG7:AG22" si="22">AF7-79160</f>
        <v>6</v>
      </c>
      <c r="AH7" s="59"/>
      <c r="AI7" s="60"/>
      <c r="AJ7" s="61"/>
      <c r="AK7" s="62"/>
      <c r="AL7" s="52"/>
      <c r="AM7" s="52"/>
    </row>
    <row r="8" spans="1:39">
      <c r="A8" s="21">
        <v>44504</v>
      </c>
      <c r="B8" s="22">
        <v>789.95809999999994</v>
      </c>
      <c r="C8" s="27">
        <v>7.0876000000000001</v>
      </c>
      <c r="D8" s="23">
        <f t="shared" si="0"/>
        <v>797.04570000000001</v>
      </c>
      <c r="E8" s="24">
        <f t="shared" si="4"/>
        <v>9.9999999974897905E-2</v>
      </c>
      <c r="F8" s="25">
        <f t="shared" si="5"/>
        <v>-0.20000000006348301</v>
      </c>
      <c r="G8" s="26">
        <f t="shared" si="6"/>
        <v>9.9999999974897905E-2</v>
      </c>
      <c r="H8" s="6">
        <v>7.9805000000000001</v>
      </c>
      <c r="I8" s="35">
        <f t="shared" si="1"/>
        <v>797.93859999999995</v>
      </c>
      <c r="J8" s="24">
        <f t="shared" si="7"/>
        <v>0.199999999949796</v>
      </c>
      <c r="K8" s="25">
        <f t="shared" si="8"/>
        <v>-9.9999999974897905E-2</v>
      </c>
      <c r="L8" s="26">
        <f t="shared" si="9"/>
        <v>0.199999999949796</v>
      </c>
      <c r="M8" s="6">
        <v>7.0965999999999996</v>
      </c>
      <c r="N8" s="35">
        <f t="shared" si="2"/>
        <v>797.05470000000003</v>
      </c>
      <c r="O8" s="24">
        <f t="shared" si="10"/>
        <v>9.9999999974897905E-2</v>
      </c>
      <c r="P8" s="25">
        <f t="shared" si="11"/>
        <v>-0.10000000008858501</v>
      </c>
      <c r="Q8" s="26">
        <f t="shared" si="12"/>
        <v>9.9999999974897905E-2</v>
      </c>
      <c r="R8" s="41"/>
      <c r="S8" s="21">
        <f t="shared" si="3"/>
        <v>44504</v>
      </c>
      <c r="T8" s="42">
        <v>9.1463000000000001</v>
      </c>
      <c r="U8" s="43">
        <f t="shared" si="13"/>
        <v>-0.19999999999953399</v>
      </c>
      <c r="V8" s="44">
        <f t="shared" si="14"/>
        <v>-0.29999999999930099</v>
      </c>
      <c r="W8" s="45">
        <f t="shared" si="15"/>
        <v>0.19999999999953399</v>
      </c>
      <c r="X8" s="29">
        <v>17.295000000000002</v>
      </c>
      <c r="Y8" s="43">
        <f t="shared" si="16"/>
        <v>-0.49999999999883499</v>
      </c>
      <c r="Z8" s="44">
        <f t="shared" si="17"/>
        <v>-0.79999999999813598</v>
      </c>
      <c r="AA8" s="45">
        <f t="shared" si="18"/>
        <v>-0.49999999999883499</v>
      </c>
      <c r="AB8" s="49">
        <v>10.6898</v>
      </c>
      <c r="AC8" s="43">
        <f t="shared" si="19"/>
        <v>0.29999999999930099</v>
      </c>
      <c r="AD8" s="44">
        <f t="shared" si="20"/>
        <v>-9.99999999997669E-2</v>
      </c>
      <c r="AE8" s="45">
        <f t="shared" si="21"/>
        <v>0.29999999999930099</v>
      </c>
      <c r="AF8" s="50">
        <v>79167</v>
      </c>
      <c r="AG8" s="58">
        <f t="shared" si="22"/>
        <v>7</v>
      </c>
      <c r="AH8" s="59"/>
      <c r="AI8" s="60"/>
      <c r="AJ8" s="61"/>
      <c r="AK8" s="62"/>
      <c r="AL8" s="52"/>
      <c r="AM8" s="52"/>
    </row>
    <row r="9" spans="1:39">
      <c r="A9" s="21">
        <v>44505</v>
      </c>
      <c r="B9" s="22">
        <v>789.95809999999994</v>
      </c>
      <c r="C9" s="27">
        <v>7.0873999999999997</v>
      </c>
      <c r="D9" s="23">
        <f t="shared" si="0"/>
        <v>797.04549999999995</v>
      </c>
      <c r="E9" s="24">
        <f t="shared" si="4"/>
        <v>-0.199999999949796</v>
      </c>
      <c r="F9" s="25">
        <f t="shared" si="5"/>
        <v>-0.40000000001327901</v>
      </c>
      <c r="G9" s="26">
        <f t="shared" si="6"/>
        <v>-0.199999999949796</v>
      </c>
      <c r="H9" s="6">
        <v>7.9802</v>
      </c>
      <c r="I9" s="35">
        <f t="shared" si="1"/>
        <v>797.93830000000003</v>
      </c>
      <c r="J9" s="24">
        <f t="shared" si="7"/>
        <v>-0.30000000003838101</v>
      </c>
      <c r="K9" s="25">
        <f t="shared" si="8"/>
        <v>-0.40000000001327901</v>
      </c>
      <c r="L9" s="26">
        <f t="shared" si="9"/>
        <v>-0.30000000003838101</v>
      </c>
      <c r="M9" s="6">
        <v>7.0964999999999998</v>
      </c>
      <c r="N9" s="35">
        <f t="shared" si="2"/>
        <v>797.05460000000005</v>
      </c>
      <c r="O9" s="24">
        <f t="shared" si="10"/>
        <v>-9.9999999974897905E-2</v>
      </c>
      <c r="P9" s="25">
        <f t="shared" si="11"/>
        <v>-0.20000000006348301</v>
      </c>
      <c r="Q9" s="26">
        <f t="shared" si="12"/>
        <v>-9.9999999974897905E-2</v>
      </c>
      <c r="R9" s="41"/>
      <c r="S9" s="21">
        <f t="shared" si="3"/>
        <v>44505</v>
      </c>
      <c r="T9" s="42">
        <v>9.1461000000000006</v>
      </c>
      <c r="U9" s="43">
        <f t="shared" si="13"/>
        <v>-0.19999999999953399</v>
      </c>
      <c r="V9" s="44">
        <f t="shared" si="14"/>
        <v>-0.49999999999883499</v>
      </c>
      <c r="W9" s="45">
        <f t="shared" si="15"/>
        <v>0.19999999999953399</v>
      </c>
      <c r="X9" s="29">
        <v>17.294799999999999</v>
      </c>
      <c r="Y9" s="43">
        <f t="shared" si="16"/>
        <v>-0.20000000000308699</v>
      </c>
      <c r="Z9" s="44">
        <f t="shared" si="17"/>
        <v>-1.0000000000012199</v>
      </c>
      <c r="AA9" s="45">
        <f t="shared" si="18"/>
        <v>-0.20000000000308699</v>
      </c>
      <c r="AB9" s="49">
        <v>10.6892</v>
      </c>
      <c r="AC9" s="43">
        <f t="shared" si="19"/>
        <v>-0.60000000000037801</v>
      </c>
      <c r="AD9" s="44">
        <f t="shared" si="20"/>
        <v>-0.70000000000014495</v>
      </c>
      <c r="AE9" s="45">
        <f t="shared" si="21"/>
        <v>-0.60000000000037801</v>
      </c>
      <c r="AF9" s="50">
        <v>79168</v>
      </c>
      <c r="AG9" s="58">
        <f t="shared" si="22"/>
        <v>8</v>
      </c>
      <c r="AH9" s="59"/>
      <c r="AI9" s="60"/>
      <c r="AJ9" s="61"/>
      <c r="AK9" s="62"/>
      <c r="AL9" s="52"/>
      <c r="AM9" s="52"/>
    </row>
    <row r="10" spans="1:39">
      <c r="A10" s="21">
        <v>44506</v>
      </c>
      <c r="B10" s="22">
        <v>789.95809999999994</v>
      </c>
      <c r="C10" s="27">
        <v>7.0872000000000002</v>
      </c>
      <c r="D10" s="23">
        <f t="shared" si="0"/>
        <v>797.0453</v>
      </c>
      <c r="E10" s="24">
        <f t="shared" si="4"/>
        <v>-0.199999999949796</v>
      </c>
      <c r="F10" s="25">
        <f t="shared" si="5"/>
        <v>-0.59999999996307496</v>
      </c>
      <c r="G10" s="26">
        <f t="shared" si="6"/>
        <v>-0.199999999949796</v>
      </c>
      <c r="H10" s="6">
        <v>7.98</v>
      </c>
      <c r="I10" s="35">
        <f t="shared" si="1"/>
        <v>797.93809999999996</v>
      </c>
      <c r="J10" s="24">
        <f t="shared" si="7"/>
        <v>-0.199999999949796</v>
      </c>
      <c r="K10" s="25">
        <f t="shared" si="8"/>
        <v>-0.59999999996307496</v>
      </c>
      <c r="L10" s="26">
        <f t="shared" si="9"/>
        <v>-0.199999999949796</v>
      </c>
      <c r="M10" s="6">
        <v>7.0963000000000003</v>
      </c>
      <c r="N10" s="35">
        <f t="shared" si="2"/>
        <v>797.05439999999999</v>
      </c>
      <c r="O10" s="24">
        <f t="shared" si="10"/>
        <v>-0.199999999949796</v>
      </c>
      <c r="P10" s="25">
        <f t="shared" si="11"/>
        <v>-0.40000000001327901</v>
      </c>
      <c r="Q10" s="26">
        <f t="shared" si="12"/>
        <v>-0.199999999949796</v>
      </c>
      <c r="R10" s="41"/>
      <c r="S10" s="21">
        <f t="shared" si="3"/>
        <v>44506</v>
      </c>
      <c r="T10" s="42">
        <v>9.1462000000000003</v>
      </c>
      <c r="U10" s="43">
        <f t="shared" si="13"/>
        <v>9.99999999997669E-2</v>
      </c>
      <c r="V10" s="44">
        <f t="shared" si="14"/>
        <v>-0.39999999999906799</v>
      </c>
      <c r="W10" s="45">
        <f t="shared" si="15"/>
        <v>-9.99999999997669E-2</v>
      </c>
      <c r="X10" s="29">
        <v>17.294599999999999</v>
      </c>
      <c r="Y10" s="43">
        <f t="shared" si="16"/>
        <v>-0.19999999999953399</v>
      </c>
      <c r="Z10" s="44">
        <f t="shared" si="17"/>
        <v>-1.20000000000076</v>
      </c>
      <c r="AA10" s="45">
        <f t="shared" si="18"/>
        <v>-0.19999999999953399</v>
      </c>
      <c r="AB10" s="49">
        <v>10.689</v>
      </c>
      <c r="AC10" s="43">
        <f t="shared" si="19"/>
        <v>-0.19999999999953399</v>
      </c>
      <c r="AD10" s="44">
        <f t="shared" si="20"/>
        <v>-0.89999999999967895</v>
      </c>
      <c r="AE10" s="45">
        <f t="shared" si="21"/>
        <v>-0.19999999999953399</v>
      </c>
      <c r="AF10" s="50">
        <v>79169</v>
      </c>
      <c r="AG10" s="58">
        <f t="shared" si="22"/>
        <v>9</v>
      </c>
      <c r="AH10" s="59"/>
      <c r="AI10" s="60"/>
      <c r="AJ10" s="61"/>
      <c r="AK10" s="62"/>
      <c r="AL10" s="52"/>
      <c r="AM10" s="52"/>
    </row>
    <row r="11" spans="1:39">
      <c r="A11" s="21">
        <v>44507</v>
      </c>
      <c r="B11" s="22">
        <v>789.95809999999994</v>
      </c>
      <c r="C11" s="27">
        <v>7.0872999999999999</v>
      </c>
      <c r="D11" s="23">
        <f t="shared" si="0"/>
        <v>797.04539999999997</v>
      </c>
      <c r="E11" s="24">
        <f t="shared" si="4"/>
        <v>9.9999999974897905E-2</v>
      </c>
      <c r="F11" s="25">
        <f t="shared" si="5"/>
        <v>-0.49999999998817701</v>
      </c>
      <c r="G11" s="26">
        <f t="shared" si="6"/>
        <v>9.9999999974897905E-2</v>
      </c>
      <c r="H11" s="6">
        <v>7.9801000000000002</v>
      </c>
      <c r="I11" s="35">
        <f t="shared" si="1"/>
        <v>797.93820000000005</v>
      </c>
      <c r="J11" s="24">
        <f t="shared" si="7"/>
        <v>9.9999999974897905E-2</v>
      </c>
      <c r="K11" s="25">
        <f t="shared" si="8"/>
        <v>-0.49999999998817701</v>
      </c>
      <c r="L11" s="26">
        <f t="shared" si="9"/>
        <v>9.9999999974897905E-2</v>
      </c>
      <c r="M11" s="6">
        <v>7.0960999999999999</v>
      </c>
      <c r="N11" s="35">
        <f t="shared" si="2"/>
        <v>797.05420000000004</v>
      </c>
      <c r="O11" s="24">
        <f t="shared" si="10"/>
        <v>-0.20000000006348301</v>
      </c>
      <c r="P11" s="25">
        <f t="shared" si="11"/>
        <v>-0.60000000007676102</v>
      </c>
      <c r="Q11" s="26">
        <f t="shared" si="12"/>
        <v>-0.20000000006348301</v>
      </c>
      <c r="R11" s="41"/>
      <c r="S11" s="21">
        <f t="shared" si="3"/>
        <v>44507</v>
      </c>
      <c r="T11" s="42">
        <v>9.1456999999999997</v>
      </c>
      <c r="U11" s="43">
        <f t="shared" si="13"/>
        <v>-0.50000000000061096</v>
      </c>
      <c r="V11" s="44">
        <f t="shared" si="14"/>
        <v>-0.89999999999967895</v>
      </c>
      <c r="W11" s="45">
        <f t="shared" si="15"/>
        <v>0.50000000000061096</v>
      </c>
      <c r="X11" s="29">
        <v>17.294599999999999</v>
      </c>
      <c r="Y11" s="43">
        <f t="shared" si="16"/>
        <v>0</v>
      </c>
      <c r="Z11" s="44">
        <f t="shared" si="17"/>
        <v>-1.20000000000076</v>
      </c>
      <c r="AA11" s="45">
        <f t="shared" si="18"/>
        <v>0</v>
      </c>
      <c r="AB11" s="49">
        <v>10.689299999999999</v>
      </c>
      <c r="AC11" s="43">
        <f t="shared" si="19"/>
        <v>0.29999999999930099</v>
      </c>
      <c r="AD11" s="44">
        <f t="shared" si="20"/>
        <v>-0.60000000000037801</v>
      </c>
      <c r="AE11" s="45">
        <f t="shared" si="21"/>
        <v>0.29999999999930099</v>
      </c>
      <c r="AF11" s="50">
        <v>79172</v>
      </c>
      <c r="AG11" s="58">
        <f t="shared" si="22"/>
        <v>12</v>
      </c>
      <c r="AH11" s="61"/>
      <c r="AI11" s="60"/>
      <c r="AJ11" s="52"/>
      <c r="AK11" s="52"/>
      <c r="AL11" s="52"/>
      <c r="AM11" s="52"/>
    </row>
    <row r="12" spans="1:39">
      <c r="A12" s="21">
        <v>44508</v>
      </c>
      <c r="B12" s="22">
        <v>789.95809999999994</v>
      </c>
      <c r="C12" s="27">
        <v>7.0868000000000002</v>
      </c>
      <c r="D12" s="23">
        <f t="shared" si="0"/>
        <v>797.04489999999998</v>
      </c>
      <c r="E12" s="24">
        <f t="shared" si="4"/>
        <v>-0.49999999998817701</v>
      </c>
      <c r="F12" s="25">
        <f t="shared" si="5"/>
        <v>-0.99999999997635303</v>
      </c>
      <c r="G12" s="26">
        <f t="shared" si="6"/>
        <v>-0.49999999998817701</v>
      </c>
      <c r="H12" s="6">
        <v>7.9795999999999996</v>
      </c>
      <c r="I12" s="35">
        <f t="shared" si="1"/>
        <v>797.93769999999995</v>
      </c>
      <c r="J12" s="24">
        <f t="shared" si="7"/>
        <v>-0.49999999998817701</v>
      </c>
      <c r="K12" s="25">
        <f t="shared" si="8"/>
        <v>-0.99999999997635303</v>
      </c>
      <c r="L12" s="26">
        <f t="shared" si="9"/>
        <v>-0.49999999998817701</v>
      </c>
      <c r="M12" s="6">
        <v>7.0961999999999996</v>
      </c>
      <c r="N12" s="35">
        <f t="shared" si="2"/>
        <v>797.05430000000001</v>
      </c>
      <c r="O12" s="24">
        <f t="shared" si="10"/>
        <v>9.9999999974897905E-2</v>
      </c>
      <c r="P12" s="25">
        <f t="shared" si="11"/>
        <v>-0.50000000010186296</v>
      </c>
      <c r="Q12" s="26">
        <f t="shared" si="12"/>
        <v>9.9999999974897905E-2</v>
      </c>
      <c r="R12" s="41"/>
      <c r="S12" s="21">
        <f t="shared" si="3"/>
        <v>44508</v>
      </c>
      <c r="T12" s="42">
        <v>9.1455000000000002</v>
      </c>
      <c r="U12" s="43">
        <f t="shared" si="13"/>
        <v>-0.19999999999953399</v>
      </c>
      <c r="V12" s="44">
        <f t="shared" si="14"/>
        <v>-1.0999999999992101</v>
      </c>
      <c r="W12" s="45">
        <f t="shared" si="15"/>
        <v>0.19999999999953399</v>
      </c>
      <c r="X12" s="29">
        <v>17.2942</v>
      </c>
      <c r="Y12" s="43">
        <f t="shared" si="16"/>
        <v>-0.39999999999906799</v>
      </c>
      <c r="Z12" s="44">
        <f t="shared" si="17"/>
        <v>-1.59999999999982</v>
      </c>
      <c r="AA12" s="45">
        <f t="shared" si="18"/>
        <v>-0.39999999999906799</v>
      </c>
      <c r="AB12" s="49">
        <v>10.6891</v>
      </c>
      <c r="AC12" s="43">
        <f t="shared" si="19"/>
        <v>-0.19999999999953399</v>
      </c>
      <c r="AD12" s="44">
        <f t="shared" si="20"/>
        <v>-0.799999999999912</v>
      </c>
      <c r="AE12" s="45">
        <f t="shared" si="21"/>
        <v>-0.19999999999953399</v>
      </c>
      <c r="AF12" s="50">
        <v>79175</v>
      </c>
      <c r="AG12" s="58">
        <f t="shared" si="22"/>
        <v>15</v>
      </c>
      <c r="AH12" s="61"/>
      <c r="AI12" s="60"/>
      <c r="AJ12" s="52"/>
      <c r="AK12" s="52"/>
      <c r="AL12" s="52"/>
      <c r="AM12" s="52"/>
    </row>
    <row r="13" spans="1:39">
      <c r="A13" s="21">
        <v>44509</v>
      </c>
      <c r="B13" s="22">
        <v>789.95809999999994</v>
      </c>
      <c r="C13" s="27">
        <v>7.0865999999999998</v>
      </c>
      <c r="D13" s="23">
        <f t="shared" si="0"/>
        <v>797.04470000000003</v>
      </c>
      <c r="E13" s="24">
        <f t="shared" si="4"/>
        <v>-0.20000000006348301</v>
      </c>
      <c r="F13" s="25">
        <f t="shared" si="5"/>
        <v>-1.2000000000398401</v>
      </c>
      <c r="G13" s="26">
        <f t="shared" si="6"/>
        <v>-0.20000000006348301</v>
      </c>
      <c r="H13" s="6">
        <v>7.9794</v>
      </c>
      <c r="I13" s="35">
        <f t="shared" si="1"/>
        <v>797.9375</v>
      </c>
      <c r="J13" s="24">
        <f t="shared" si="7"/>
        <v>-0.199999999949796</v>
      </c>
      <c r="K13" s="25">
        <f t="shared" si="8"/>
        <v>-1.1999999999261499</v>
      </c>
      <c r="L13" s="26">
        <f t="shared" si="9"/>
        <v>-0.199999999949796</v>
      </c>
      <c r="M13" s="6">
        <v>7.0956999999999999</v>
      </c>
      <c r="N13" s="35">
        <f t="shared" si="2"/>
        <v>797.05380000000002</v>
      </c>
      <c r="O13" s="24">
        <f t="shared" si="10"/>
        <v>-0.49999999998817701</v>
      </c>
      <c r="P13" s="25">
        <f t="shared" si="11"/>
        <v>-1.00000000009004</v>
      </c>
      <c r="Q13" s="26">
        <f t="shared" si="12"/>
        <v>-0.49999999998817701</v>
      </c>
      <c r="R13" s="41"/>
      <c r="S13" s="21">
        <f t="shared" si="3"/>
        <v>44509</v>
      </c>
      <c r="T13" s="42">
        <v>9.1460000000000008</v>
      </c>
      <c r="U13" s="43">
        <f t="shared" si="13"/>
        <v>0.50000000000061096</v>
      </c>
      <c r="V13" s="44">
        <f t="shared" si="14"/>
        <v>-0.59999999999860198</v>
      </c>
      <c r="W13" s="45">
        <f t="shared" si="15"/>
        <v>-0.50000000000061096</v>
      </c>
      <c r="X13" s="29">
        <v>17.294</v>
      </c>
      <c r="Y13" s="43">
        <f t="shared" si="16"/>
        <v>-0.19999999999953399</v>
      </c>
      <c r="Z13" s="44">
        <f t="shared" si="17"/>
        <v>-1.7999999999993599</v>
      </c>
      <c r="AA13" s="45">
        <f t="shared" si="18"/>
        <v>-0.19999999999953399</v>
      </c>
      <c r="AB13" s="49">
        <v>10.688499999999999</v>
      </c>
      <c r="AC13" s="43">
        <f t="shared" si="19"/>
        <v>-0.60000000000037801</v>
      </c>
      <c r="AD13" s="44">
        <f t="shared" si="20"/>
        <v>-1.4000000000002899</v>
      </c>
      <c r="AE13" s="45">
        <f t="shared" si="21"/>
        <v>-0.60000000000037801</v>
      </c>
      <c r="AF13" s="50">
        <v>79178</v>
      </c>
      <c r="AG13" s="58">
        <f t="shared" si="22"/>
        <v>18</v>
      </c>
      <c r="AH13" s="61"/>
      <c r="AI13" s="60"/>
      <c r="AJ13" s="52"/>
      <c r="AK13" s="52"/>
      <c r="AL13" s="52"/>
      <c r="AM13" s="52"/>
    </row>
    <row r="14" spans="1:39">
      <c r="A14" s="21">
        <v>44510</v>
      </c>
      <c r="B14" s="22">
        <v>789.95809999999994</v>
      </c>
      <c r="C14" s="27">
        <v>7.0865</v>
      </c>
      <c r="D14" s="23">
        <f t="shared" si="0"/>
        <v>797.04459999999995</v>
      </c>
      <c r="E14" s="24">
        <f t="shared" si="4"/>
        <v>-9.9999999974897905E-2</v>
      </c>
      <c r="F14" s="25">
        <f t="shared" si="5"/>
        <v>-1.30000000001473</v>
      </c>
      <c r="G14" s="26">
        <f t="shared" si="6"/>
        <v>-9.9999999974897905E-2</v>
      </c>
      <c r="H14" s="6">
        <v>7.9794999999999998</v>
      </c>
      <c r="I14" s="35">
        <f t="shared" si="1"/>
        <v>797.93759999999997</v>
      </c>
      <c r="J14" s="24">
        <f t="shared" si="7"/>
        <v>9.9999999974897905E-2</v>
      </c>
      <c r="K14" s="25">
        <f t="shared" si="8"/>
        <v>-1.09999999995125</v>
      </c>
      <c r="L14" s="26">
        <f t="shared" si="9"/>
        <v>9.9999999974897905E-2</v>
      </c>
      <c r="M14" s="6">
        <v>7.0955000000000004</v>
      </c>
      <c r="N14" s="35">
        <f t="shared" si="2"/>
        <v>797.05359999999996</v>
      </c>
      <c r="O14" s="24">
        <f t="shared" si="10"/>
        <v>-0.199999999949796</v>
      </c>
      <c r="P14" s="25">
        <f t="shared" si="11"/>
        <v>-1.2000000000398401</v>
      </c>
      <c r="Q14" s="26">
        <f t="shared" si="12"/>
        <v>-0.199999999949796</v>
      </c>
      <c r="R14" s="41"/>
      <c r="S14" s="21">
        <f t="shared" si="3"/>
        <v>44510</v>
      </c>
      <c r="T14" s="42">
        <v>9.1450999999999993</v>
      </c>
      <c r="U14" s="43">
        <f t="shared" si="13"/>
        <v>-0.90000000000145497</v>
      </c>
      <c r="V14" s="44">
        <f t="shared" si="14"/>
        <v>-1.50000000000006</v>
      </c>
      <c r="W14" s="45">
        <f t="shared" si="15"/>
        <v>0.90000000000145497</v>
      </c>
      <c r="X14" s="29">
        <v>17.2942</v>
      </c>
      <c r="Y14" s="43">
        <f t="shared" si="16"/>
        <v>0.19999999999953399</v>
      </c>
      <c r="Z14" s="44">
        <f t="shared" si="17"/>
        <v>-1.59999999999982</v>
      </c>
      <c r="AA14" s="45">
        <f t="shared" si="18"/>
        <v>0.19999999999953399</v>
      </c>
      <c r="AB14" s="49">
        <v>10.688700000000001</v>
      </c>
      <c r="AC14" s="43">
        <f t="shared" si="19"/>
        <v>0.20000000000130999</v>
      </c>
      <c r="AD14" s="44">
        <f t="shared" si="20"/>
        <v>-1.1999999999989801</v>
      </c>
      <c r="AE14" s="45">
        <f t="shared" si="21"/>
        <v>0.20000000000130999</v>
      </c>
      <c r="AF14" s="50">
        <v>79181</v>
      </c>
      <c r="AG14" s="58">
        <f t="shared" si="22"/>
        <v>21</v>
      </c>
      <c r="AH14" s="61"/>
      <c r="AI14" s="60"/>
      <c r="AJ14" s="52"/>
      <c r="AK14" s="52"/>
      <c r="AL14" s="52"/>
      <c r="AM14" s="52"/>
    </row>
    <row r="15" spans="1:39">
      <c r="A15" s="21">
        <v>44511</v>
      </c>
      <c r="B15" s="22">
        <v>789.95809999999994</v>
      </c>
      <c r="C15" s="27">
        <v>7.0861999999999998</v>
      </c>
      <c r="D15" s="23">
        <f t="shared" si="0"/>
        <v>797.04430000000002</v>
      </c>
      <c r="E15" s="24">
        <f t="shared" si="4"/>
        <v>-0.30000000003838101</v>
      </c>
      <c r="F15" s="25">
        <f t="shared" si="5"/>
        <v>-1.60000000005311</v>
      </c>
      <c r="G15" s="26">
        <f t="shared" si="6"/>
        <v>-0.30000000003838101</v>
      </c>
      <c r="H15" s="6">
        <v>7.9790000000000001</v>
      </c>
      <c r="I15" s="35">
        <f t="shared" si="1"/>
        <v>797.93709999999999</v>
      </c>
      <c r="J15" s="24">
        <f t="shared" si="7"/>
        <v>-0.49999999998817701</v>
      </c>
      <c r="K15" s="25">
        <f t="shared" si="8"/>
        <v>-1.5999999999394301</v>
      </c>
      <c r="L15" s="26">
        <f t="shared" si="9"/>
        <v>-0.49999999998817701</v>
      </c>
      <c r="M15" s="6">
        <v>7.0967000000000002</v>
      </c>
      <c r="N15" s="35">
        <f t="shared" si="2"/>
        <v>797.0548</v>
      </c>
      <c r="O15" s="24">
        <f t="shared" si="10"/>
        <v>1.2000000000398401</v>
      </c>
      <c r="P15" s="25">
        <f t="shared" si="11"/>
        <v>0</v>
      </c>
      <c r="Q15" s="26">
        <f t="shared" si="12"/>
        <v>1.2000000000398401</v>
      </c>
      <c r="R15" s="41"/>
      <c r="S15" s="21">
        <f t="shared" si="3"/>
        <v>44511</v>
      </c>
      <c r="T15" s="42">
        <v>9.1448999999999998</v>
      </c>
      <c r="U15" s="43">
        <f t="shared" si="13"/>
        <v>-0.19999999999953399</v>
      </c>
      <c r="V15" s="44">
        <f t="shared" si="14"/>
        <v>-1.6999999999995901</v>
      </c>
      <c r="W15" s="45">
        <f t="shared" si="15"/>
        <v>0.19999999999953399</v>
      </c>
      <c r="X15" s="29">
        <v>17.293600000000001</v>
      </c>
      <c r="Y15" s="43">
        <f t="shared" si="16"/>
        <v>-0.59999999999860198</v>
      </c>
      <c r="Z15" s="44">
        <f t="shared" si="17"/>
        <v>-2.1999999999984299</v>
      </c>
      <c r="AA15" s="45">
        <f t="shared" si="18"/>
        <v>-0.59999999999860198</v>
      </c>
      <c r="AB15" s="49">
        <v>10.688700000000001</v>
      </c>
      <c r="AC15" s="43">
        <f t="shared" si="19"/>
        <v>0</v>
      </c>
      <c r="AD15" s="44">
        <f t="shared" si="20"/>
        <v>-1.1999999999989801</v>
      </c>
      <c r="AE15" s="45">
        <f t="shared" si="21"/>
        <v>0</v>
      </c>
      <c r="AF15" s="50">
        <v>79184</v>
      </c>
      <c r="AG15" s="58">
        <f t="shared" si="22"/>
        <v>24</v>
      </c>
      <c r="AH15" s="61"/>
      <c r="AI15" s="60"/>
      <c r="AJ15" s="52"/>
      <c r="AK15" s="52"/>
      <c r="AL15" s="52"/>
      <c r="AM15" s="52"/>
    </row>
    <row r="16" spans="1:39">
      <c r="A16" s="21">
        <v>44512</v>
      </c>
      <c r="B16" s="22">
        <v>789.95809999999994</v>
      </c>
      <c r="C16" s="27">
        <v>7.0860000000000003</v>
      </c>
      <c r="D16" s="23">
        <f t="shared" si="0"/>
        <v>797.04409999999996</v>
      </c>
      <c r="E16" s="24">
        <f t="shared" si="4"/>
        <v>-0.199999999949796</v>
      </c>
      <c r="F16" s="25">
        <f t="shared" si="5"/>
        <v>-1.8000000000029099</v>
      </c>
      <c r="G16" s="26">
        <f t="shared" si="6"/>
        <v>-0.199999999949796</v>
      </c>
      <c r="H16" s="6">
        <v>7.9787999999999997</v>
      </c>
      <c r="I16" s="35">
        <f t="shared" si="1"/>
        <v>797.93690000000004</v>
      </c>
      <c r="J16" s="24">
        <f t="shared" si="7"/>
        <v>-0.20000000006348301</v>
      </c>
      <c r="K16" s="25">
        <f t="shared" si="8"/>
        <v>-1.8000000000029099</v>
      </c>
      <c r="L16" s="26">
        <f t="shared" si="9"/>
        <v>-0.20000000006348301</v>
      </c>
      <c r="M16" s="6">
        <v>7.0951000000000004</v>
      </c>
      <c r="N16" s="35">
        <f t="shared" si="2"/>
        <v>797.05319999999995</v>
      </c>
      <c r="O16" s="24">
        <f t="shared" si="10"/>
        <v>-1.60000000005311</v>
      </c>
      <c r="P16" s="25">
        <f t="shared" si="11"/>
        <v>-1.60000000005311</v>
      </c>
      <c r="Q16" s="26">
        <f t="shared" si="12"/>
        <v>-1.60000000005311</v>
      </c>
      <c r="R16" s="41"/>
      <c r="S16" s="21">
        <f t="shared" si="3"/>
        <v>44512</v>
      </c>
      <c r="T16" s="42">
        <v>9.1455000000000002</v>
      </c>
      <c r="U16" s="43">
        <f t="shared" si="13"/>
        <v>0.60000000000037801</v>
      </c>
      <c r="V16" s="44">
        <f t="shared" si="14"/>
        <v>-1.0999999999992101</v>
      </c>
      <c r="W16" s="45">
        <f t="shared" si="15"/>
        <v>-0.60000000000037801</v>
      </c>
      <c r="X16" s="29">
        <v>17.293399999999998</v>
      </c>
      <c r="Y16" s="43">
        <f t="shared" si="16"/>
        <v>-0.20000000000308699</v>
      </c>
      <c r="Z16" s="44">
        <f t="shared" si="17"/>
        <v>-2.4000000000015098</v>
      </c>
      <c r="AA16" s="45">
        <f t="shared" si="18"/>
        <v>-0.20000000000308699</v>
      </c>
      <c r="AB16" s="49">
        <v>10.6883</v>
      </c>
      <c r="AC16" s="43">
        <f t="shared" si="19"/>
        <v>-0.40000000000084401</v>
      </c>
      <c r="AD16" s="44">
        <f t="shared" si="20"/>
        <v>-1.59999999999982</v>
      </c>
      <c r="AE16" s="45">
        <f t="shared" si="21"/>
        <v>-0.40000000000084401</v>
      </c>
      <c r="AF16" s="50">
        <v>79187</v>
      </c>
      <c r="AG16" s="58">
        <f t="shared" si="22"/>
        <v>27</v>
      </c>
      <c r="AH16" s="61"/>
      <c r="AI16" s="60"/>
      <c r="AJ16" s="52"/>
      <c r="AK16" s="52"/>
      <c r="AL16" s="52"/>
      <c r="AM16" s="52"/>
    </row>
    <row r="17" spans="1:39">
      <c r="A17" s="21">
        <v>44513</v>
      </c>
      <c r="B17" s="22">
        <v>789.95809999999994</v>
      </c>
      <c r="C17" s="27">
        <v>7.0862999999999996</v>
      </c>
      <c r="D17" s="23">
        <f t="shared" si="0"/>
        <v>797.0444</v>
      </c>
      <c r="E17" s="24">
        <f t="shared" si="4"/>
        <v>0.30000000003838101</v>
      </c>
      <c r="F17" s="25">
        <f t="shared" si="5"/>
        <v>-1.4999999999645299</v>
      </c>
      <c r="G17" s="26">
        <f t="shared" si="6"/>
        <v>0.30000000003838101</v>
      </c>
      <c r="H17" s="6">
        <v>7.9791999999999996</v>
      </c>
      <c r="I17" s="35">
        <f t="shared" si="1"/>
        <v>797.93730000000005</v>
      </c>
      <c r="J17" s="24">
        <f t="shared" si="7"/>
        <v>0.40000000001327901</v>
      </c>
      <c r="K17" s="25">
        <f t="shared" si="8"/>
        <v>-1.39999999998963</v>
      </c>
      <c r="L17" s="26">
        <f t="shared" si="9"/>
        <v>0.40000000001327901</v>
      </c>
      <c r="M17" s="6">
        <v>7.0949</v>
      </c>
      <c r="N17" s="35">
        <f t="shared" si="2"/>
        <v>797.053</v>
      </c>
      <c r="O17" s="24">
        <f t="shared" si="10"/>
        <v>-0.199999999949796</v>
      </c>
      <c r="P17" s="25">
        <f t="shared" si="11"/>
        <v>-1.8000000000029099</v>
      </c>
      <c r="Q17" s="26">
        <f t="shared" si="12"/>
        <v>-0.199999999949796</v>
      </c>
      <c r="R17" s="41"/>
      <c r="S17" s="21">
        <f t="shared" si="3"/>
        <v>44513</v>
      </c>
      <c r="T17" s="42">
        <v>9.1445000000000007</v>
      </c>
      <c r="U17" s="43">
        <f t="shared" si="13"/>
        <v>-0.999999999999446</v>
      </c>
      <c r="V17" s="44">
        <f t="shared" si="14"/>
        <v>-2.0999999999986598</v>
      </c>
      <c r="W17" s="45">
        <f t="shared" si="15"/>
        <v>0.999999999999446</v>
      </c>
      <c r="X17" s="29">
        <v>17.293600000000001</v>
      </c>
      <c r="Y17" s="43">
        <f t="shared" si="16"/>
        <v>0.20000000000308699</v>
      </c>
      <c r="Z17" s="44">
        <f t="shared" si="17"/>
        <v>-2.1999999999984299</v>
      </c>
      <c r="AA17" s="45">
        <f t="shared" si="18"/>
        <v>0.20000000000308699</v>
      </c>
      <c r="AB17" s="49">
        <v>10.6881</v>
      </c>
      <c r="AC17" s="43">
        <f t="shared" si="19"/>
        <v>-0.19999999999953399</v>
      </c>
      <c r="AD17" s="44">
        <f t="shared" si="20"/>
        <v>-1.7999999999993599</v>
      </c>
      <c r="AE17" s="45">
        <f t="shared" si="21"/>
        <v>-0.19999999999953399</v>
      </c>
      <c r="AF17" s="50">
        <v>79190</v>
      </c>
      <c r="AG17" s="58">
        <f t="shared" si="22"/>
        <v>30</v>
      </c>
      <c r="AH17" s="61"/>
      <c r="AI17" s="52"/>
      <c r="AJ17" s="52"/>
      <c r="AK17" s="52"/>
      <c r="AL17" s="52"/>
      <c r="AM17" s="52"/>
    </row>
    <row r="18" spans="1:39">
      <c r="A18" s="21">
        <v>44514</v>
      </c>
      <c r="B18" s="22">
        <v>789.95809999999994</v>
      </c>
      <c r="C18" s="27">
        <v>7.0856000000000003</v>
      </c>
      <c r="D18" s="23">
        <f t="shared" si="0"/>
        <v>797.04369999999994</v>
      </c>
      <c r="E18" s="24">
        <f t="shared" si="4"/>
        <v>-0.70000000005165897</v>
      </c>
      <c r="F18" s="25">
        <f t="shared" si="5"/>
        <v>-2.2000000000161899</v>
      </c>
      <c r="G18" s="26">
        <f t="shared" si="6"/>
        <v>-0.70000000005165897</v>
      </c>
      <c r="H18" s="6">
        <v>7.9783999999999997</v>
      </c>
      <c r="I18" s="35">
        <f t="shared" si="1"/>
        <v>797.93650000000002</v>
      </c>
      <c r="J18" s="24">
        <f t="shared" si="7"/>
        <v>-0.80000000002655702</v>
      </c>
      <c r="K18" s="25">
        <f t="shared" si="8"/>
        <v>-2.2000000000161899</v>
      </c>
      <c r="L18" s="26">
        <f t="shared" si="9"/>
        <v>-0.80000000002655702</v>
      </c>
      <c r="M18" s="6">
        <v>7.0949999999999998</v>
      </c>
      <c r="N18" s="35">
        <f t="shared" si="2"/>
        <v>797.05309999999997</v>
      </c>
      <c r="O18" s="24">
        <f t="shared" si="10"/>
        <v>9.9999999974897905E-2</v>
      </c>
      <c r="P18" s="25">
        <f t="shared" si="11"/>
        <v>-1.70000000002801</v>
      </c>
      <c r="Q18" s="26">
        <f t="shared" si="12"/>
        <v>9.9999999974897905E-2</v>
      </c>
      <c r="R18" s="41"/>
      <c r="S18" s="21">
        <f t="shared" si="3"/>
        <v>44514</v>
      </c>
      <c r="T18" s="42">
        <v>9.1442999999999994</v>
      </c>
      <c r="U18" s="43">
        <f t="shared" si="13"/>
        <v>-0.20000000000130999</v>
      </c>
      <c r="V18" s="44">
        <f t="shared" si="14"/>
        <v>-2.2999999999999701</v>
      </c>
      <c r="W18" s="45">
        <f t="shared" si="15"/>
        <v>0.20000000000130999</v>
      </c>
      <c r="X18" s="29">
        <v>17.292999999999999</v>
      </c>
      <c r="Y18" s="43">
        <f t="shared" si="16"/>
        <v>-0.60000000000215403</v>
      </c>
      <c r="Z18" s="44">
        <f t="shared" si="17"/>
        <v>-2.8000000000005798</v>
      </c>
      <c r="AA18" s="45">
        <f t="shared" si="18"/>
        <v>-0.60000000000215403</v>
      </c>
      <c r="AB18" s="49">
        <v>10.688000000000001</v>
      </c>
      <c r="AC18" s="43">
        <f t="shared" si="19"/>
        <v>-9.99999999997669E-2</v>
      </c>
      <c r="AD18" s="44">
        <f t="shared" si="20"/>
        <v>-1.8999999999991199</v>
      </c>
      <c r="AE18" s="45">
        <f t="shared" si="21"/>
        <v>-9.99999999997669E-2</v>
      </c>
      <c r="AF18" s="50">
        <v>79193</v>
      </c>
      <c r="AG18" s="58">
        <f t="shared" si="22"/>
        <v>33</v>
      </c>
      <c r="AH18" s="61"/>
      <c r="AI18" s="52"/>
      <c r="AJ18" s="52"/>
      <c r="AK18" s="52"/>
      <c r="AL18" s="52"/>
      <c r="AM18" s="52"/>
    </row>
    <row r="19" spans="1:39">
      <c r="A19" s="21">
        <v>44515</v>
      </c>
      <c r="B19" s="22">
        <v>789.95809999999994</v>
      </c>
      <c r="C19" s="27">
        <v>7.0853999999999999</v>
      </c>
      <c r="D19" s="23">
        <f t="shared" si="0"/>
        <v>797.04349999999999</v>
      </c>
      <c r="E19" s="24">
        <f t="shared" si="4"/>
        <v>-0.199999999949796</v>
      </c>
      <c r="F19" s="25">
        <f t="shared" si="5"/>
        <v>-2.39999999996598</v>
      </c>
      <c r="G19" s="26">
        <f t="shared" si="6"/>
        <v>-0.199999999949796</v>
      </c>
      <c r="H19" s="6">
        <v>7.9782000000000002</v>
      </c>
      <c r="I19" s="35">
        <f t="shared" si="1"/>
        <v>797.93629999999996</v>
      </c>
      <c r="J19" s="24">
        <f t="shared" si="7"/>
        <v>-0.199999999949796</v>
      </c>
      <c r="K19" s="25">
        <f t="shared" si="8"/>
        <v>-2.39999999996598</v>
      </c>
      <c r="L19" s="26">
        <f t="shared" si="9"/>
        <v>-0.199999999949796</v>
      </c>
      <c r="M19" s="6">
        <v>7.0945</v>
      </c>
      <c r="N19" s="35">
        <f t="shared" si="2"/>
        <v>797.05259999999998</v>
      </c>
      <c r="O19" s="24">
        <f t="shared" si="10"/>
        <v>-0.49999999998817701</v>
      </c>
      <c r="P19" s="25">
        <f t="shared" si="11"/>
        <v>-2.2000000000161899</v>
      </c>
      <c r="Q19" s="26">
        <f t="shared" si="12"/>
        <v>-0.49999999998817701</v>
      </c>
      <c r="R19" s="41"/>
      <c r="S19" s="21">
        <f t="shared" si="3"/>
        <v>44515</v>
      </c>
      <c r="T19" s="42">
        <v>9.1452000000000009</v>
      </c>
      <c r="U19" s="43">
        <f t="shared" si="13"/>
        <v>0.90000000000145497</v>
      </c>
      <c r="V19" s="44">
        <f t="shared" si="14"/>
        <v>-1.39999999999851</v>
      </c>
      <c r="W19" s="45">
        <f t="shared" si="15"/>
        <v>-0.90000000000145497</v>
      </c>
      <c r="X19" s="29">
        <v>17.2928</v>
      </c>
      <c r="Y19" s="43">
        <f t="shared" si="16"/>
        <v>-0.19999999999953399</v>
      </c>
      <c r="Z19" s="44">
        <f t="shared" si="17"/>
        <v>-3.0000000000001101</v>
      </c>
      <c r="AA19" s="45">
        <f t="shared" si="18"/>
        <v>-0.19999999999953399</v>
      </c>
      <c r="AB19" s="49">
        <v>10.6877</v>
      </c>
      <c r="AC19" s="43">
        <f t="shared" si="19"/>
        <v>-0.30000000000107702</v>
      </c>
      <c r="AD19" s="44">
        <f t="shared" si="20"/>
        <v>-2.2000000000002</v>
      </c>
      <c r="AE19" s="45">
        <f t="shared" si="21"/>
        <v>-0.30000000000107702</v>
      </c>
      <c r="AF19" s="50">
        <v>79196</v>
      </c>
      <c r="AG19" s="58">
        <f t="shared" si="22"/>
        <v>36</v>
      </c>
      <c r="AH19" s="61"/>
      <c r="AI19" s="52"/>
      <c r="AJ19" s="52"/>
      <c r="AK19" s="52"/>
      <c r="AL19" s="52"/>
      <c r="AM19" s="52"/>
    </row>
    <row r="20" spans="1:39">
      <c r="A20" s="21">
        <v>44516</v>
      </c>
      <c r="B20" s="22">
        <v>789.95809999999994</v>
      </c>
      <c r="C20" s="27">
        <v>7.0860000000000003</v>
      </c>
      <c r="D20" s="23">
        <f t="shared" si="0"/>
        <v>797.04409999999996</v>
      </c>
      <c r="E20" s="24">
        <f t="shared" si="4"/>
        <v>0.59999999996307496</v>
      </c>
      <c r="F20" s="25">
        <f t="shared" si="5"/>
        <v>-1.8000000000029099</v>
      </c>
      <c r="G20" s="26">
        <f t="shared" si="6"/>
        <v>0.59999999996307496</v>
      </c>
      <c r="H20" s="6">
        <v>7.9782999999999999</v>
      </c>
      <c r="I20" s="35">
        <f t="shared" si="1"/>
        <v>797.93640000000005</v>
      </c>
      <c r="J20" s="24">
        <f t="shared" si="7"/>
        <v>9.9999999974897905E-2</v>
      </c>
      <c r="K20" s="25">
        <f t="shared" si="8"/>
        <v>-2.2999999999910901</v>
      </c>
      <c r="L20" s="26">
        <f t="shared" si="9"/>
        <v>9.9999999974897905E-2</v>
      </c>
      <c r="M20" s="6">
        <v>7.0942999999999996</v>
      </c>
      <c r="N20" s="35">
        <f t="shared" si="2"/>
        <v>797.05240000000003</v>
      </c>
      <c r="O20" s="24">
        <f t="shared" si="10"/>
        <v>-0.20000000006348301</v>
      </c>
      <c r="P20" s="25">
        <f t="shared" si="11"/>
        <v>-2.40000000007967</v>
      </c>
      <c r="Q20" s="26">
        <f t="shared" si="12"/>
        <v>-0.20000000006348301</v>
      </c>
      <c r="R20" s="41"/>
      <c r="S20" s="21">
        <f t="shared" si="3"/>
        <v>44516</v>
      </c>
      <c r="T20" s="42">
        <v>9.1445000000000007</v>
      </c>
      <c r="U20" s="43">
        <f t="shared" si="13"/>
        <v>-0.70000000000014495</v>
      </c>
      <c r="V20" s="44">
        <f t="shared" si="14"/>
        <v>-2.0999999999986598</v>
      </c>
      <c r="W20" s="45">
        <f t="shared" si="15"/>
        <v>0.70000000000014495</v>
      </c>
      <c r="X20" s="29">
        <v>17.2925</v>
      </c>
      <c r="Y20" s="43">
        <f t="shared" si="16"/>
        <v>-0.29999999999930099</v>
      </c>
      <c r="Z20" s="44">
        <f t="shared" si="17"/>
        <v>-3.2999999999994101</v>
      </c>
      <c r="AA20" s="45">
        <f t="shared" si="18"/>
        <v>-0.29999999999930099</v>
      </c>
      <c r="AB20" s="49">
        <v>10.687200000000001</v>
      </c>
      <c r="AC20" s="43">
        <f t="shared" si="19"/>
        <v>-0.49999999999883499</v>
      </c>
      <c r="AD20" s="44">
        <f t="shared" si="20"/>
        <v>-2.6999999999990401</v>
      </c>
      <c r="AE20" s="45">
        <f t="shared" si="21"/>
        <v>-0.49999999999883499</v>
      </c>
      <c r="AF20" s="50">
        <v>79199</v>
      </c>
      <c r="AG20" s="58">
        <f t="shared" si="22"/>
        <v>39</v>
      </c>
      <c r="AH20" s="61"/>
      <c r="AI20" s="52"/>
      <c r="AJ20" s="52"/>
      <c r="AK20" s="52"/>
      <c r="AL20" s="52"/>
      <c r="AM20" s="52"/>
    </row>
    <row r="21" spans="1:39">
      <c r="A21" s="21">
        <v>44518</v>
      </c>
      <c r="B21" s="22">
        <v>789.95809999999994</v>
      </c>
      <c r="C21" s="27">
        <v>7.0849999999999902</v>
      </c>
      <c r="D21" s="23">
        <f t="shared" si="0"/>
        <v>797.04309999999998</v>
      </c>
      <c r="E21" s="24">
        <f t="shared" si="4"/>
        <v>-0.99999999997635303</v>
      </c>
      <c r="F21" s="25">
        <f t="shared" si="5"/>
        <v>-2.79999999997926</v>
      </c>
      <c r="G21" s="26">
        <f t="shared" si="6"/>
        <v>-0.49999999998817701</v>
      </c>
      <c r="H21" s="6">
        <v>7.9779999999999998</v>
      </c>
      <c r="I21" s="35">
        <f t="shared" si="1"/>
        <v>797.93610000000001</v>
      </c>
      <c r="J21" s="24">
        <f t="shared" si="7"/>
        <v>-0.30000000003838101</v>
      </c>
      <c r="K21" s="25">
        <f t="shared" si="8"/>
        <v>-2.6000000000294698</v>
      </c>
      <c r="L21" s="26">
        <f t="shared" si="9"/>
        <v>-0.15000000001919001</v>
      </c>
      <c r="M21" s="6">
        <v>7.0945999999999998</v>
      </c>
      <c r="N21" s="35">
        <f t="shared" si="2"/>
        <v>797.05269999999996</v>
      </c>
      <c r="O21" s="24">
        <f t="shared" si="10"/>
        <v>0.30000000003838101</v>
      </c>
      <c r="P21" s="25">
        <f t="shared" si="11"/>
        <v>-2.1000000000412902</v>
      </c>
      <c r="Q21" s="26">
        <f t="shared" si="12"/>
        <v>0.15000000001919001</v>
      </c>
      <c r="R21" s="41"/>
      <c r="S21" s="21">
        <f t="shared" si="3"/>
        <v>44518</v>
      </c>
      <c r="T21" s="42">
        <v>9.1440999999999999</v>
      </c>
      <c r="U21" s="43">
        <f t="shared" si="13"/>
        <v>-0.40000000000084401</v>
      </c>
      <c r="V21" s="44">
        <f t="shared" si="14"/>
        <v>-2.4999999999995</v>
      </c>
      <c r="W21" s="45">
        <f t="shared" si="15"/>
        <v>0.20000000000042201</v>
      </c>
      <c r="X21" s="29">
        <v>17.2926</v>
      </c>
      <c r="Y21" s="43">
        <f t="shared" si="16"/>
        <v>9.99999999997669E-2</v>
      </c>
      <c r="Z21" s="44">
        <f t="shared" si="17"/>
        <v>-3.1999999999996498</v>
      </c>
      <c r="AA21" s="45">
        <f t="shared" si="18"/>
        <v>4.9999999999883499E-2</v>
      </c>
      <c r="AB21" s="49">
        <v>10.687099999999999</v>
      </c>
      <c r="AC21" s="43">
        <f t="shared" si="19"/>
        <v>-0.10000000000154299</v>
      </c>
      <c r="AD21" s="44">
        <f t="shared" si="20"/>
        <v>-2.8000000000005798</v>
      </c>
      <c r="AE21" s="45">
        <f t="shared" si="21"/>
        <v>-5.0000000000771601E-2</v>
      </c>
      <c r="AF21" s="50">
        <v>79205</v>
      </c>
      <c r="AG21" s="58">
        <f t="shared" si="22"/>
        <v>45</v>
      </c>
      <c r="AH21" s="61"/>
      <c r="AI21" s="52"/>
      <c r="AJ21" s="52"/>
      <c r="AK21" s="52"/>
      <c r="AL21" s="52"/>
      <c r="AM21" s="52"/>
    </row>
    <row r="22" spans="1:39">
      <c r="A22" s="21">
        <v>44520</v>
      </c>
      <c r="B22" s="22">
        <v>789.95809999999994</v>
      </c>
      <c r="C22" s="27">
        <v>7.0853000000000002</v>
      </c>
      <c r="D22" s="23">
        <f t="shared" si="0"/>
        <v>797.04340000000002</v>
      </c>
      <c r="E22" s="24">
        <f t="shared" si="4"/>
        <v>0.29999999992469401</v>
      </c>
      <c r="F22" s="25">
        <f t="shared" si="5"/>
        <v>-2.5000000000545701</v>
      </c>
      <c r="G22" s="26">
        <f t="shared" si="6"/>
        <v>0.149999999962347</v>
      </c>
      <c r="H22" s="6">
        <v>7.9781000000000004</v>
      </c>
      <c r="I22" s="35">
        <f t="shared" si="1"/>
        <v>797.93619999999999</v>
      </c>
      <c r="J22" s="24">
        <f t="shared" si="7"/>
        <v>0.10000000008858501</v>
      </c>
      <c r="K22" s="25">
        <f t="shared" si="8"/>
        <v>-2.4999999999408802</v>
      </c>
      <c r="L22" s="26">
        <f t="shared" si="9"/>
        <v>5.0000000044292399E-2</v>
      </c>
      <c r="M22" s="6">
        <v>7.0945</v>
      </c>
      <c r="N22" s="35">
        <f t="shared" si="2"/>
        <v>797.05259999999998</v>
      </c>
      <c r="O22" s="24">
        <f t="shared" si="10"/>
        <v>-9.9999999974897905E-2</v>
      </c>
      <c r="P22" s="25">
        <f t="shared" si="11"/>
        <v>-2.2000000000161899</v>
      </c>
      <c r="Q22" s="26">
        <f t="shared" si="12"/>
        <v>-4.9999999987449001E-2</v>
      </c>
      <c r="R22" s="41"/>
      <c r="S22" s="21">
        <f t="shared" si="3"/>
        <v>44520</v>
      </c>
      <c r="T22" s="42">
        <v>9.1441999999999997</v>
      </c>
      <c r="U22" s="43">
        <f t="shared" si="13"/>
        <v>9.99999999997669E-2</v>
      </c>
      <c r="V22" s="44">
        <f t="shared" si="14"/>
        <v>-2.3999999999997401</v>
      </c>
      <c r="W22" s="45">
        <f t="shared" si="15"/>
        <v>-4.9999999999883499E-2</v>
      </c>
      <c r="X22" s="29">
        <v>17.2928</v>
      </c>
      <c r="Y22" s="43">
        <f t="shared" si="16"/>
        <v>0.19999999999953399</v>
      </c>
      <c r="Z22" s="44">
        <f t="shared" si="17"/>
        <v>-3.0000000000001101</v>
      </c>
      <c r="AA22" s="45">
        <f t="shared" si="18"/>
        <v>9.99999999997669E-2</v>
      </c>
      <c r="AB22" s="49">
        <v>10.687099999999999</v>
      </c>
      <c r="AC22" s="43">
        <f t="shared" si="19"/>
        <v>0</v>
      </c>
      <c r="AD22" s="44">
        <f t="shared" si="20"/>
        <v>-2.8000000000005798</v>
      </c>
      <c r="AE22" s="45">
        <f t="shared" si="21"/>
        <v>0</v>
      </c>
      <c r="AF22" s="50">
        <v>79208</v>
      </c>
      <c r="AG22" s="58">
        <f t="shared" si="22"/>
        <v>48</v>
      </c>
      <c r="AH22" s="61"/>
      <c r="AI22" s="52"/>
      <c r="AJ22" s="52"/>
      <c r="AK22" s="52"/>
      <c r="AL22" s="52"/>
      <c r="AM22" s="52"/>
    </row>
    <row r="23" spans="1:39">
      <c r="A23" s="21">
        <v>44522</v>
      </c>
      <c r="B23" s="22">
        <v>789.95809999999994</v>
      </c>
      <c r="C23" s="27">
        <v>7.0850999999999997</v>
      </c>
      <c r="D23" s="23">
        <f t="shared" ref="D23:D34" si="23">C23+B23</f>
        <v>797.04319999999996</v>
      </c>
      <c r="E23" s="24">
        <f t="shared" ref="E23:E34" si="24">(D23-D22)*1000</f>
        <v>-0.199999999949796</v>
      </c>
      <c r="F23" s="25">
        <f t="shared" ref="F23:F27" si="25">F22+E23</f>
        <v>-2.70000000000437</v>
      </c>
      <c r="G23" s="26">
        <f t="shared" ref="G23:G27" si="26">E23/(A23-A22)</f>
        <v>-9.9999999974897905E-2</v>
      </c>
      <c r="H23" s="6">
        <v>7.9782000000000002</v>
      </c>
      <c r="I23" s="35">
        <f t="shared" ref="I23:I34" si="27">H23+B23</f>
        <v>797.93629999999996</v>
      </c>
      <c r="J23" s="24">
        <f t="shared" ref="J23:J34" si="28">(I23-I22)*1000</f>
        <v>9.9999999974897905E-2</v>
      </c>
      <c r="K23" s="25">
        <f t="shared" ref="K23:K27" si="29">K22+J23</f>
        <v>-2.39999999996598</v>
      </c>
      <c r="L23" s="26">
        <f t="shared" ref="L23:L27" si="30">J23/(A23-A22)</f>
        <v>4.9999999987449001E-2</v>
      </c>
      <c r="M23" s="6">
        <v>7.0944000000000003</v>
      </c>
      <c r="N23" s="35">
        <f t="shared" ref="N23:N34" si="31">M23+B23</f>
        <v>797.05250000000001</v>
      </c>
      <c r="O23" s="24">
        <f t="shared" ref="O23:O34" si="32">(N23-N22)*1000</f>
        <v>-0.10000000008858501</v>
      </c>
      <c r="P23" s="25">
        <f t="shared" ref="P23:P27" si="33">P22+O23</f>
        <v>-2.3000000001047698</v>
      </c>
      <c r="Q23" s="26">
        <f t="shared" ref="Q23:Q27" si="34">O23/(A23-A22)</f>
        <v>-5.0000000044292399E-2</v>
      </c>
      <c r="S23" s="21">
        <f t="shared" ref="S23:S32" si="35">A23</f>
        <v>44522</v>
      </c>
      <c r="T23" s="42">
        <v>9.1442999999999994</v>
      </c>
      <c r="U23" s="43">
        <f t="shared" ref="U23:U34" si="36">(T23-T22)*1000</f>
        <v>9.99999999997669E-2</v>
      </c>
      <c r="V23" s="44">
        <f t="shared" ref="V23:V27" si="37">V22+U23</f>
        <v>-2.2999999999999701</v>
      </c>
      <c r="W23" s="45">
        <f t="shared" ref="W23:W27" si="38">U23/(S22-S23)</f>
        <v>-4.9999999999883499E-2</v>
      </c>
      <c r="X23" s="29">
        <v>17.2925</v>
      </c>
      <c r="Y23" s="43">
        <f t="shared" ref="Y23:Y34" si="39">(X23-X22)*1000</f>
        <v>-0.29999999999930099</v>
      </c>
      <c r="Z23" s="44">
        <f t="shared" ref="Z23:Z27" si="40">Z22+Y23</f>
        <v>-3.2999999999994101</v>
      </c>
      <c r="AA23" s="45">
        <f t="shared" ref="AA23:AA27" si="41">Y23/(S23-S22)</f>
        <v>-0.14999999999965</v>
      </c>
      <c r="AB23" s="49">
        <v>10.687200000000001</v>
      </c>
      <c r="AC23" s="43">
        <f t="shared" ref="AC23:AC34" si="42">(AB23-AB22)*1000</f>
        <v>0.10000000000154299</v>
      </c>
      <c r="AD23" s="44">
        <f t="shared" ref="AD23:AD27" si="43">AD22+AC23</f>
        <v>-2.6999999999990401</v>
      </c>
      <c r="AE23" s="45">
        <f t="shared" ref="AE23:AE27" si="44">AC23/(S23-S22)</f>
        <v>5.0000000000771601E-2</v>
      </c>
      <c r="AF23" s="50">
        <v>79211</v>
      </c>
      <c r="AG23" s="58">
        <f t="shared" ref="AG23:AG34" si="45">AF23-79160</f>
        <v>51</v>
      </c>
      <c r="AH23" s="61"/>
      <c r="AI23" s="52"/>
      <c r="AJ23" s="52"/>
      <c r="AK23" s="52"/>
      <c r="AL23" s="52"/>
      <c r="AM23" s="52"/>
    </row>
    <row r="24" spans="1:39">
      <c r="A24" s="21">
        <v>44524</v>
      </c>
      <c r="B24" s="22">
        <v>789.95809999999994</v>
      </c>
      <c r="C24" s="27">
        <v>7.0848000000000004</v>
      </c>
      <c r="D24" s="23">
        <f t="shared" si="23"/>
        <v>797.04290000000003</v>
      </c>
      <c r="E24" s="24">
        <f t="shared" si="24"/>
        <v>-0.30000000003838101</v>
      </c>
      <c r="F24" s="25">
        <f t="shared" si="25"/>
        <v>-3.0000000000427498</v>
      </c>
      <c r="G24" s="26">
        <f t="shared" si="26"/>
        <v>-0.15000000001919001</v>
      </c>
      <c r="H24" s="6">
        <v>7.9785000000000004</v>
      </c>
      <c r="I24" s="35">
        <f t="shared" si="27"/>
        <v>797.9366</v>
      </c>
      <c r="J24" s="24">
        <f t="shared" si="28"/>
        <v>0.30000000003838101</v>
      </c>
      <c r="K24" s="25">
        <f t="shared" si="29"/>
        <v>-2.0999999999275998</v>
      </c>
      <c r="L24" s="26">
        <f t="shared" si="30"/>
        <v>0.15000000001919001</v>
      </c>
      <c r="M24" s="6">
        <v>7.0948000000000002</v>
      </c>
      <c r="N24" s="35">
        <f t="shared" si="31"/>
        <v>797.05290000000002</v>
      </c>
      <c r="O24" s="24">
        <f t="shared" si="32"/>
        <v>0.40000000001327901</v>
      </c>
      <c r="P24" s="25">
        <f t="shared" si="33"/>
        <v>-1.9000000000915001</v>
      </c>
      <c r="Q24" s="26">
        <f t="shared" si="34"/>
        <v>0.20000000000663901</v>
      </c>
      <c r="R24" s="41"/>
      <c r="S24" s="21">
        <f t="shared" si="35"/>
        <v>44524</v>
      </c>
      <c r="T24" s="42">
        <v>9.1441999999999997</v>
      </c>
      <c r="U24" s="43">
        <f t="shared" si="36"/>
        <v>-9.99999999997669E-2</v>
      </c>
      <c r="V24" s="44">
        <f t="shared" si="37"/>
        <v>-2.3999999999997401</v>
      </c>
      <c r="W24" s="45">
        <f t="shared" si="38"/>
        <v>4.9999999999883499E-2</v>
      </c>
      <c r="X24" s="29">
        <v>17.293199999999999</v>
      </c>
      <c r="Y24" s="43">
        <f t="shared" si="39"/>
        <v>0.69999999999836904</v>
      </c>
      <c r="Z24" s="44">
        <f t="shared" si="40"/>
        <v>-2.6000000000010499</v>
      </c>
      <c r="AA24" s="45">
        <f t="shared" si="41"/>
        <v>0.34999999999918402</v>
      </c>
      <c r="AB24" s="49">
        <v>10.687099999999999</v>
      </c>
      <c r="AC24" s="43">
        <f t="shared" si="42"/>
        <v>-0.10000000000154299</v>
      </c>
      <c r="AD24" s="44">
        <f t="shared" si="43"/>
        <v>-2.8000000000005798</v>
      </c>
      <c r="AE24" s="45">
        <f t="shared" si="44"/>
        <v>-5.0000000000771601E-2</v>
      </c>
      <c r="AF24" s="50">
        <v>79214</v>
      </c>
      <c r="AG24" s="58">
        <f t="shared" si="45"/>
        <v>54</v>
      </c>
      <c r="AH24" s="61"/>
      <c r="AI24" s="60"/>
      <c r="AJ24"/>
      <c r="AK24"/>
      <c r="AL24"/>
      <c r="AM24"/>
    </row>
    <row r="25" spans="1:39">
      <c r="A25" s="21">
        <v>44526</v>
      </c>
      <c r="B25" s="22">
        <v>789.95809999999994</v>
      </c>
      <c r="C25" s="27">
        <v>7.0846999999999998</v>
      </c>
      <c r="D25" s="23">
        <f t="shared" si="23"/>
        <v>797.04280000000006</v>
      </c>
      <c r="E25" s="24">
        <f t="shared" si="24"/>
        <v>-9.9999999974897905E-2</v>
      </c>
      <c r="F25" s="25">
        <f t="shared" si="25"/>
        <v>-3.1000000000176402</v>
      </c>
      <c r="G25" s="26">
        <f t="shared" si="26"/>
        <v>-4.9999999987449001E-2</v>
      </c>
      <c r="H25" s="6">
        <v>7.9783999999999997</v>
      </c>
      <c r="I25" s="35">
        <f t="shared" si="27"/>
        <v>797.93650000000002</v>
      </c>
      <c r="J25" s="24">
        <f t="shared" si="28"/>
        <v>-0.10000000008858501</v>
      </c>
      <c r="K25" s="25">
        <f t="shared" si="29"/>
        <v>-2.2000000000161899</v>
      </c>
      <c r="L25" s="26">
        <f t="shared" si="30"/>
        <v>-5.0000000044292399E-2</v>
      </c>
      <c r="M25" s="6">
        <v>7.0941999999999998</v>
      </c>
      <c r="N25" s="35">
        <f t="shared" si="31"/>
        <v>797.05229999999995</v>
      </c>
      <c r="O25" s="24">
        <f t="shared" si="32"/>
        <v>-0.59999999996307496</v>
      </c>
      <c r="P25" s="25">
        <f t="shared" si="33"/>
        <v>-2.5000000000545701</v>
      </c>
      <c r="Q25" s="26">
        <f t="shared" si="34"/>
        <v>-0.29999999998153698</v>
      </c>
      <c r="R25" s="41"/>
      <c r="S25" s="21">
        <f t="shared" si="35"/>
        <v>44526</v>
      </c>
      <c r="T25" s="42">
        <v>9.1445000000000007</v>
      </c>
      <c r="U25" s="43">
        <f t="shared" si="36"/>
        <v>0.30000000000107702</v>
      </c>
      <c r="V25" s="44">
        <f t="shared" si="37"/>
        <v>-2.0999999999986598</v>
      </c>
      <c r="W25" s="45">
        <f t="shared" si="38"/>
        <v>-0.15000000000053901</v>
      </c>
      <c r="X25" s="29">
        <v>17.293399999999998</v>
      </c>
      <c r="Y25" s="43">
        <f t="shared" si="39"/>
        <v>0.19999999999953399</v>
      </c>
      <c r="Z25" s="44">
        <f t="shared" si="40"/>
        <v>-2.4000000000015098</v>
      </c>
      <c r="AA25" s="45">
        <f t="shared" si="41"/>
        <v>9.99999999997669E-2</v>
      </c>
      <c r="AB25" s="49">
        <v>10.687099999999999</v>
      </c>
      <c r="AC25" s="43">
        <f t="shared" si="42"/>
        <v>0</v>
      </c>
      <c r="AD25" s="44">
        <f t="shared" si="43"/>
        <v>-2.8000000000005798</v>
      </c>
      <c r="AE25" s="45">
        <f t="shared" si="44"/>
        <v>0</v>
      </c>
      <c r="AF25" s="50">
        <v>79217</v>
      </c>
      <c r="AG25" s="58">
        <f t="shared" si="45"/>
        <v>57</v>
      </c>
      <c r="AH25" s="61"/>
      <c r="AI25" s="52"/>
      <c r="AJ25" s="52"/>
      <c r="AK25" s="52"/>
      <c r="AL25" s="52"/>
      <c r="AM25" s="52"/>
    </row>
    <row r="26" spans="1:39">
      <c r="A26" s="21">
        <v>44528</v>
      </c>
      <c r="B26" s="22">
        <v>789.95809999999994</v>
      </c>
      <c r="C26" s="27">
        <v>7.0845000000000002</v>
      </c>
      <c r="D26" s="23">
        <f t="shared" si="23"/>
        <v>797.04259999999999</v>
      </c>
      <c r="E26" s="24">
        <f t="shared" si="24"/>
        <v>-0.199999999949796</v>
      </c>
      <c r="F26" s="25">
        <f t="shared" si="25"/>
        <v>-3.2999999999674401</v>
      </c>
      <c r="G26" s="26">
        <f t="shared" si="26"/>
        <v>-9.9999999974897905E-2</v>
      </c>
      <c r="H26" s="6">
        <v>7.9782000000000002</v>
      </c>
      <c r="I26" s="35">
        <f t="shared" si="27"/>
        <v>797.93629999999996</v>
      </c>
      <c r="J26" s="24">
        <f t="shared" si="28"/>
        <v>-0.199999999949796</v>
      </c>
      <c r="K26" s="25">
        <f t="shared" si="29"/>
        <v>-2.39999999996598</v>
      </c>
      <c r="L26" s="26">
        <f t="shared" si="30"/>
        <v>-9.9999999974897905E-2</v>
      </c>
      <c r="M26" s="6">
        <v>7.0941000000000001</v>
      </c>
      <c r="N26" s="35">
        <f t="shared" si="31"/>
        <v>797.05219999999997</v>
      </c>
      <c r="O26" s="24">
        <f t="shared" si="32"/>
        <v>-9.9999999974897905E-2</v>
      </c>
      <c r="P26" s="25">
        <f t="shared" si="33"/>
        <v>-2.6000000000294698</v>
      </c>
      <c r="Q26" s="26">
        <f t="shared" si="34"/>
        <v>-4.9999999987449001E-2</v>
      </c>
      <c r="R26" s="41"/>
      <c r="S26" s="21">
        <f t="shared" si="35"/>
        <v>44528</v>
      </c>
      <c r="T26" s="42">
        <v>9.1446000000000005</v>
      </c>
      <c r="U26" s="43">
        <f t="shared" si="36"/>
        <v>9.99999999997669E-2</v>
      </c>
      <c r="V26" s="44">
        <f t="shared" si="37"/>
        <v>-1.99999999999889</v>
      </c>
      <c r="W26" s="45">
        <f t="shared" si="38"/>
        <v>-4.9999999999883499E-2</v>
      </c>
      <c r="X26" s="29">
        <v>17.293600000000001</v>
      </c>
      <c r="Y26" s="43">
        <f t="shared" si="39"/>
        <v>0.20000000000308699</v>
      </c>
      <c r="Z26" s="44">
        <f t="shared" si="40"/>
        <v>-2.1999999999984299</v>
      </c>
      <c r="AA26" s="45">
        <f t="shared" si="41"/>
        <v>0.10000000000154299</v>
      </c>
      <c r="AB26" s="49">
        <v>10.686500000000001</v>
      </c>
      <c r="AC26" s="43">
        <f t="shared" si="42"/>
        <v>-0.59999999999860198</v>
      </c>
      <c r="AD26" s="44">
        <f t="shared" si="43"/>
        <v>-3.3999999999991801</v>
      </c>
      <c r="AE26" s="45">
        <f t="shared" si="44"/>
        <v>-0.29999999999930099</v>
      </c>
      <c r="AF26" s="50">
        <v>79220</v>
      </c>
      <c r="AG26" s="58">
        <f t="shared" si="45"/>
        <v>60</v>
      </c>
      <c r="AH26" s="61"/>
      <c r="AI26" s="60"/>
      <c r="AJ26" s="61"/>
      <c r="AK26" s="62"/>
      <c r="AL26" s="60"/>
      <c r="AM26" s="64"/>
    </row>
    <row r="27" spans="1:39">
      <c r="A27" s="21">
        <v>44530</v>
      </c>
      <c r="B27" s="22">
        <v>789.95809999999994</v>
      </c>
      <c r="C27" s="27">
        <v>7.0846</v>
      </c>
      <c r="D27" s="23">
        <f t="shared" si="23"/>
        <v>797.04269999999997</v>
      </c>
      <c r="E27" s="24">
        <f t="shared" si="24"/>
        <v>9.9999999974897905E-2</v>
      </c>
      <c r="F27" s="25">
        <f t="shared" si="25"/>
        <v>-3.1999999999925399</v>
      </c>
      <c r="G27" s="26">
        <f t="shared" si="26"/>
        <v>4.9999999987449001E-2</v>
      </c>
      <c r="H27" s="6">
        <v>7.9786000000000001</v>
      </c>
      <c r="I27" s="35">
        <f t="shared" si="27"/>
        <v>797.93669999999997</v>
      </c>
      <c r="J27" s="24">
        <f t="shared" si="28"/>
        <v>0.40000000001327901</v>
      </c>
      <c r="K27" s="25">
        <f t="shared" si="29"/>
        <v>-1.9999999999527101</v>
      </c>
      <c r="L27" s="26">
        <f t="shared" si="30"/>
        <v>0.20000000000663901</v>
      </c>
      <c r="M27" s="6">
        <v>7.0940000000000003</v>
      </c>
      <c r="N27" s="35">
        <f t="shared" si="31"/>
        <v>797.0521</v>
      </c>
      <c r="O27" s="24">
        <f t="shared" si="32"/>
        <v>-9.9999999974897905E-2</v>
      </c>
      <c r="P27" s="25">
        <f t="shared" si="33"/>
        <v>-2.70000000000437</v>
      </c>
      <c r="Q27" s="26">
        <f t="shared" si="34"/>
        <v>-4.9999999987449001E-2</v>
      </c>
      <c r="R27" s="41"/>
      <c r="S27" s="21">
        <f t="shared" si="35"/>
        <v>44530</v>
      </c>
      <c r="T27" s="42">
        <v>9.1445000000000007</v>
      </c>
      <c r="U27" s="43">
        <f t="shared" si="36"/>
        <v>-9.99999999997669E-2</v>
      </c>
      <c r="V27" s="44">
        <f t="shared" si="37"/>
        <v>-2.0999999999986598</v>
      </c>
      <c r="W27" s="45">
        <f t="shared" si="38"/>
        <v>4.9999999999883499E-2</v>
      </c>
      <c r="X27" s="29">
        <v>17.293500000000002</v>
      </c>
      <c r="Y27" s="43">
        <f t="shared" si="39"/>
        <v>-9.99999999997669E-2</v>
      </c>
      <c r="Z27" s="44">
        <f t="shared" si="40"/>
        <v>-2.2999999999981902</v>
      </c>
      <c r="AA27" s="45">
        <f t="shared" si="41"/>
        <v>-4.9999999999883499E-2</v>
      </c>
      <c r="AB27" s="49">
        <v>10.686299999999999</v>
      </c>
      <c r="AC27" s="43">
        <f t="shared" si="42"/>
        <v>-0.20000000000130999</v>
      </c>
      <c r="AD27" s="44">
        <f t="shared" si="43"/>
        <v>-3.6000000000004899</v>
      </c>
      <c r="AE27" s="45">
        <f t="shared" si="44"/>
        <v>-0.100000000000655</v>
      </c>
      <c r="AF27" s="50">
        <v>79223</v>
      </c>
      <c r="AG27" s="58">
        <f t="shared" si="45"/>
        <v>63</v>
      </c>
      <c r="AH27" s="61"/>
      <c r="AI27" s="60"/>
      <c r="AJ27" s="61"/>
      <c r="AK27" s="62"/>
      <c r="AL27" s="60"/>
      <c r="AM27" s="64"/>
    </row>
    <row r="28" spans="1:39">
      <c r="A28" s="21">
        <v>44532</v>
      </c>
      <c r="B28" s="22">
        <v>789.95809999999994</v>
      </c>
      <c r="C28" s="27">
        <v>7.0843999999999996</v>
      </c>
      <c r="D28" s="23">
        <f t="shared" si="23"/>
        <v>797.04250000000002</v>
      </c>
      <c r="E28" s="24">
        <f t="shared" si="24"/>
        <v>-0.20000000006348301</v>
      </c>
      <c r="F28" s="25">
        <f t="shared" ref="F28:F34" si="46">F27+E28</f>
        <v>-3.40000000005602</v>
      </c>
      <c r="G28" s="26">
        <f t="shared" ref="G28:G34" si="47">E28/(A28-A27)</f>
        <v>-0.100000000031741</v>
      </c>
      <c r="H28" s="6">
        <v>7.9787999999999997</v>
      </c>
      <c r="I28" s="35">
        <f t="shared" si="27"/>
        <v>797.93690000000004</v>
      </c>
      <c r="J28" s="24">
        <f t="shared" si="28"/>
        <v>0.199999999949796</v>
      </c>
      <c r="K28" s="25">
        <f t="shared" ref="K28:K34" si="48">K27+J28</f>
        <v>-1.8000000000029099</v>
      </c>
      <c r="L28" s="26">
        <f t="shared" ref="L28:L34" si="49">J28/(A28-A27)</f>
        <v>9.9999999974897905E-2</v>
      </c>
      <c r="M28" s="6">
        <v>7.0938999999999997</v>
      </c>
      <c r="N28" s="35">
        <f t="shared" si="31"/>
        <v>797.05200000000002</v>
      </c>
      <c r="O28" s="24">
        <f t="shared" si="32"/>
        <v>-0.10000000008858501</v>
      </c>
      <c r="P28" s="25">
        <f t="shared" ref="P28:P34" si="50">P27+O28</f>
        <v>-2.8000000000929499</v>
      </c>
      <c r="Q28" s="26">
        <f t="shared" ref="Q28:Q34" si="51">O28/(A28-A27)</f>
        <v>-5.0000000044292399E-2</v>
      </c>
      <c r="R28" s="41"/>
      <c r="S28" s="21">
        <f t="shared" si="35"/>
        <v>44532</v>
      </c>
      <c r="T28" s="42">
        <v>9.1447000000000003</v>
      </c>
      <c r="U28" s="43">
        <f t="shared" si="36"/>
        <v>0.19999999999953399</v>
      </c>
      <c r="V28" s="44">
        <f t="shared" ref="V28:V34" si="52">V27+U28</f>
        <v>-1.8999999999991199</v>
      </c>
      <c r="W28" s="45">
        <f t="shared" ref="W28:W34" si="53">U28/(S27-S28)</f>
        <v>-9.99999999997669E-2</v>
      </c>
      <c r="X28" s="29">
        <v>17.293299999999999</v>
      </c>
      <c r="Y28" s="43">
        <f t="shared" si="39"/>
        <v>-0.20000000000308699</v>
      </c>
      <c r="Z28" s="44">
        <f t="shared" ref="Z28:Z34" si="54">Z27+Y28</f>
        <v>-2.5000000000012799</v>
      </c>
      <c r="AA28" s="45">
        <f t="shared" ref="AA28:AA34" si="55">Y28/(S28-S27)</f>
        <v>-0.10000000000154299</v>
      </c>
      <c r="AB28" s="49">
        <v>10.6866</v>
      </c>
      <c r="AC28" s="43">
        <f t="shared" si="42"/>
        <v>0.30000000000107702</v>
      </c>
      <c r="AD28" s="44">
        <f t="shared" ref="AD28:AD34" si="56">AD27+AC28</f>
        <v>-3.2999999999994101</v>
      </c>
      <c r="AE28" s="45">
        <f t="shared" ref="AE28:AE34" si="57">AC28/(S28-S27)</f>
        <v>0.15000000000053901</v>
      </c>
      <c r="AF28" s="50">
        <v>79226</v>
      </c>
      <c r="AG28" s="58">
        <f t="shared" si="45"/>
        <v>66</v>
      </c>
      <c r="AH28" s="61"/>
      <c r="AI28" s="60"/>
      <c r="AJ28" s="61"/>
      <c r="AK28" s="62"/>
      <c r="AL28" s="60"/>
      <c r="AM28" s="64"/>
    </row>
    <row r="29" spans="1:39">
      <c r="A29" s="21">
        <v>44534</v>
      </c>
      <c r="B29" s="22">
        <v>789.95809999999994</v>
      </c>
      <c r="C29" s="27">
        <v>7.0841000000000003</v>
      </c>
      <c r="D29" s="23">
        <f t="shared" si="23"/>
        <v>797.04219999999998</v>
      </c>
      <c r="E29" s="24">
        <f t="shared" si="24"/>
        <v>-0.29999999992469401</v>
      </c>
      <c r="F29" s="25">
        <f t="shared" si="46"/>
        <v>-3.69999999998072</v>
      </c>
      <c r="G29" s="26">
        <f t="shared" si="47"/>
        <v>-0.149999999962347</v>
      </c>
      <c r="H29" s="6">
        <v>7.9786999999999999</v>
      </c>
      <c r="I29" s="35">
        <f t="shared" si="27"/>
        <v>797.93679999999995</v>
      </c>
      <c r="J29" s="24">
        <f t="shared" si="28"/>
        <v>-9.9999999974897905E-2</v>
      </c>
      <c r="K29" s="25">
        <f t="shared" si="48"/>
        <v>-1.8999999999778101</v>
      </c>
      <c r="L29" s="26">
        <f t="shared" si="49"/>
        <v>-4.9999999987449001E-2</v>
      </c>
      <c r="M29" s="6">
        <v>7.0941999999999998</v>
      </c>
      <c r="N29" s="35">
        <f t="shared" si="31"/>
        <v>797.05229999999995</v>
      </c>
      <c r="O29" s="24">
        <f t="shared" si="32"/>
        <v>0.30000000003838101</v>
      </c>
      <c r="P29" s="25">
        <f t="shared" si="50"/>
        <v>-2.5000000000545701</v>
      </c>
      <c r="Q29" s="26">
        <f t="shared" si="51"/>
        <v>0.15000000001919001</v>
      </c>
      <c r="R29" s="41"/>
      <c r="S29" s="21">
        <f t="shared" si="35"/>
        <v>44534</v>
      </c>
      <c r="T29" s="42">
        <v>9.1448</v>
      </c>
      <c r="U29" s="43">
        <f t="shared" si="36"/>
        <v>9.99999999997669E-2</v>
      </c>
      <c r="V29" s="44">
        <f t="shared" si="52"/>
        <v>-1.7999999999993599</v>
      </c>
      <c r="W29" s="45">
        <f t="shared" si="53"/>
        <v>-4.9999999999883499E-2</v>
      </c>
      <c r="X29" s="29">
        <v>17.293199999999999</v>
      </c>
      <c r="Y29" s="43">
        <f t="shared" si="39"/>
        <v>-9.99999999997669E-2</v>
      </c>
      <c r="Z29" s="44">
        <f t="shared" si="54"/>
        <v>-2.6000000000010499</v>
      </c>
      <c r="AA29" s="45">
        <f t="shared" si="55"/>
        <v>-4.9999999999883499E-2</v>
      </c>
      <c r="AB29" s="49">
        <v>10.686500000000001</v>
      </c>
      <c r="AC29" s="43">
        <f t="shared" si="42"/>
        <v>-9.99999999997669E-2</v>
      </c>
      <c r="AD29" s="44">
        <f t="shared" si="56"/>
        <v>-3.3999999999991801</v>
      </c>
      <c r="AE29" s="45">
        <f t="shared" si="57"/>
        <v>-4.9999999999883499E-2</v>
      </c>
      <c r="AF29" s="50">
        <v>79229</v>
      </c>
      <c r="AG29" s="58">
        <f t="shared" si="45"/>
        <v>69</v>
      </c>
      <c r="AH29" s="61"/>
      <c r="AI29" s="60"/>
      <c r="AJ29" s="61"/>
      <c r="AK29" s="62"/>
      <c r="AL29" s="60"/>
      <c r="AM29" s="64"/>
    </row>
    <row r="30" spans="1:39">
      <c r="A30" s="21">
        <v>44541</v>
      </c>
      <c r="B30" s="22">
        <v>789.95809999999994</v>
      </c>
      <c r="C30" s="27">
        <v>7.0842999999999998</v>
      </c>
      <c r="D30" s="23">
        <f t="shared" si="23"/>
        <v>797.04240000000004</v>
      </c>
      <c r="E30" s="24">
        <f t="shared" si="24"/>
        <v>0.199999999949796</v>
      </c>
      <c r="F30" s="25">
        <f t="shared" si="46"/>
        <v>-3.5000000000309202</v>
      </c>
      <c r="G30" s="26">
        <f t="shared" si="47"/>
        <v>2.8571428564256599E-2</v>
      </c>
      <c r="H30" s="6">
        <v>7.9785000000000004</v>
      </c>
      <c r="I30" s="35">
        <f t="shared" si="27"/>
        <v>797.9366</v>
      </c>
      <c r="J30" s="24">
        <f t="shared" si="28"/>
        <v>-0.199999999949796</v>
      </c>
      <c r="K30" s="25">
        <f t="shared" si="48"/>
        <v>-2.0999999999275998</v>
      </c>
      <c r="L30" s="26">
        <f t="shared" si="49"/>
        <v>-2.8571428564256599E-2</v>
      </c>
      <c r="M30" s="6">
        <v>7.0937999999999999</v>
      </c>
      <c r="N30" s="35">
        <f t="shared" si="31"/>
        <v>797.05190000000005</v>
      </c>
      <c r="O30" s="24">
        <f t="shared" si="32"/>
        <v>-0.40000000001327901</v>
      </c>
      <c r="P30" s="25">
        <f t="shared" si="50"/>
        <v>-2.9000000000678501</v>
      </c>
      <c r="Q30" s="26">
        <f t="shared" si="51"/>
        <v>-5.7142857144754103E-2</v>
      </c>
      <c r="R30" s="41"/>
      <c r="S30" s="21">
        <f t="shared" si="35"/>
        <v>44541</v>
      </c>
      <c r="T30" s="42">
        <v>9.1448999999999998</v>
      </c>
      <c r="U30" s="43">
        <f t="shared" si="36"/>
        <v>9.99999999997669E-2</v>
      </c>
      <c r="V30" s="44">
        <f t="shared" si="52"/>
        <v>-1.6999999999995901</v>
      </c>
      <c r="W30" s="45">
        <f t="shared" si="53"/>
        <v>-1.4285714285680999E-2</v>
      </c>
      <c r="X30" s="29">
        <v>17.292899999999999</v>
      </c>
      <c r="Y30" s="43">
        <f t="shared" si="39"/>
        <v>-0.29999999999930099</v>
      </c>
      <c r="Z30" s="44">
        <f t="shared" si="54"/>
        <v>-2.9000000000003499</v>
      </c>
      <c r="AA30" s="45">
        <f t="shared" si="55"/>
        <v>-4.2857142857043E-2</v>
      </c>
      <c r="AB30" s="49">
        <v>10.686199999999999</v>
      </c>
      <c r="AC30" s="43">
        <f t="shared" si="42"/>
        <v>-0.30000000000107702</v>
      </c>
      <c r="AD30" s="44">
        <f t="shared" si="56"/>
        <v>-3.70000000000026</v>
      </c>
      <c r="AE30" s="45">
        <f t="shared" si="57"/>
        <v>-4.28571428572967E-2</v>
      </c>
      <c r="AF30" s="50">
        <v>79232</v>
      </c>
      <c r="AG30" s="58">
        <f t="shared" si="45"/>
        <v>72</v>
      </c>
      <c r="AH30" s="61"/>
      <c r="AI30" s="60"/>
      <c r="AJ30" s="61"/>
      <c r="AK30" s="62"/>
      <c r="AL30" s="60"/>
      <c r="AM30" s="64"/>
    </row>
    <row r="31" spans="1:39">
      <c r="A31" s="21">
        <v>44548</v>
      </c>
      <c r="B31" s="22">
        <v>789.95809999999994</v>
      </c>
      <c r="C31" s="27">
        <v>7.0845000000000002</v>
      </c>
      <c r="D31" s="23">
        <f t="shared" si="23"/>
        <v>797.04259999999999</v>
      </c>
      <c r="E31" s="24">
        <f t="shared" si="24"/>
        <v>0.20000000006348301</v>
      </c>
      <c r="F31" s="25">
        <f t="shared" si="46"/>
        <v>-3.2999999999674401</v>
      </c>
      <c r="G31" s="26">
        <f t="shared" si="47"/>
        <v>2.85714285804975E-2</v>
      </c>
      <c r="H31" s="6">
        <v>7.9786999999999999</v>
      </c>
      <c r="I31" s="35">
        <f t="shared" si="27"/>
        <v>797.93679999999995</v>
      </c>
      <c r="J31" s="24">
        <f t="shared" si="28"/>
        <v>0.199999999949796</v>
      </c>
      <c r="K31" s="25">
        <f t="shared" si="48"/>
        <v>-1.8999999999778101</v>
      </c>
      <c r="L31" s="26">
        <f t="shared" si="49"/>
        <v>2.8571428564256599E-2</v>
      </c>
      <c r="M31" s="6">
        <v>7.0942999999999996</v>
      </c>
      <c r="N31" s="35">
        <f t="shared" si="31"/>
        <v>797.05240000000003</v>
      </c>
      <c r="O31" s="24">
        <f t="shared" si="32"/>
        <v>0.49999999998817701</v>
      </c>
      <c r="P31" s="25">
        <f t="shared" si="50"/>
        <v>-2.40000000007967</v>
      </c>
      <c r="Q31" s="26">
        <f t="shared" si="51"/>
        <v>7.1428571426882401E-2</v>
      </c>
      <c r="R31" s="41"/>
      <c r="S31" s="21">
        <f t="shared" si="35"/>
        <v>44548</v>
      </c>
      <c r="T31" s="42">
        <v>9.1445000000000007</v>
      </c>
      <c r="U31" s="43">
        <f t="shared" si="36"/>
        <v>-0.39999999999906799</v>
      </c>
      <c r="V31" s="44">
        <f t="shared" si="52"/>
        <v>-2.0999999999986598</v>
      </c>
      <c r="W31" s="45">
        <f t="shared" si="53"/>
        <v>5.7142857142723998E-2</v>
      </c>
      <c r="X31" s="29">
        <v>17.292999999999999</v>
      </c>
      <c r="Y31" s="43">
        <f t="shared" si="39"/>
        <v>9.99999999997669E-2</v>
      </c>
      <c r="Z31" s="44">
        <f t="shared" si="54"/>
        <v>-2.8000000000005798</v>
      </c>
      <c r="AA31" s="45">
        <f t="shared" si="55"/>
        <v>1.4285714285680999E-2</v>
      </c>
      <c r="AB31" s="49">
        <v>10.686</v>
      </c>
      <c r="AC31" s="43">
        <f t="shared" si="42"/>
        <v>-0.19999999999953399</v>
      </c>
      <c r="AD31" s="44">
        <f t="shared" si="56"/>
        <v>-3.8999999999997899</v>
      </c>
      <c r="AE31" s="45">
        <f t="shared" si="57"/>
        <v>-2.8571428571361999E-2</v>
      </c>
      <c r="AF31" s="50">
        <v>79235</v>
      </c>
      <c r="AG31" s="58">
        <f t="shared" si="45"/>
        <v>75</v>
      </c>
      <c r="AH31" s="61"/>
      <c r="AI31" s="60"/>
      <c r="AJ31" s="61"/>
      <c r="AK31" s="62"/>
      <c r="AL31" s="60"/>
      <c r="AM31" s="64"/>
    </row>
    <row r="32" spans="1:39">
      <c r="A32" s="21">
        <v>44555</v>
      </c>
      <c r="B32" s="22">
        <v>789.95809999999994</v>
      </c>
      <c r="C32" s="27">
        <v>7.0846999999999998</v>
      </c>
      <c r="D32" s="23">
        <f t="shared" si="23"/>
        <v>797.04280000000006</v>
      </c>
      <c r="E32" s="24">
        <f t="shared" si="24"/>
        <v>0.199999999949796</v>
      </c>
      <c r="F32" s="25">
        <f t="shared" si="46"/>
        <v>-3.1000000000176402</v>
      </c>
      <c r="G32" s="26">
        <f t="shared" si="47"/>
        <v>2.8571428564256599E-2</v>
      </c>
      <c r="H32" s="6">
        <v>7.9789000000000003</v>
      </c>
      <c r="I32" s="35">
        <f t="shared" si="27"/>
        <v>797.93700000000001</v>
      </c>
      <c r="J32" s="24">
        <f t="shared" si="28"/>
        <v>0.199999999949796</v>
      </c>
      <c r="K32" s="25">
        <f t="shared" si="48"/>
        <v>-1.70000000002801</v>
      </c>
      <c r="L32" s="26">
        <f t="shared" si="49"/>
        <v>2.8571428564256599E-2</v>
      </c>
      <c r="M32" s="6">
        <v>7.0948000000000002</v>
      </c>
      <c r="N32" s="35">
        <f t="shared" si="31"/>
        <v>797.05290000000002</v>
      </c>
      <c r="O32" s="24">
        <f t="shared" si="32"/>
        <v>0.49999999998817701</v>
      </c>
      <c r="P32" s="25">
        <f t="shared" si="50"/>
        <v>-1.9000000000915001</v>
      </c>
      <c r="Q32" s="26">
        <f t="shared" si="51"/>
        <v>7.1428571426882401E-2</v>
      </c>
      <c r="R32" s="41"/>
      <c r="S32" s="21">
        <f t="shared" si="35"/>
        <v>44555</v>
      </c>
      <c r="T32" s="42">
        <v>9.1440999999999999</v>
      </c>
      <c r="U32" s="43">
        <f t="shared" si="36"/>
        <v>-0.40000000000084401</v>
      </c>
      <c r="V32" s="44">
        <f t="shared" si="52"/>
        <v>-2.4999999999995</v>
      </c>
      <c r="W32" s="45">
        <f t="shared" si="53"/>
        <v>5.7142857142977697E-2</v>
      </c>
      <c r="X32" s="29">
        <v>17.293099999999999</v>
      </c>
      <c r="Y32" s="43">
        <f t="shared" si="39"/>
        <v>9.99999999997669E-2</v>
      </c>
      <c r="Z32" s="44">
        <f t="shared" si="54"/>
        <v>-2.7000000000008102</v>
      </c>
      <c r="AA32" s="45">
        <f t="shared" si="55"/>
        <v>1.4285714285680999E-2</v>
      </c>
      <c r="AB32" s="49">
        <v>10.6858</v>
      </c>
      <c r="AC32" s="43">
        <f t="shared" si="42"/>
        <v>-0.19999999999953399</v>
      </c>
      <c r="AD32" s="44">
        <f t="shared" si="56"/>
        <v>-4.09999999999933</v>
      </c>
      <c r="AE32" s="45">
        <f t="shared" si="57"/>
        <v>-2.8571428571361999E-2</v>
      </c>
      <c r="AF32" s="50">
        <v>79238</v>
      </c>
      <c r="AG32" s="58">
        <f t="shared" si="45"/>
        <v>78</v>
      </c>
      <c r="AH32" s="61"/>
      <c r="AI32" s="60"/>
      <c r="AJ32" s="61"/>
      <c r="AK32" s="62"/>
      <c r="AL32" s="60"/>
      <c r="AM32" s="64"/>
    </row>
    <row r="33" spans="1:39">
      <c r="A33" s="21">
        <v>44571</v>
      </c>
      <c r="B33" s="22">
        <v>789.95809999999994</v>
      </c>
      <c r="C33" s="27">
        <v>7.0849000000000002</v>
      </c>
      <c r="D33" s="23">
        <f t="shared" si="23"/>
        <v>797.04300000000001</v>
      </c>
      <c r="E33" s="24">
        <f t="shared" si="24"/>
        <v>0.199999999949796</v>
      </c>
      <c r="F33" s="25">
        <f t="shared" si="46"/>
        <v>-2.9000000000678501</v>
      </c>
      <c r="G33" s="26">
        <f t="shared" si="47"/>
        <v>1.24999999968622E-2</v>
      </c>
      <c r="H33" s="6">
        <v>7.9790999999999999</v>
      </c>
      <c r="I33" s="35">
        <f t="shared" si="27"/>
        <v>797.93719999999996</v>
      </c>
      <c r="J33" s="24">
        <f t="shared" si="28"/>
        <v>0.20000000006348301</v>
      </c>
      <c r="K33" s="25">
        <f t="shared" si="48"/>
        <v>-1.4999999999645299</v>
      </c>
      <c r="L33" s="26">
        <f t="shared" si="49"/>
        <v>1.25000000039677E-2</v>
      </c>
      <c r="M33" s="6">
        <v>7.0952999999999999</v>
      </c>
      <c r="N33" s="35">
        <f t="shared" si="31"/>
        <v>797.05340000000001</v>
      </c>
      <c r="O33" s="24">
        <f t="shared" si="32"/>
        <v>0.49999999998817701</v>
      </c>
      <c r="P33" s="25">
        <f t="shared" si="50"/>
        <v>-1.4000000001033199</v>
      </c>
      <c r="Q33" s="26">
        <f t="shared" si="51"/>
        <v>3.1249999999261001E-2</v>
      </c>
      <c r="R33" s="41"/>
      <c r="S33" s="21">
        <v>44571</v>
      </c>
      <c r="T33" s="42">
        <v>9.1437000000000008</v>
      </c>
      <c r="U33" s="43">
        <f t="shared" si="36"/>
        <v>-0.39999999999906799</v>
      </c>
      <c r="V33" s="44">
        <f t="shared" si="52"/>
        <v>-2.8999999999985699</v>
      </c>
      <c r="W33" s="45">
        <f t="shared" si="53"/>
        <v>2.4999999999941701E-2</v>
      </c>
      <c r="X33" s="29">
        <v>17.293199999999999</v>
      </c>
      <c r="Y33" s="43">
        <f t="shared" si="39"/>
        <v>9.99999999997669E-2</v>
      </c>
      <c r="Z33" s="44">
        <f t="shared" si="54"/>
        <v>-2.6000000000010499</v>
      </c>
      <c r="AA33" s="45">
        <f t="shared" si="55"/>
        <v>6.2499999999854304E-3</v>
      </c>
      <c r="AB33" s="49">
        <v>10.685600000000001</v>
      </c>
      <c r="AC33" s="43">
        <f t="shared" si="42"/>
        <v>-0.19999999999953399</v>
      </c>
      <c r="AD33" s="44">
        <f t="shared" si="56"/>
        <v>-4.2999999999988603</v>
      </c>
      <c r="AE33" s="45">
        <f t="shared" si="57"/>
        <v>-1.2499999999970901E-2</v>
      </c>
      <c r="AF33" s="50">
        <v>79241</v>
      </c>
      <c r="AG33" s="58">
        <f t="shared" si="45"/>
        <v>81</v>
      </c>
      <c r="AH33" s="61"/>
      <c r="AI33" s="60"/>
      <c r="AJ33"/>
      <c r="AK33"/>
      <c r="AL33"/>
      <c r="AM33"/>
    </row>
    <row r="34" spans="1:39">
      <c r="A34" s="21">
        <v>44602</v>
      </c>
      <c r="B34" s="22">
        <v>789.95809999999994</v>
      </c>
      <c r="C34" s="27">
        <v>7.085</v>
      </c>
      <c r="D34" s="23">
        <f t="shared" si="23"/>
        <v>797.04309999999998</v>
      </c>
      <c r="E34" s="24">
        <f t="shared" si="24"/>
        <v>0.10000000008858501</v>
      </c>
      <c r="F34" s="25">
        <f t="shared" si="46"/>
        <v>-2.79999999997926</v>
      </c>
      <c r="G34" s="26">
        <f t="shared" si="47"/>
        <v>3.2258064544704798E-3</v>
      </c>
      <c r="H34" s="6">
        <v>7.9789000000000003</v>
      </c>
      <c r="I34" s="35">
        <f t="shared" si="27"/>
        <v>797.93700000000001</v>
      </c>
      <c r="J34" s="24">
        <f t="shared" si="28"/>
        <v>-0.20000000006348301</v>
      </c>
      <c r="K34" s="25">
        <f t="shared" si="48"/>
        <v>-1.70000000002801</v>
      </c>
      <c r="L34" s="26">
        <f t="shared" si="49"/>
        <v>-6.4516129052736397E-3</v>
      </c>
      <c r="M34" s="6">
        <v>7.0952000000000002</v>
      </c>
      <c r="N34" s="35">
        <f t="shared" si="31"/>
        <v>797.05330000000004</v>
      </c>
      <c r="O34" s="24">
        <f t="shared" si="32"/>
        <v>-9.9999999974897905E-2</v>
      </c>
      <c r="P34" s="25">
        <f t="shared" si="50"/>
        <v>-1.5000000000782201</v>
      </c>
      <c r="Q34" s="26">
        <f t="shared" si="51"/>
        <v>-3.2258064508031599E-3</v>
      </c>
      <c r="R34" s="41"/>
      <c r="S34" s="21">
        <v>44602</v>
      </c>
      <c r="T34" s="42">
        <v>9.1434999999999995</v>
      </c>
      <c r="U34" s="43">
        <f t="shared" si="36"/>
        <v>-0.20000000000130999</v>
      </c>
      <c r="V34" s="44">
        <f t="shared" si="52"/>
        <v>-3.0999999999998802</v>
      </c>
      <c r="W34" s="45">
        <f t="shared" si="53"/>
        <v>6.4516129032680704E-3</v>
      </c>
      <c r="X34" s="29">
        <v>17.292999999999999</v>
      </c>
      <c r="Y34" s="43">
        <f t="shared" si="39"/>
        <v>-0.19999999999953399</v>
      </c>
      <c r="Z34" s="44">
        <f t="shared" si="54"/>
        <v>-2.8000000000005798</v>
      </c>
      <c r="AA34" s="45">
        <f t="shared" si="55"/>
        <v>-6.4516129032107699E-3</v>
      </c>
      <c r="AB34" s="49">
        <v>10.685499999999999</v>
      </c>
      <c r="AC34" s="43">
        <f t="shared" si="42"/>
        <v>-0.10000000000154299</v>
      </c>
      <c r="AD34" s="44">
        <f t="shared" si="56"/>
        <v>-4.4000000000004</v>
      </c>
      <c r="AE34" s="45">
        <f t="shared" si="57"/>
        <v>-3.2258064516626898E-3</v>
      </c>
      <c r="AF34" s="50">
        <v>79244</v>
      </c>
      <c r="AG34" s="58">
        <f t="shared" si="45"/>
        <v>84</v>
      </c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21"/>
      <c r="B36" s="22"/>
      <c r="C36" s="27"/>
      <c r="D36" s="23"/>
      <c r="E36" s="65">
        <f>F34-F33</f>
        <v>0.10000000008858501</v>
      </c>
      <c r="F36" s="33">
        <f>K34-K33</f>
        <v>-0.20000000006348301</v>
      </c>
      <c r="G36" s="33">
        <f>P34-P33</f>
        <v>-9.9999999974897905E-2</v>
      </c>
      <c r="H36" s="68">
        <f>F34</f>
        <v>-2.79999999997926</v>
      </c>
      <c r="I36" s="69">
        <f>K34</f>
        <v>-1.70000000002801</v>
      </c>
      <c r="J36" s="65">
        <f>P34</f>
        <v>-1.5000000000782201</v>
      </c>
      <c r="K36" s="33">
        <f>(K34-K33)/30</f>
        <v>-6.66666666878276E-3</v>
      </c>
      <c r="L36" s="26"/>
      <c r="N36" s="35"/>
      <c r="O36" s="24"/>
      <c r="P36" s="25"/>
      <c r="Q36" s="26"/>
      <c r="R36" s="41"/>
      <c r="S36" s="21"/>
      <c r="T36" s="42"/>
      <c r="U36" s="65">
        <f>V34-V33</f>
        <v>-0.20000000000130999</v>
      </c>
      <c r="V36" s="33">
        <f>Z34-Z33</f>
        <v>-0.19999999999953399</v>
      </c>
      <c r="W36" s="33">
        <f>AD34-AD33</f>
        <v>-0.10000000000154299</v>
      </c>
      <c r="X36" s="33">
        <f>V34</f>
        <v>-3.0999999999998802</v>
      </c>
      <c r="Y36" s="65">
        <f>Z34</f>
        <v>-2.8000000000005798</v>
      </c>
      <c r="Z36" s="33">
        <f>AD34</f>
        <v>-4.4000000000004</v>
      </c>
      <c r="AA36" s="33">
        <f>(Z34-Z33)/30</f>
        <v>-6.66666666665113E-3</v>
      </c>
      <c r="AB36" s="49"/>
      <c r="AC36" s="43"/>
      <c r="AD36" s="44"/>
      <c r="AE36" s="45"/>
      <c r="AF36" s="50"/>
      <c r="AG36" s="58"/>
      <c r="AH36" s="61"/>
      <c r="AI36" s="60"/>
      <c r="AJ36"/>
      <c r="AK36"/>
      <c r="AL36"/>
      <c r="AM36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3"/>
  <sheetViews>
    <sheetView topLeftCell="A4" workbookViewId="0">
      <selection activeCell="P29" sqref="F29:F33 K29:K33 P29:P3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8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8.3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44508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44508</v>
      </c>
      <c r="B6" s="22">
        <v>789.95809999999994</v>
      </c>
      <c r="C6" s="27">
        <v>6.7984999999999998</v>
      </c>
      <c r="D6" s="23">
        <f t="shared" ref="D6:D20" si="0">C6+B6</f>
        <v>796.75660000000005</v>
      </c>
      <c r="E6" s="24">
        <v>0</v>
      </c>
      <c r="F6" s="25">
        <v>0</v>
      </c>
      <c r="G6" s="26">
        <v>0</v>
      </c>
      <c r="H6" s="6">
        <v>8.1769999999999996</v>
      </c>
      <c r="I6" s="35">
        <f t="shared" ref="I6:I20" si="1">H6+B6</f>
        <v>798.13509999999997</v>
      </c>
      <c r="J6" s="24">
        <v>0</v>
      </c>
      <c r="K6" s="25">
        <v>0</v>
      </c>
      <c r="L6" s="26">
        <v>0</v>
      </c>
      <c r="M6" s="6">
        <v>7.6824000000000003</v>
      </c>
      <c r="N6" s="35">
        <f t="shared" ref="N6:N20" si="2">M6+B6</f>
        <v>797.64049999999997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44508</v>
      </c>
      <c r="T6" s="42">
        <v>4.7694000000000001</v>
      </c>
      <c r="U6" s="43">
        <v>0</v>
      </c>
      <c r="V6" s="44">
        <v>0</v>
      </c>
      <c r="W6" s="45">
        <f>U6/(S6-S11)</f>
        <v>0</v>
      </c>
      <c r="X6" s="29">
        <v>17.074400000000001</v>
      </c>
      <c r="Y6" s="43">
        <v>0</v>
      </c>
      <c r="Z6" s="44">
        <v>0</v>
      </c>
      <c r="AA6" s="45">
        <v>0</v>
      </c>
      <c r="AB6" s="49">
        <v>14.4101</v>
      </c>
      <c r="AC6" s="43">
        <v>0</v>
      </c>
      <c r="AD6" s="44">
        <v>0</v>
      </c>
      <c r="AE6" s="45">
        <v>0</v>
      </c>
      <c r="AF6" s="50">
        <v>79181</v>
      </c>
      <c r="AG6" s="58">
        <f>AF6-79174</f>
        <v>7</v>
      </c>
      <c r="AH6" s="59"/>
      <c r="AI6" s="60"/>
      <c r="AJ6" s="61"/>
      <c r="AK6" s="62"/>
      <c r="AL6" s="52"/>
      <c r="AM6" s="52"/>
    </row>
    <row r="7" spans="1:39">
      <c r="A7" s="21">
        <v>44509</v>
      </c>
      <c r="B7" s="22">
        <v>789.95809999999994</v>
      </c>
      <c r="C7" s="27">
        <v>6.798</v>
      </c>
      <c r="D7" s="23">
        <f t="shared" si="0"/>
        <v>796.75609999999995</v>
      </c>
      <c r="E7" s="24">
        <f t="shared" ref="E7:E20" si="4">(D7-D6)*1000</f>
        <v>-0.49999999998817701</v>
      </c>
      <c r="F7" s="25">
        <f t="shared" ref="F7:F20" si="5">F6+E7</f>
        <v>-0.49999999998817701</v>
      </c>
      <c r="G7" s="26">
        <f t="shared" ref="G7:G20" si="6">E7/(A7-A6)</f>
        <v>-0.49999999998817701</v>
      </c>
      <c r="H7" s="6">
        <v>8.1770999999999994</v>
      </c>
      <c r="I7" s="35">
        <f t="shared" si="1"/>
        <v>798.13520000000005</v>
      </c>
      <c r="J7" s="24">
        <f t="shared" ref="J7:J20" si="7">(I7-I6)*1000</f>
        <v>9.9999999974897905E-2</v>
      </c>
      <c r="K7" s="25">
        <f t="shared" ref="K7:K20" si="8">K6+J7</f>
        <v>9.9999999974897905E-2</v>
      </c>
      <c r="L7" s="26">
        <f t="shared" ref="L7:L20" si="9">J7/(A7-A6)</f>
        <v>9.9999999974897905E-2</v>
      </c>
      <c r="M7" s="6">
        <v>7.6821999999999999</v>
      </c>
      <c r="N7" s="35">
        <f t="shared" si="2"/>
        <v>797.64030000000002</v>
      </c>
      <c r="O7" s="24">
        <f t="shared" ref="O7:O20" si="10">(N7-N6)*1000</f>
        <v>-0.20000000006348301</v>
      </c>
      <c r="P7" s="25">
        <f t="shared" ref="P7:P20" si="11">P6+O7</f>
        <v>-0.20000000006348301</v>
      </c>
      <c r="Q7" s="26">
        <f t="shared" ref="Q7:Q20" si="12">O7/(A7-A6)</f>
        <v>-0.20000000006348301</v>
      </c>
      <c r="R7" s="41"/>
      <c r="S7" s="21">
        <f t="shared" si="3"/>
        <v>44509</v>
      </c>
      <c r="T7" s="42">
        <v>4.7691999999999997</v>
      </c>
      <c r="U7" s="43">
        <f t="shared" ref="U7:U18" si="13">(T7-T6)*1000</f>
        <v>-0.20000000000042201</v>
      </c>
      <c r="V7" s="44">
        <f t="shared" ref="V7:V18" si="14">V6+U7</f>
        <v>-0.20000000000042201</v>
      </c>
      <c r="W7" s="45">
        <f t="shared" ref="W7:W18" si="15">U7/(S6-S7)</f>
        <v>0.20000000000042201</v>
      </c>
      <c r="X7" s="29">
        <v>17.074200000000001</v>
      </c>
      <c r="Y7" s="43">
        <f t="shared" ref="Y7:Y18" si="16">(X7-X6)*1000</f>
        <v>-0.19999999999953399</v>
      </c>
      <c r="Z7" s="44">
        <f t="shared" ref="Z7:Z18" si="17">Z6+Y7</f>
        <v>-0.19999999999953399</v>
      </c>
      <c r="AA7" s="45">
        <f t="shared" ref="AA7:AA18" si="18">Y7/(S7-S6)</f>
        <v>-0.19999999999953399</v>
      </c>
      <c r="AB7" s="49">
        <v>14.410500000000001</v>
      </c>
      <c r="AC7" s="43">
        <f t="shared" ref="AC7:AC18" si="19">(AB7-AB6)*1000</f>
        <v>0.40000000000084401</v>
      </c>
      <c r="AD7" s="44">
        <f t="shared" ref="AD7:AD18" si="20">AD6+AC7</f>
        <v>0.40000000000084401</v>
      </c>
      <c r="AE7" s="45">
        <f t="shared" ref="AE7:AE18" si="21">AC7/(S7-S6)</f>
        <v>0.40000000000084401</v>
      </c>
      <c r="AF7" s="50">
        <v>79183</v>
      </c>
      <c r="AG7" s="58">
        <f t="shared" ref="AG7:AG18" si="22">AF7-79174</f>
        <v>9</v>
      </c>
      <c r="AH7" s="59"/>
      <c r="AI7" s="60"/>
      <c r="AJ7" s="61"/>
      <c r="AK7" s="62"/>
      <c r="AL7" s="52"/>
      <c r="AM7" s="52"/>
    </row>
    <row r="8" spans="1:39">
      <c r="A8" s="21">
        <v>44510</v>
      </c>
      <c r="B8" s="22">
        <v>789.95809999999994</v>
      </c>
      <c r="C8" s="27">
        <v>6.7977999999999996</v>
      </c>
      <c r="D8" s="23">
        <f t="shared" si="0"/>
        <v>796.7559</v>
      </c>
      <c r="E8" s="24">
        <f t="shared" si="4"/>
        <v>-0.199999999949796</v>
      </c>
      <c r="F8" s="25">
        <f t="shared" si="5"/>
        <v>-0.69999999993797202</v>
      </c>
      <c r="G8" s="26">
        <f t="shared" si="6"/>
        <v>-0.199999999949796</v>
      </c>
      <c r="H8" s="6">
        <v>8.1768999999999998</v>
      </c>
      <c r="I8" s="35">
        <f t="shared" si="1"/>
        <v>798.13499999999999</v>
      </c>
      <c r="J8" s="24">
        <f t="shared" si="7"/>
        <v>-0.199999999949796</v>
      </c>
      <c r="K8" s="25">
        <f t="shared" si="8"/>
        <v>-9.9999999974897905E-2</v>
      </c>
      <c r="L8" s="26">
        <f t="shared" si="9"/>
        <v>-0.199999999949796</v>
      </c>
      <c r="M8" s="6">
        <v>7.6822999999999997</v>
      </c>
      <c r="N8" s="35">
        <f t="shared" si="2"/>
        <v>797.6404</v>
      </c>
      <c r="O8" s="24">
        <f t="shared" si="10"/>
        <v>0.10000000008858501</v>
      </c>
      <c r="P8" s="25">
        <f t="shared" si="11"/>
        <v>-9.9999999974897905E-2</v>
      </c>
      <c r="Q8" s="26">
        <f t="shared" si="12"/>
        <v>0.10000000008858501</v>
      </c>
      <c r="R8" s="41"/>
      <c r="S8" s="21">
        <f t="shared" si="3"/>
        <v>44510</v>
      </c>
      <c r="T8" s="42">
        <v>4.7693000000000003</v>
      </c>
      <c r="U8" s="43">
        <f t="shared" si="13"/>
        <v>0.100000000000655</v>
      </c>
      <c r="V8" s="44">
        <f t="shared" si="14"/>
        <v>-9.99999999997669E-2</v>
      </c>
      <c r="W8" s="45">
        <f t="shared" si="15"/>
        <v>-0.100000000000655</v>
      </c>
      <c r="X8" s="29">
        <v>17.074000000000002</v>
      </c>
      <c r="Y8" s="43">
        <f t="shared" si="16"/>
        <v>-0.19999999999953399</v>
      </c>
      <c r="Z8" s="44">
        <f t="shared" si="17"/>
        <v>-0.39999999999906799</v>
      </c>
      <c r="AA8" s="45">
        <f t="shared" si="18"/>
        <v>-0.19999999999953399</v>
      </c>
      <c r="AB8" s="49">
        <v>14.410299999999999</v>
      </c>
      <c r="AC8" s="43">
        <f t="shared" si="19"/>
        <v>-0.20000000000130999</v>
      </c>
      <c r="AD8" s="44">
        <f t="shared" si="20"/>
        <v>0.19999999999953399</v>
      </c>
      <c r="AE8" s="45">
        <f t="shared" si="21"/>
        <v>-0.20000000000130999</v>
      </c>
      <c r="AF8" s="50">
        <v>79185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39">
      <c r="A9" s="21">
        <v>44511</v>
      </c>
      <c r="B9" s="22">
        <v>789.95809999999994</v>
      </c>
      <c r="C9" s="27">
        <v>6.7979000000000003</v>
      </c>
      <c r="D9" s="23">
        <f t="shared" si="0"/>
        <v>796.75599999999997</v>
      </c>
      <c r="E9" s="24">
        <f t="shared" si="4"/>
        <v>9.9999999974897905E-2</v>
      </c>
      <c r="F9" s="25">
        <f t="shared" si="5"/>
        <v>-0.59999999996307496</v>
      </c>
      <c r="G9" s="26">
        <f t="shared" si="6"/>
        <v>9.9999999974897905E-2</v>
      </c>
      <c r="H9" s="6">
        <v>8.1767000000000003</v>
      </c>
      <c r="I9" s="35">
        <f t="shared" si="1"/>
        <v>798.13480000000004</v>
      </c>
      <c r="J9" s="24">
        <f t="shared" si="7"/>
        <v>-0.20000000006348301</v>
      </c>
      <c r="K9" s="25">
        <f t="shared" si="8"/>
        <v>-0.30000000003838101</v>
      </c>
      <c r="L9" s="26">
        <f t="shared" si="9"/>
        <v>-0.20000000006348301</v>
      </c>
      <c r="M9" s="6">
        <v>7.6816000000000004</v>
      </c>
      <c r="N9" s="35">
        <f t="shared" si="2"/>
        <v>797.63969999999995</v>
      </c>
      <c r="O9" s="24">
        <f t="shared" si="10"/>
        <v>-0.70000000005165897</v>
      </c>
      <c r="P9" s="25">
        <f t="shared" si="11"/>
        <v>-0.80000000002655702</v>
      </c>
      <c r="Q9" s="26">
        <f t="shared" si="12"/>
        <v>-0.70000000005165897</v>
      </c>
      <c r="R9" s="41"/>
      <c r="S9" s="21">
        <f t="shared" si="3"/>
        <v>44511</v>
      </c>
      <c r="T9" s="42">
        <v>4.7687999999999997</v>
      </c>
      <c r="U9" s="43">
        <f t="shared" si="13"/>
        <v>-0.50000000000061096</v>
      </c>
      <c r="V9" s="44">
        <f t="shared" si="14"/>
        <v>-0.60000000000037801</v>
      </c>
      <c r="W9" s="45">
        <f t="shared" si="15"/>
        <v>0.50000000000061096</v>
      </c>
      <c r="X9" s="29">
        <v>17.0745</v>
      </c>
      <c r="Y9" s="43">
        <f t="shared" si="16"/>
        <v>0.49999999999883499</v>
      </c>
      <c r="Z9" s="44">
        <f t="shared" si="17"/>
        <v>9.99999999997669E-2</v>
      </c>
      <c r="AA9" s="45">
        <f t="shared" si="18"/>
        <v>0.49999999999883499</v>
      </c>
      <c r="AB9" s="49">
        <v>14.4101</v>
      </c>
      <c r="AC9" s="43">
        <f t="shared" si="19"/>
        <v>-0.19999999999953399</v>
      </c>
      <c r="AD9" s="44">
        <f t="shared" si="20"/>
        <v>0</v>
      </c>
      <c r="AE9" s="45">
        <f t="shared" si="21"/>
        <v>-0.19999999999953399</v>
      </c>
      <c r="AF9" s="50">
        <v>79187</v>
      </c>
      <c r="AG9" s="58">
        <f t="shared" si="22"/>
        <v>13</v>
      </c>
      <c r="AH9" s="59"/>
      <c r="AI9" s="60"/>
      <c r="AJ9" s="61"/>
      <c r="AK9" s="62"/>
      <c r="AL9" s="52"/>
      <c r="AM9" s="52"/>
    </row>
    <row r="10" spans="1:39">
      <c r="A10" s="21">
        <v>44512</v>
      </c>
      <c r="B10" s="22">
        <v>789.95809999999994</v>
      </c>
      <c r="C10" s="27">
        <v>6.7976999999999999</v>
      </c>
      <c r="D10" s="23">
        <f t="shared" si="0"/>
        <v>796.75580000000002</v>
      </c>
      <c r="E10" s="24">
        <f t="shared" si="4"/>
        <v>-0.20000000006348301</v>
      </c>
      <c r="F10" s="25">
        <f t="shared" si="5"/>
        <v>-0.80000000002655702</v>
      </c>
      <c r="G10" s="26">
        <f t="shared" si="6"/>
        <v>-0.20000000006348301</v>
      </c>
      <c r="H10" s="6">
        <v>8.1763999999999992</v>
      </c>
      <c r="I10" s="35">
        <f t="shared" si="1"/>
        <v>798.1345</v>
      </c>
      <c r="J10" s="24">
        <f t="shared" si="7"/>
        <v>-0.30000000003838101</v>
      </c>
      <c r="K10" s="25">
        <f t="shared" si="8"/>
        <v>-0.60000000007676102</v>
      </c>
      <c r="L10" s="26">
        <f t="shared" si="9"/>
        <v>-0.30000000003838101</v>
      </c>
      <c r="M10" s="6">
        <v>7.6813000000000002</v>
      </c>
      <c r="N10" s="35">
        <f t="shared" si="2"/>
        <v>797.63940000000002</v>
      </c>
      <c r="O10" s="24">
        <f t="shared" si="10"/>
        <v>-0.30000000003838101</v>
      </c>
      <c r="P10" s="25">
        <f t="shared" si="11"/>
        <v>-1.1000000000649399</v>
      </c>
      <c r="Q10" s="26">
        <f t="shared" si="12"/>
        <v>-0.30000000003838101</v>
      </c>
      <c r="R10" s="41"/>
      <c r="S10" s="21">
        <f t="shared" si="3"/>
        <v>44512</v>
      </c>
      <c r="T10" s="42">
        <v>4.7686000000000002</v>
      </c>
      <c r="U10" s="43">
        <f t="shared" si="13"/>
        <v>-0.19999999999953399</v>
      </c>
      <c r="V10" s="44">
        <f t="shared" si="14"/>
        <v>-0.799999999999912</v>
      </c>
      <c r="W10" s="45">
        <f t="shared" si="15"/>
        <v>0.19999999999953399</v>
      </c>
      <c r="X10" s="29">
        <v>17.073599999999999</v>
      </c>
      <c r="Y10" s="43">
        <f t="shared" si="16"/>
        <v>-0.90000000000145497</v>
      </c>
      <c r="Z10" s="44">
        <f t="shared" si="17"/>
        <v>-0.80000000000168803</v>
      </c>
      <c r="AA10" s="45">
        <f t="shared" si="18"/>
        <v>-0.90000000000145497</v>
      </c>
      <c r="AB10" s="49">
        <v>14.4102</v>
      </c>
      <c r="AC10" s="43">
        <f t="shared" si="19"/>
        <v>9.99999999997669E-2</v>
      </c>
      <c r="AD10" s="44">
        <f t="shared" si="20"/>
        <v>9.99999999997669E-2</v>
      </c>
      <c r="AE10" s="45">
        <f t="shared" si="21"/>
        <v>9.99999999997669E-2</v>
      </c>
      <c r="AF10" s="50">
        <v>79189</v>
      </c>
      <c r="AG10" s="58">
        <f t="shared" si="22"/>
        <v>15</v>
      </c>
      <c r="AH10" s="59"/>
      <c r="AI10" s="60"/>
      <c r="AJ10" s="61"/>
      <c r="AK10" s="62"/>
      <c r="AL10" s="52"/>
      <c r="AM10" s="52"/>
    </row>
    <row r="11" spans="1:39">
      <c r="A11" s="21">
        <v>44513</v>
      </c>
      <c r="B11" s="22">
        <v>789.95809999999994</v>
      </c>
      <c r="C11" s="27">
        <v>6.7975000000000003</v>
      </c>
      <c r="D11" s="23">
        <f t="shared" si="0"/>
        <v>796.75559999999996</v>
      </c>
      <c r="E11" s="24">
        <f t="shared" si="4"/>
        <v>-0.199999999949796</v>
      </c>
      <c r="F11" s="25">
        <f t="shared" si="5"/>
        <v>-0.99999999997635303</v>
      </c>
      <c r="G11" s="26">
        <f t="shared" si="6"/>
        <v>-0.199999999949796</v>
      </c>
      <c r="H11" s="6">
        <v>8.1762999999999995</v>
      </c>
      <c r="I11" s="35">
        <f t="shared" si="1"/>
        <v>798.13440000000003</v>
      </c>
      <c r="J11" s="24">
        <f t="shared" si="7"/>
        <v>-9.9999999974897905E-2</v>
      </c>
      <c r="K11" s="25">
        <f t="shared" si="8"/>
        <v>-0.70000000005165897</v>
      </c>
      <c r="L11" s="26">
        <f t="shared" si="9"/>
        <v>-9.9999999974897905E-2</v>
      </c>
      <c r="M11" s="6">
        <v>7.6814</v>
      </c>
      <c r="N11" s="35">
        <f t="shared" si="2"/>
        <v>797.6395</v>
      </c>
      <c r="O11" s="24">
        <f t="shared" si="10"/>
        <v>0.10000000008858501</v>
      </c>
      <c r="P11" s="25">
        <f t="shared" si="11"/>
        <v>-0.99999999997635303</v>
      </c>
      <c r="Q11" s="26">
        <f t="shared" si="12"/>
        <v>0.10000000008858501</v>
      </c>
      <c r="R11" s="41"/>
      <c r="S11" s="21">
        <f t="shared" si="3"/>
        <v>44513</v>
      </c>
      <c r="T11" s="42">
        <v>4.7683</v>
      </c>
      <c r="U11" s="43">
        <f t="shared" si="13"/>
        <v>-0.300000000000189</v>
      </c>
      <c r="V11" s="44">
        <f t="shared" si="14"/>
        <v>-1.1000000000001</v>
      </c>
      <c r="W11" s="45">
        <f t="shared" si="15"/>
        <v>0.300000000000189</v>
      </c>
      <c r="X11" s="29">
        <v>17.073399999999999</v>
      </c>
      <c r="Y11" s="43">
        <f t="shared" si="16"/>
        <v>-0.19999999999953399</v>
      </c>
      <c r="Z11" s="44">
        <f t="shared" si="17"/>
        <v>-1.0000000000012199</v>
      </c>
      <c r="AA11" s="45">
        <f t="shared" si="18"/>
        <v>-0.19999999999953399</v>
      </c>
      <c r="AB11" s="49">
        <v>14.409700000000001</v>
      </c>
      <c r="AC11" s="43">
        <f t="shared" si="19"/>
        <v>-0.49999999999883499</v>
      </c>
      <c r="AD11" s="44">
        <f t="shared" si="20"/>
        <v>-0.39999999999906799</v>
      </c>
      <c r="AE11" s="45">
        <f t="shared" si="21"/>
        <v>-0.49999999999883499</v>
      </c>
      <c r="AF11" s="50">
        <v>79191</v>
      </c>
      <c r="AG11" s="58">
        <f t="shared" si="22"/>
        <v>17</v>
      </c>
      <c r="AH11" s="61"/>
      <c r="AI11" s="60"/>
      <c r="AJ11" s="52"/>
      <c r="AK11" s="52"/>
      <c r="AL11" s="52"/>
      <c r="AM11" s="52"/>
    </row>
    <row r="12" spans="1:39">
      <c r="A12" s="21">
        <v>44514</v>
      </c>
      <c r="B12" s="22">
        <v>789.95809999999994</v>
      </c>
      <c r="C12" s="27">
        <v>6.7976000000000001</v>
      </c>
      <c r="D12" s="23">
        <f t="shared" si="0"/>
        <v>796.75570000000005</v>
      </c>
      <c r="E12" s="24">
        <f t="shared" si="4"/>
        <v>9.9999999974897905E-2</v>
      </c>
      <c r="F12" s="25">
        <f t="shared" si="5"/>
        <v>-0.90000000000145497</v>
      </c>
      <c r="G12" s="26">
        <f t="shared" si="6"/>
        <v>9.9999999974897905E-2</v>
      </c>
      <c r="H12" s="6">
        <v>8.1760999999999999</v>
      </c>
      <c r="I12" s="35">
        <f t="shared" si="1"/>
        <v>798.13419999999996</v>
      </c>
      <c r="J12" s="24">
        <f t="shared" si="7"/>
        <v>-0.199999999949796</v>
      </c>
      <c r="K12" s="25">
        <f t="shared" si="8"/>
        <v>-0.90000000000145497</v>
      </c>
      <c r="L12" s="26">
        <f t="shared" si="9"/>
        <v>-0.199999999949796</v>
      </c>
      <c r="M12" s="6">
        <v>7.6806999999999999</v>
      </c>
      <c r="N12" s="35">
        <f t="shared" si="2"/>
        <v>797.63879999999995</v>
      </c>
      <c r="O12" s="24">
        <f t="shared" si="10"/>
        <v>-0.70000000005165897</v>
      </c>
      <c r="P12" s="25">
        <f t="shared" si="11"/>
        <v>-1.70000000002801</v>
      </c>
      <c r="Q12" s="26">
        <f t="shared" si="12"/>
        <v>-0.70000000005165897</v>
      </c>
      <c r="R12" s="41"/>
      <c r="S12" s="21">
        <f t="shared" si="3"/>
        <v>44514</v>
      </c>
      <c r="T12" s="42">
        <v>4.7682000000000002</v>
      </c>
      <c r="U12" s="43">
        <f t="shared" si="13"/>
        <v>-9.99999999997669E-2</v>
      </c>
      <c r="V12" s="44">
        <f t="shared" si="14"/>
        <v>-1.1999999999998701</v>
      </c>
      <c r="W12" s="45">
        <f t="shared" si="15"/>
        <v>9.99999999997669E-2</v>
      </c>
      <c r="X12" s="29">
        <v>17.074300000000001</v>
      </c>
      <c r="Y12" s="43">
        <f t="shared" si="16"/>
        <v>0.90000000000145497</v>
      </c>
      <c r="Z12" s="44">
        <f t="shared" si="17"/>
        <v>-9.99999999997669E-2</v>
      </c>
      <c r="AA12" s="45">
        <f t="shared" si="18"/>
        <v>0.90000000000145497</v>
      </c>
      <c r="AB12" s="49">
        <v>14.4095</v>
      </c>
      <c r="AC12" s="43">
        <f t="shared" si="19"/>
        <v>-0.20000000000130999</v>
      </c>
      <c r="AD12" s="44">
        <f t="shared" si="20"/>
        <v>-0.60000000000037801</v>
      </c>
      <c r="AE12" s="45">
        <f t="shared" si="21"/>
        <v>-0.20000000000130999</v>
      </c>
      <c r="AF12" s="50">
        <v>79193</v>
      </c>
      <c r="AG12" s="58">
        <f t="shared" si="22"/>
        <v>19</v>
      </c>
      <c r="AH12" s="61"/>
      <c r="AI12" s="60"/>
      <c r="AJ12" s="52"/>
      <c r="AK12" s="52"/>
      <c r="AL12" s="52"/>
      <c r="AM12" s="52"/>
    </row>
    <row r="13" spans="1:39">
      <c r="A13" s="21">
        <v>44515</v>
      </c>
      <c r="B13" s="22">
        <v>789.95809999999994</v>
      </c>
      <c r="C13" s="27">
        <v>6.7971000000000004</v>
      </c>
      <c r="D13" s="23">
        <f t="shared" si="0"/>
        <v>796.75519999999995</v>
      </c>
      <c r="E13" s="24">
        <f t="shared" si="4"/>
        <v>-0.49999999998817701</v>
      </c>
      <c r="F13" s="25">
        <f t="shared" si="5"/>
        <v>-1.39999999998963</v>
      </c>
      <c r="G13" s="26">
        <f t="shared" si="6"/>
        <v>-0.49999999998817701</v>
      </c>
      <c r="H13" s="6">
        <v>8.1762999999999995</v>
      </c>
      <c r="I13" s="35">
        <f t="shared" si="1"/>
        <v>798.13440000000003</v>
      </c>
      <c r="J13" s="24">
        <f t="shared" si="7"/>
        <v>0.199999999949796</v>
      </c>
      <c r="K13" s="25">
        <f t="shared" si="8"/>
        <v>-0.70000000005165897</v>
      </c>
      <c r="L13" s="26">
        <f t="shared" si="9"/>
        <v>0.199999999949796</v>
      </c>
      <c r="M13" s="6">
        <v>7.6803999999999997</v>
      </c>
      <c r="N13" s="35">
        <f t="shared" si="2"/>
        <v>797.63850000000002</v>
      </c>
      <c r="O13" s="24">
        <f t="shared" si="10"/>
        <v>-0.30000000003838101</v>
      </c>
      <c r="P13" s="25">
        <f t="shared" si="11"/>
        <v>-2.00000000006639</v>
      </c>
      <c r="Q13" s="26">
        <f t="shared" si="12"/>
        <v>-0.30000000003838101</v>
      </c>
      <c r="R13" s="41"/>
      <c r="S13" s="21">
        <f t="shared" si="3"/>
        <v>44515</v>
      </c>
      <c r="T13" s="42">
        <v>4.7679999999999998</v>
      </c>
      <c r="U13" s="43">
        <f t="shared" si="13"/>
        <v>-0.20000000000042201</v>
      </c>
      <c r="V13" s="44">
        <f t="shared" si="14"/>
        <v>-1.4000000000002899</v>
      </c>
      <c r="W13" s="45">
        <f t="shared" si="15"/>
        <v>0.20000000000042201</v>
      </c>
      <c r="X13" s="29">
        <v>17.073</v>
      </c>
      <c r="Y13" s="43">
        <f t="shared" si="16"/>
        <v>-1.3000000000005201</v>
      </c>
      <c r="Z13" s="44">
        <f t="shared" si="17"/>
        <v>-1.4000000000002899</v>
      </c>
      <c r="AA13" s="45">
        <f t="shared" si="18"/>
        <v>-1.3000000000005201</v>
      </c>
      <c r="AB13" s="49">
        <v>14.409800000000001</v>
      </c>
      <c r="AC13" s="43">
        <f t="shared" si="19"/>
        <v>0.30000000000107702</v>
      </c>
      <c r="AD13" s="44">
        <f t="shared" si="20"/>
        <v>-0.29999999999930099</v>
      </c>
      <c r="AE13" s="45">
        <f t="shared" si="21"/>
        <v>0.30000000000107702</v>
      </c>
      <c r="AF13" s="50">
        <v>79195</v>
      </c>
      <c r="AG13" s="58">
        <f t="shared" si="22"/>
        <v>21</v>
      </c>
      <c r="AH13" s="61"/>
      <c r="AI13" s="60"/>
      <c r="AJ13" s="52"/>
      <c r="AK13" s="52"/>
      <c r="AL13" s="52"/>
      <c r="AM13" s="52"/>
    </row>
    <row r="14" spans="1:39">
      <c r="A14" s="21">
        <v>44516</v>
      </c>
      <c r="B14" s="22">
        <v>789.95809999999994</v>
      </c>
      <c r="C14" s="27">
        <v>6.7968999999999999</v>
      </c>
      <c r="D14" s="23">
        <f t="shared" si="0"/>
        <v>796.755</v>
      </c>
      <c r="E14" s="24">
        <f t="shared" si="4"/>
        <v>-0.199999999949796</v>
      </c>
      <c r="F14" s="25">
        <f t="shared" si="5"/>
        <v>-1.5999999999394301</v>
      </c>
      <c r="G14" s="26">
        <f t="shared" si="6"/>
        <v>-0.199999999949796</v>
      </c>
      <c r="H14" s="6">
        <v>8.1757000000000009</v>
      </c>
      <c r="I14" s="35">
        <f t="shared" si="1"/>
        <v>798.13379999999995</v>
      </c>
      <c r="J14" s="24">
        <f t="shared" si="7"/>
        <v>-0.59999999996307496</v>
      </c>
      <c r="K14" s="25">
        <f t="shared" si="8"/>
        <v>-1.30000000001473</v>
      </c>
      <c r="L14" s="26">
        <f t="shared" si="9"/>
        <v>-0.59999999996307496</v>
      </c>
      <c r="M14" s="6">
        <v>7.6805000000000003</v>
      </c>
      <c r="N14" s="35">
        <f t="shared" si="2"/>
        <v>797.6386</v>
      </c>
      <c r="O14" s="24">
        <f t="shared" si="10"/>
        <v>0.10000000008858501</v>
      </c>
      <c r="P14" s="25">
        <f t="shared" si="11"/>
        <v>-1.8999999999778101</v>
      </c>
      <c r="Q14" s="26">
        <f t="shared" si="12"/>
        <v>0.10000000008858501</v>
      </c>
      <c r="R14" s="41"/>
      <c r="S14" s="21">
        <f t="shared" si="3"/>
        <v>44516</v>
      </c>
      <c r="T14" s="42">
        <v>4.7682000000000002</v>
      </c>
      <c r="U14" s="43">
        <f t="shared" si="13"/>
        <v>0.20000000000042201</v>
      </c>
      <c r="V14" s="44">
        <f t="shared" si="14"/>
        <v>-1.1999999999998701</v>
      </c>
      <c r="W14" s="45">
        <f t="shared" si="15"/>
        <v>-0.20000000000042201</v>
      </c>
      <c r="X14" s="29">
        <v>17.072800000000001</v>
      </c>
      <c r="Y14" s="43">
        <f t="shared" si="16"/>
        <v>-0.19999999999953399</v>
      </c>
      <c r="Z14" s="44">
        <f t="shared" si="17"/>
        <v>-1.59999999999982</v>
      </c>
      <c r="AA14" s="45">
        <f t="shared" si="18"/>
        <v>-0.19999999999953399</v>
      </c>
      <c r="AB14" s="49">
        <v>14.4091</v>
      </c>
      <c r="AC14" s="43">
        <f t="shared" si="19"/>
        <v>-0.70000000000014495</v>
      </c>
      <c r="AD14" s="44">
        <f t="shared" si="20"/>
        <v>-0.999999999999446</v>
      </c>
      <c r="AE14" s="45">
        <f t="shared" si="21"/>
        <v>-0.70000000000014495</v>
      </c>
      <c r="AF14" s="50">
        <v>79198</v>
      </c>
      <c r="AG14" s="58">
        <f t="shared" si="22"/>
        <v>24</v>
      </c>
      <c r="AH14" s="61"/>
      <c r="AI14" s="60"/>
      <c r="AJ14" s="52"/>
      <c r="AK14" s="52"/>
      <c r="AL14" s="52"/>
      <c r="AM14" s="52"/>
    </row>
    <row r="15" spans="1:39">
      <c r="A15" s="21">
        <v>44517</v>
      </c>
      <c r="B15" s="22">
        <v>789.95809999999994</v>
      </c>
      <c r="C15" s="27">
        <v>6.7965</v>
      </c>
      <c r="D15" s="23">
        <f t="shared" si="0"/>
        <v>796.75459999999998</v>
      </c>
      <c r="E15" s="24">
        <f t="shared" si="4"/>
        <v>-0.40000000001327901</v>
      </c>
      <c r="F15" s="25">
        <f t="shared" si="5"/>
        <v>-1.9999999999527101</v>
      </c>
      <c r="G15" s="26">
        <f t="shared" si="6"/>
        <v>-0.40000000001327901</v>
      </c>
      <c r="H15" s="6">
        <v>8.1754999999999995</v>
      </c>
      <c r="I15" s="35">
        <f t="shared" si="1"/>
        <v>798.1336</v>
      </c>
      <c r="J15" s="24">
        <f t="shared" si="7"/>
        <v>-0.20000000006348301</v>
      </c>
      <c r="K15" s="25">
        <f t="shared" si="8"/>
        <v>-1.5000000000782201</v>
      </c>
      <c r="L15" s="26">
        <f t="shared" si="9"/>
        <v>-0.20000000006348301</v>
      </c>
      <c r="M15" s="6">
        <v>7.6798000000000002</v>
      </c>
      <c r="N15" s="35">
        <f t="shared" si="2"/>
        <v>797.63789999999995</v>
      </c>
      <c r="O15" s="24">
        <f t="shared" si="10"/>
        <v>-0.70000000005165897</v>
      </c>
      <c r="P15" s="25">
        <f t="shared" si="11"/>
        <v>-2.6000000000294698</v>
      </c>
      <c r="Q15" s="26">
        <f t="shared" si="12"/>
        <v>-0.70000000005165897</v>
      </c>
      <c r="R15" s="41"/>
      <c r="S15" s="21">
        <f t="shared" si="3"/>
        <v>44517</v>
      </c>
      <c r="T15" s="42">
        <v>4.7675999999999998</v>
      </c>
      <c r="U15" s="43">
        <f t="shared" si="13"/>
        <v>-0.60000000000037801</v>
      </c>
      <c r="V15" s="44">
        <f t="shared" si="14"/>
        <v>-1.8000000000002501</v>
      </c>
      <c r="W15" s="45">
        <f t="shared" si="15"/>
        <v>0.60000000000037801</v>
      </c>
      <c r="X15" s="29">
        <v>17.073499999999999</v>
      </c>
      <c r="Y15" s="43">
        <f t="shared" si="16"/>
        <v>0.69999999999836904</v>
      </c>
      <c r="Z15" s="44">
        <f t="shared" si="17"/>
        <v>-0.90000000000145497</v>
      </c>
      <c r="AA15" s="45">
        <f t="shared" si="18"/>
        <v>0.69999999999836904</v>
      </c>
      <c r="AB15" s="49">
        <v>14.408899999999999</v>
      </c>
      <c r="AC15" s="43">
        <f t="shared" si="19"/>
        <v>-0.20000000000130999</v>
      </c>
      <c r="AD15" s="44">
        <f t="shared" si="20"/>
        <v>-1.20000000000076</v>
      </c>
      <c r="AE15" s="45">
        <f t="shared" si="21"/>
        <v>-0.20000000000130999</v>
      </c>
      <c r="AF15" s="50">
        <v>79201</v>
      </c>
      <c r="AG15" s="58">
        <f t="shared" si="22"/>
        <v>27</v>
      </c>
      <c r="AH15" s="61"/>
      <c r="AI15" s="60"/>
      <c r="AJ15" s="52"/>
      <c r="AK15" s="52"/>
      <c r="AL15" s="52"/>
      <c r="AM15" s="52"/>
    </row>
    <row r="16" spans="1:39">
      <c r="A16" s="21">
        <v>44518</v>
      </c>
      <c r="B16" s="22">
        <v>789.95809999999994</v>
      </c>
      <c r="C16" s="27">
        <v>6.7964000000000002</v>
      </c>
      <c r="D16" s="23">
        <f t="shared" si="0"/>
        <v>796.75450000000001</v>
      </c>
      <c r="E16" s="24">
        <f t="shared" si="4"/>
        <v>-0.10000000008858501</v>
      </c>
      <c r="F16" s="25">
        <f t="shared" si="5"/>
        <v>-2.1000000000412902</v>
      </c>
      <c r="G16" s="26">
        <f t="shared" si="6"/>
        <v>-0.10000000008858501</v>
      </c>
      <c r="H16" s="6">
        <v>8.1755999999999993</v>
      </c>
      <c r="I16" s="35">
        <f t="shared" si="1"/>
        <v>798.13369999999998</v>
      </c>
      <c r="J16" s="24">
        <f t="shared" si="7"/>
        <v>0.10000000008858501</v>
      </c>
      <c r="K16" s="25">
        <f t="shared" si="8"/>
        <v>-1.39999999998963</v>
      </c>
      <c r="L16" s="26">
        <f t="shared" si="9"/>
        <v>0.10000000008858501</v>
      </c>
      <c r="M16" s="6">
        <v>7.6795</v>
      </c>
      <c r="N16" s="35">
        <f t="shared" si="2"/>
        <v>797.63760000000002</v>
      </c>
      <c r="O16" s="24">
        <f t="shared" si="10"/>
        <v>-0.30000000003838101</v>
      </c>
      <c r="P16" s="25">
        <f t="shared" si="11"/>
        <v>-2.9000000000678501</v>
      </c>
      <c r="Q16" s="26">
        <f t="shared" si="12"/>
        <v>-0.30000000003838101</v>
      </c>
      <c r="R16" s="41"/>
      <c r="S16" s="21">
        <f t="shared" si="3"/>
        <v>44518</v>
      </c>
      <c r="T16" s="42">
        <v>4.7674000000000003</v>
      </c>
      <c r="U16" s="43">
        <f t="shared" si="13"/>
        <v>-0.19999999999953399</v>
      </c>
      <c r="V16" s="44">
        <f t="shared" si="14"/>
        <v>-1.99999999999978</v>
      </c>
      <c r="W16" s="45">
        <f t="shared" si="15"/>
        <v>0.19999999999953399</v>
      </c>
      <c r="X16" s="29">
        <v>17.072399999999998</v>
      </c>
      <c r="Y16" s="43">
        <f t="shared" si="16"/>
        <v>-1.10000000000099</v>
      </c>
      <c r="Z16" s="44">
        <f t="shared" si="17"/>
        <v>-2.0000000000024398</v>
      </c>
      <c r="AA16" s="45">
        <f t="shared" si="18"/>
        <v>-1.10000000000099</v>
      </c>
      <c r="AB16" s="49">
        <v>14.4092</v>
      </c>
      <c r="AC16" s="43">
        <f t="shared" si="19"/>
        <v>0.30000000000107702</v>
      </c>
      <c r="AD16" s="44">
        <f t="shared" si="20"/>
        <v>-0.89999999999967895</v>
      </c>
      <c r="AE16" s="45">
        <f t="shared" si="21"/>
        <v>0.30000000000107702</v>
      </c>
      <c r="AF16" s="50">
        <v>79203</v>
      </c>
      <c r="AG16" s="58">
        <f t="shared" si="22"/>
        <v>29</v>
      </c>
      <c r="AH16" s="61"/>
      <c r="AI16" s="60"/>
      <c r="AJ16" s="52"/>
      <c r="AK16" s="52"/>
      <c r="AL16" s="52"/>
      <c r="AM16" s="52"/>
    </row>
    <row r="17" spans="1:39">
      <c r="A17" s="21">
        <v>44519</v>
      </c>
      <c r="B17" s="22">
        <v>789.95809999999994</v>
      </c>
      <c r="C17" s="27">
        <v>6.7962999999999996</v>
      </c>
      <c r="D17" s="23">
        <f t="shared" si="0"/>
        <v>796.75440000000003</v>
      </c>
      <c r="E17" s="24">
        <f t="shared" si="4"/>
        <v>-9.9999999974897905E-2</v>
      </c>
      <c r="F17" s="25">
        <f t="shared" si="5"/>
        <v>-2.2000000000161899</v>
      </c>
      <c r="G17" s="26">
        <f t="shared" si="6"/>
        <v>-9.9999999974897905E-2</v>
      </c>
      <c r="H17" s="6">
        <v>8.1753</v>
      </c>
      <c r="I17" s="35">
        <f t="shared" si="1"/>
        <v>798.13340000000005</v>
      </c>
      <c r="J17" s="24">
        <f t="shared" si="7"/>
        <v>-0.30000000003838101</v>
      </c>
      <c r="K17" s="25">
        <f t="shared" si="8"/>
        <v>-1.70000000002801</v>
      </c>
      <c r="L17" s="26">
        <f t="shared" si="9"/>
        <v>-0.30000000003838101</v>
      </c>
      <c r="M17" s="6">
        <v>7.6794000000000002</v>
      </c>
      <c r="N17" s="35">
        <f t="shared" si="2"/>
        <v>797.63750000000005</v>
      </c>
      <c r="O17" s="24">
        <f t="shared" si="10"/>
        <v>-9.9999999974897905E-2</v>
      </c>
      <c r="P17" s="25">
        <f t="shared" si="11"/>
        <v>-3.0000000000427498</v>
      </c>
      <c r="Q17" s="26">
        <f t="shared" si="12"/>
        <v>-9.9999999974897905E-2</v>
      </c>
      <c r="R17" s="41"/>
      <c r="S17" s="21">
        <f t="shared" si="3"/>
        <v>44519</v>
      </c>
      <c r="T17" s="42">
        <v>4.7675000000000001</v>
      </c>
      <c r="U17" s="43">
        <f t="shared" si="13"/>
        <v>9.99999999997669E-2</v>
      </c>
      <c r="V17" s="44">
        <f t="shared" si="14"/>
        <v>-1.9000000000000099</v>
      </c>
      <c r="W17" s="45">
        <f t="shared" si="15"/>
        <v>-9.99999999997669E-2</v>
      </c>
      <c r="X17" s="29">
        <v>17.072199999999999</v>
      </c>
      <c r="Y17" s="43">
        <f t="shared" si="16"/>
        <v>-0.19999999999953399</v>
      </c>
      <c r="Z17" s="44">
        <f t="shared" si="17"/>
        <v>-2.2000000000019799</v>
      </c>
      <c r="AA17" s="45">
        <f t="shared" si="18"/>
        <v>-0.19999999999953399</v>
      </c>
      <c r="AB17" s="49">
        <v>14.4095</v>
      </c>
      <c r="AC17" s="43">
        <f t="shared" si="19"/>
        <v>0.29999999999930099</v>
      </c>
      <c r="AD17" s="44">
        <f t="shared" si="20"/>
        <v>-0.60000000000037801</v>
      </c>
      <c r="AE17" s="45">
        <f t="shared" si="21"/>
        <v>0.29999999999930099</v>
      </c>
      <c r="AF17" s="50">
        <v>79205</v>
      </c>
      <c r="AG17" s="58">
        <f t="shared" si="22"/>
        <v>31</v>
      </c>
      <c r="AH17" s="61"/>
      <c r="AI17" s="52"/>
      <c r="AJ17" s="52"/>
      <c r="AK17" s="52"/>
      <c r="AL17" s="52"/>
      <c r="AM17" s="52"/>
    </row>
    <row r="18" spans="1:39">
      <c r="A18" s="21">
        <v>44520</v>
      </c>
      <c r="B18" s="22">
        <v>789.95809999999994</v>
      </c>
      <c r="C18" s="27">
        <v>6.7964000000000002</v>
      </c>
      <c r="D18" s="23">
        <f t="shared" si="0"/>
        <v>796.75450000000001</v>
      </c>
      <c r="E18" s="24">
        <f t="shared" si="4"/>
        <v>9.9999999974897905E-2</v>
      </c>
      <c r="F18" s="25">
        <f t="shared" si="5"/>
        <v>-2.1000000000412902</v>
      </c>
      <c r="G18" s="26">
        <f t="shared" si="6"/>
        <v>9.9999999974897905E-2</v>
      </c>
      <c r="H18" s="6">
        <v>8.1753999999999998</v>
      </c>
      <c r="I18" s="35">
        <f t="shared" si="1"/>
        <v>798.13350000000003</v>
      </c>
      <c r="J18" s="24">
        <f t="shared" si="7"/>
        <v>9.9999999974897905E-2</v>
      </c>
      <c r="K18" s="25">
        <f t="shared" si="8"/>
        <v>-1.60000000005311</v>
      </c>
      <c r="L18" s="26">
        <f t="shared" si="9"/>
        <v>9.9999999974897905E-2</v>
      </c>
      <c r="M18" s="6">
        <v>7.6795999999999998</v>
      </c>
      <c r="N18" s="35">
        <f t="shared" si="2"/>
        <v>797.6377</v>
      </c>
      <c r="O18" s="24">
        <f t="shared" si="10"/>
        <v>0.20000000006348301</v>
      </c>
      <c r="P18" s="25">
        <f t="shared" si="11"/>
        <v>-2.79999999997926</v>
      </c>
      <c r="Q18" s="26">
        <f t="shared" si="12"/>
        <v>0.20000000006348301</v>
      </c>
      <c r="R18" s="41"/>
      <c r="S18" s="21">
        <f t="shared" si="3"/>
        <v>44520</v>
      </c>
      <c r="T18" s="42">
        <v>4.7674000000000003</v>
      </c>
      <c r="U18" s="43">
        <f t="shared" si="13"/>
        <v>-9.99999999997669E-2</v>
      </c>
      <c r="V18" s="44">
        <f t="shared" si="14"/>
        <v>-1.99999999999978</v>
      </c>
      <c r="W18" s="45">
        <f t="shared" si="15"/>
        <v>9.99999999997669E-2</v>
      </c>
      <c r="X18" s="29">
        <v>17.072500000000002</v>
      </c>
      <c r="Y18" s="43">
        <f t="shared" si="16"/>
        <v>0.30000000000285398</v>
      </c>
      <c r="Z18" s="44">
        <f t="shared" si="17"/>
        <v>-1.8999999999991199</v>
      </c>
      <c r="AA18" s="45">
        <f t="shared" si="18"/>
        <v>0.30000000000285398</v>
      </c>
      <c r="AB18" s="49">
        <v>14.4093</v>
      </c>
      <c r="AC18" s="43">
        <f t="shared" si="19"/>
        <v>-0.19999999999953399</v>
      </c>
      <c r="AD18" s="44">
        <f t="shared" si="20"/>
        <v>-0.799999999999912</v>
      </c>
      <c r="AE18" s="45">
        <f t="shared" si="21"/>
        <v>-0.19999999999953399</v>
      </c>
      <c r="AF18" s="50">
        <v>79208</v>
      </c>
      <c r="AG18" s="58">
        <f t="shared" si="22"/>
        <v>34</v>
      </c>
      <c r="AH18" s="61"/>
      <c r="AI18" s="52"/>
      <c r="AJ18" s="52"/>
      <c r="AK18" s="52"/>
      <c r="AL18" s="52"/>
      <c r="AM18" s="52"/>
    </row>
    <row r="19" spans="1:39">
      <c r="A19" s="21">
        <v>44521</v>
      </c>
      <c r="B19" s="22">
        <v>789.95809999999994</v>
      </c>
      <c r="C19" s="27">
        <v>6.7965</v>
      </c>
      <c r="D19" s="23">
        <f t="shared" si="0"/>
        <v>796.75459999999998</v>
      </c>
      <c r="E19" s="24">
        <f t="shared" si="4"/>
        <v>0.10000000008858501</v>
      </c>
      <c r="F19" s="25">
        <f t="shared" si="5"/>
        <v>-1.9999999999527101</v>
      </c>
      <c r="G19" s="26">
        <f t="shared" si="6"/>
        <v>0.10000000008858501</v>
      </c>
      <c r="H19" s="6">
        <v>8.1754999999999995</v>
      </c>
      <c r="I19" s="35">
        <f t="shared" si="1"/>
        <v>798.1336</v>
      </c>
      <c r="J19" s="24">
        <f t="shared" si="7"/>
        <v>9.9999999974897905E-2</v>
      </c>
      <c r="K19" s="25">
        <f t="shared" si="8"/>
        <v>-1.5000000000782201</v>
      </c>
      <c r="L19" s="26">
        <f t="shared" si="9"/>
        <v>9.9999999974897905E-2</v>
      </c>
      <c r="M19" s="6">
        <v>7.6792999999999996</v>
      </c>
      <c r="N19" s="35">
        <f t="shared" si="2"/>
        <v>797.63739999999996</v>
      </c>
      <c r="O19" s="24">
        <f t="shared" si="10"/>
        <v>-0.30000000003838101</v>
      </c>
      <c r="P19" s="25">
        <f t="shared" si="11"/>
        <v>-3.1000000000176402</v>
      </c>
      <c r="Q19" s="26">
        <f t="shared" si="12"/>
        <v>-0.30000000003838101</v>
      </c>
      <c r="R19" s="41"/>
      <c r="S19" s="21">
        <f t="shared" ref="S19:S31" si="23">A19</f>
        <v>44521</v>
      </c>
      <c r="T19" s="42">
        <v>4.7672999999999996</v>
      </c>
      <c r="U19" s="43">
        <f t="shared" ref="U19:U33" si="24">(T19-T18)*1000</f>
        <v>-0.100000000000655</v>
      </c>
      <c r="V19" s="44">
        <f t="shared" ref="V19:V33" si="25">V18+U19</f>
        <v>-2.10000000000043</v>
      </c>
      <c r="W19" s="45">
        <f t="shared" ref="W19:W33" si="26">U19/(S18-S19)</f>
        <v>0.100000000000655</v>
      </c>
      <c r="X19" s="29">
        <v>17.072299999999998</v>
      </c>
      <c r="Y19" s="43">
        <f t="shared" ref="Y19:Y33" si="27">(X19-X18)*1000</f>
        <v>-0.20000000000308699</v>
      </c>
      <c r="Z19" s="44">
        <f t="shared" ref="Z19:Z33" si="28">Z18+Y19</f>
        <v>-2.1000000000022099</v>
      </c>
      <c r="AA19" s="45">
        <f t="shared" ref="AA19:AA33" si="29">Y19/(S19-S18)</f>
        <v>-0.20000000000308699</v>
      </c>
      <c r="AB19" s="49">
        <v>14.4091</v>
      </c>
      <c r="AC19" s="43">
        <f t="shared" ref="AC19:AC33" si="30">(AB19-AB18)*1000</f>
        <v>-0.19999999999953399</v>
      </c>
      <c r="AD19" s="44">
        <f t="shared" ref="AD19:AD33" si="31">AD18+AC19</f>
        <v>-0.999999999999446</v>
      </c>
      <c r="AE19" s="45">
        <f t="shared" ref="AE19:AE33" si="32">AC19/(S19-S18)</f>
        <v>-0.19999999999953399</v>
      </c>
      <c r="AF19" s="50">
        <v>79211</v>
      </c>
      <c r="AG19" s="58">
        <f t="shared" ref="AG19:AG33" si="33">AF19-79174</f>
        <v>37</v>
      </c>
      <c r="AH19" s="61"/>
      <c r="AI19" s="52"/>
      <c r="AJ19" s="52"/>
      <c r="AK19" s="52"/>
      <c r="AL19" s="52"/>
      <c r="AM19" s="52"/>
    </row>
    <row r="20" spans="1:39">
      <c r="A20" s="21">
        <v>44522</v>
      </c>
      <c r="B20" s="22">
        <v>789.95809999999994</v>
      </c>
      <c r="C20" s="27">
        <v>6.7961999999999998</v>
      </c>
      <c r="D20" s="23">
        <f t="shared" si="0"/>
        <v>796.75429999999994</v>
      </c>
      <c r="E20" s="24">
        <f t="shared" si="4"/>
        <v>-0.30000000003838101</v>
      </c>
      <c r="F20" s="25">
        <f t="shared" si="5"/>
        <v>-2.2999999999910901</v>
      </c>
      <c r="G20" s="26">
        <f t="shared" si="6"/>
        <v>-0.30000000003838101</v>
      </c>
      <c r="H20" s="6">
        <v>8.1753999999999998</v>
      </c>
      <c r="I20" s="35">
        <f t="shared" si="1"/>
        <v>798.13350000000003</v>
      </c>
      <c r="J20" s="24">
        <f t="shared" si="7"/>
        <v>-9.9999999974897905E-2</v>
      </c>
      <c r="K20" s="25">
        <f t="shared" si="8"/>
        <v>-1.60000000005311</v>
      </c>
      <c r="L20" s="26">
        <f t="shared" si="9"/>
        <v>-9.9999999974897905E-2</v>
      </c>
      <c r="M20" s="6">
        <v>7.6791999999999998</v>
      </c>
      <c r="N20" s="35">
        <f t="shared" si="2"/>
        <v>797.63729999999998</v>
      </c>
      <c r="O20" s="24">
        <f t="shared" si="10"/>
        <v>-9.9999999974897905E-2</v>
      </c>
      <c r="P20" s="25">
        <f t="shared" si="11"/>
        <v>-3.1999999999925399</v>
      </c>
      <c r="Q20" s="26">
        <f t="shared" si="12"/>
        <v>-9.9999999974897905E-2</v>
      </c>
      <c r="R20" s="41"/>
      <c r="S20" s="21">
        <f t="shared" si="23"/>
        <v>44522</v>
      </c>
      <c r="T20" s="42">
        <v>4.7675000000000001</v>
      </c>
      <c r="U20" s="43">
        <f t="shared" si="24"/>
        <v>0.20000000000042201</v>
      </c>
      <c r="V20" s="44">
        <f t="shared" si="25"/>
        <v>-1.9000000000000099</v>
      </c>
      <c r="W20" s="45">
        <f t="shared" si="26"/>
        <v>-0.20000000000042201</v>
      </c>
      <c r="X20" s="29">
        <v>17.072099999999999</v>
      </c>
      <c r="Y20" s="43">
        <f t="shared" si="27"/>
        <v>-0.19999999999953399</v>
      </c>
      <c r="Z20" s="44">
        <f t="shared" si="28"/>
        <v>-2.3000000000017402</v>
      </c>
      <c r="AA20" s="45">
        <f t="shared" si="29"/>
        <v>-0.19999999999953399</v>
      </c>
      <c r="AB20" s="49">
        <v>14.4095</v>
      </c>
      <c r="AC20" s="43">
        <f t="shared" si="30"/>
        <v>0.39999999999906799</v>
      </c>
      <c r="AD20" s="44">
        <f t="shared" si="31"/>
        <v>-0.60000000000037801</v>
      </c>
      <c r="AE20" s="45">
        <f t="shared" si="32"/>
        <v>0.39999999999906799</v>
      </c>
      <c r="AF20" s="50">
        <v>79214</v>
      </c>
      <c r="AG20" s="58">
        <f t="shared" si="33"/>
        <v>40</v>
      </c>
      <c r="AH20" s="61"/>
      <c r="AI20" s="60"/>
      <c r="AJ20"/>
      <c r="AK20"/>
      <c r="AL20"/>
      <c r="AM20"/>
    </row>
    <row r="21" spans="1:39">
      <c r="A21" s="21">
        <v>44524</v>
      </c>
      <c r="B21" s="22">
        <v>789.95809999999994</v>
      </c>
      <c r="C21" s="27">
        <v>6.7967000000000004</v>
      </c>
      <c r="D21" s="23">
        <f t="shared" ref="D21:D33" si="34">C21+B21</f>
        <v>796.75480000000005</v>
      </c>
      <c r="E21" s="24">
        <f t="shared" ref="E21:E33" si="35">(D21-D20)*1000</f>
        <v>0.49999999998817701</v>
      </c>
      <c r="F21" s="25">
        <f t="shared" ref="F21:F33" si="36">F20+E21</f>
        <v>-1.8000000000029099</v>
      </c>
      <c r="G21" s="26">
        <f t="shared" ref="G21:G33" si="37">E21/(A21-A20)</f>
        <v>0.24999999999408801</v>
      </c>
      <c r="H21" s="6">
        <v>8.1754999999999995</v>
      </c>
      <c r="I21" s="35">
        <f t="shared" ref="I21:I33" si="38">H21+B21</f>
        <v>798.1336</v>
      </c>
      <c r="J21" s="24">
        <f t="shared" ref="J21:J33" si="39">(I21-I20)*1000</f>
        <v>9.9999999974897905E-2</v>
      </c>
      <c r="K21" s="25">
        <f t="shared" ref="K21:K33" si="40">K20+J21</f>
        <v>-1.5000000000782201</v>
      </c>
      <c r="L21" s="26">
        <f t="shared" ref="L21:L33" si="41">J21/(A21-A20)</f>
        <v>4.9999999987449001E-2</v>
      </c>
      <c r="M21" s="6">
        <v>7.6790000000000003</v>
      </c>
      <c r="N21" s="35">
        <f t="shared" ref="N21:N33" si="42">M21+B21</f>
        <v>797.63710000000003</v>
      </c>
      <c r="O21" s="24">
        <f t="shared" ref="O21:O33" si="43">(N21-N20)*1000</f>
        <v>-0.20000000006348301</v>
      </c>
      <c r="P21" s="25">
        <f t="shared" ref="P21:P33" si="44">P20+O21</f>
        <v>-3.40000000005602</v>
      </c>
      <c r="Q21" s="26">
        <f t="shared" ref="Q21:Q33" si="45">O21/(A21-A20)</f>
        <v>-0.100000000031741</v>
      </c>
      <c r="R21" s="41"/>
      <c r="S21" s="21">
        <f t="shared" si="23"/>
        <v>44524</v>
      </c>
      <c r="T21" s="42">
        <v>4.7671000000000001</v>
      </c>
      <c r="U21" s="43">
        <f t="shared" si="24"/>
        <v>-0.399999999999956</v>
      </c>
      <c r="V21" s="44">
        <f t="shared" si="25"/>
        <v>-2.2999999999999701</v>
      </c>
      <c r="W21" s="45">
        <f t="shared" si="26"/>
        <v>0.199999999999978</v>
      </c>
      <c r="X21" s="29">
        <v>17.072299999999998</v>
      </c>
      <c r="Y21" s="43">
        <f t="shared" si="27"/>
        <v>0.19999999999953399</v>
      </c>
      <c r="Z21" s="44">
        <f t="shared" si="28"/>
        <v>-2.1000000000022099</v>
      </c>
      <c r="AA21" s="45">
        <f t="shared" si="29"/>
        <v>9.99999999997669E-2</v>
      </c>
      <c r="AB21" s="49">
        <v>14.4087</v>
      </c>
      <c r="AC21" s="43">
        <f t="shared" si="30"/>
        <v>-0.799999999999912</v>
      </c>
      <c r="AD21" s="44">
        <f t="shared" si="31"/>
        <v>-1.4000000000002899</v>
      </c>
      <c r="AE21" s="45">
        <f t="shared" si="32"/>
        <v>-0.399999999999956</v>
      </c>
      <c r="AF21" s="50">
        <v>79217</v>
      </c>
      <c r="AG21" s="58">
        <f t="shared" si="33"/>
        <v>43</v>
      </c>
      <c r="AH21" s="61"/>
      <c r="AI21" s="52"/>
      <c r="AJ21" s="52"/>
      <c r="AK21" s="52"/>
      <c r="AL21" s="52"/>
      <c r="AM21" s="52"/>
    </row>
    <row r="22" spans="1:39">
      <c r="A22" s="21">
        <v>44526</v>
      </c>
      <c r="B22" s="22">
        <v>789.95809999999994</v>
      </c>
      <c r="C22" s="27">
        <v>6.7968000000000002</v>
      </c>
      <c r="D22" s="23">
        <f t="shared" si="34"/>
        <v>796.75490000000002</v>
      </c>
      <c r="E22" s="24">
        <f t="shared" si="35"/>
        <v>9.9999999974897905E-2</v>
      </c>
      <c r="F22" s="25">
        <f t="shared" si="36"/>
        <v>-1.70000000002801</v>
      </c>
      <c r="G22" s="26">
        <f t="shared" si="37"/>
        <v>4.9999999987449001E-2</v>
      </c>
      <c r="H22" s="6">
        <v>8.1752000000000002</v>
      </c>
      <c r="I22" s="35">
        <f t="shared" si="38"/>
        <v>798.13329999999996</v>
      </c>
      <c r="J22" s="24">
        <f t="shared" si="39"/>
        <v>-0.29999999992469401</v>
      </c>
      <c r="K22" s="25">
        <f t="shared" si="40"/>
        <v>-1.8000000000029099</v>
      </c>
      <c r="L22" s="26">
        <f t="shared" si="41"/>
        <v>-0.149999999962347</v>
      </c>
      <c r="M22" s="6">
        <v>7.6782000000000004</v>
      </c>
      <c r="N22" s="35">
        <f t="shared" si="42"/>
        <v>797.63630000000001</v>
      </c>
      <c r="O22" s="24">
        <f t="shared" si="43"/>
        <v>-0.80000000002655702</v>
      </c>
      <c r="P22" s="25">
        <f t="shared" si="44"/>
        <v>-4.2000000000825803</v>
      </c>
      <c r="Q22" s="26">
        <f t="shared" si="45"/>
        <v>-0.40000000001327901</v>
      </c>
      <c r="R22" s="41"/>
      <c r="S22" s="21">
        <f t="shared" si="23"/>
        <v>44526</v>
      </c>
      <c r="T22" s="42">
        <v>4.7670000000000003</v>
      </c>
      <c r="U22" s="43">
        <f t="shared" si="24"/>
        <v>-9.99999999997669E-2</v>
      </c>
      <c r="V22" s="44">
        <f t="shared" si="25"/>
        <v>-2.3999999999997401</v>
      </c>
      <c r="W22" s="45">
        <f t="shared" si="26"/>
        <v>4.9999999999883499E-2</v>
      </c>
      <c r="X22" s="29">
        <v>17.0717</v>
      </c>
      <c r="Y22" s="43">
        <f t="shared" si="27"/>
        <v>-0.59999999999860198</v>
      </c>
      <c r="Z22" s="44">
        <f t="shared" si="28"/>
        <v>-2.7000000000008102</v>
      </c>
      <c r="AA22" s="45">
        <f t="shared" si="29"/>
        <v>-0.29999999999930099</v>
      </c>
      <c r="AB22" s="49">
        <v>14.4085</v>
      </c>
      <c r="AC22" s="43">
        <f t="shared" si="30"/>
        <v>-0.19999999999953399</v>
      </c>
      <c r="AD22" s="44">
        <f t="shared" si="31"/>
        <v>-1.59999999999982</v>
      </c>
      <c r="AE22" s="45">
        <f t="shared" si="32"/>
        <v>-9.99999999997669E-2</v>
      </c>
      <c r="AF22" s="50">
        <v>79220</v>
      </c>
      <c r="AG22" s="58">
        <f t="shared" si="33"/>
        <v>46</v>
      </c>
      <c r="AH22" s="61"/>
      <c r="AI22" s="52"/>
      <c r="AJ22" s="52"/>
      <c r="AK22" s="52"/>
      <c r="AL22" s="52"/>
      <c r="AM22" s="52"/>
    </row>
    <row r="23" spans="1:39">
      <c r="A23" s="21">
        <v>44528</v>
      </c>
      <c r="B23" s="22">
        <v>789.95809999999994</v>
      </c>
      <c r="C23" s="27">
        <v>6.7968999999999999</v>
      </c>
      <c r="D23" s="23">
        <f t="shared" si="34"/>
        <v>796.755</v>
      </c>
      <c r="E23" s="24">
        <f t="shared" si="35"/>
        <v>0.10000000008858501</v>
      </c>
      <c r="F23" s="25">
        <f t="shared" si="36"/>
        <v>-1.5999999999394301</v>
      </c>
      <c r="G23" s="26">
        <f t="shared" si="37"/>
        <v>5.0000000044292399E-2</v>
      </c>
      <c r="H23" s="6">
        <v>8.1751000000000005</v>
      </c>
      <c r="I23" s="35">
        <f t="shared" si="38"/>
        <v>798.13319999999999</v>
      </c>
      <c r="J23" s="24">
        <f t="shared" si="39"/>
        <v>-9.9999999974897905E-2</v>
      </c>
      <c r="K23" s="25">
        <f t="shared" si="40"/>
        <v>-1.8999999999778101</v>
      </c>
      <c r="L23" s="26">
        <f t="shared" si="41"/>
        <v>-4.9999999987449001E-2</v>
      </c>
      <c r="M23" s="6">
        <v>7.6784999999999997</v>
      </c>
      <c r="N23" s="35">
        <f t="shared" si="42"/>
        <v>797.63660000000004</v>
      </c>
      <c r="O23" s="24">
        <f t="shared" si="43"/>
        <v>0.30000000003838101</v>
      </c>
      <c r="P23" s="25">
        <f t="shared" si="44"/>
        <v>-3.9000000000442001</v>
      </c>
      <c r="Q23" s="26">
        <f t="shared" si="45"/>
        <v>0.15000000001919001</v>
      </c>
      <c r="S23" s="21">
        <f t="shared" si="23"/>
        <v>44528</v>
      </c>
      <c r="T23" s="42">
        <v>4.7667999999999999</v>
      </c>
      <c r="U23" s="43">
        <f t="shared" si="24"/>
        <v>-0.20000000000042201</v>
      </c>
      <c r="V23" s="44">
        <f t="shared" si="25"/>
        <v>-2.60000000000016</v>
      </c>
      <c r="W23" s="45">
        <f t="shared" si="26"/>
        <v>0.100000000000211</v>
      </c>
      <c r="X23" s="29">
        <v>17.0715</v>
      </c>
      <c r="Y23" s="43">
        <f t="shared" si="27"/>
        <v>-0.19999999999953399</v>
      </c>
      <c r="Z23" s="44">
        <f t="shared" si="28"/>
        <v>-2.9000000000003499</v>
      </c>
      <c r="AA23" s="45">
        <f t="shared" si="29"/>
        <v>-9.99999999997669E-2</v>
      </c>
      <c r="AB23" s="49">
        <v>14.408200000000001</v>
      </c>
      <c r="AC23" s="43">
        <f t="shared" si="30"/>
        <v>-0.29999999999930099</v>
      </c>
      <c r="AD23" s="44">
        <f t="shared" si="31"/>
        <v>-1.8999999999991199</v>
      </c>
      <c r="AE23" s="45">
        <f t="shared" si="32"/>
        <v>-0.14999999999965</v>
      </c>
      <c r="AF23" s="50">
        <v>79223</v>
      </c>
      <c r="AG23" s="58">
        <f t="shared" si="33"/>
        <v>49</v>
      </c>
      <c r="AH23" s="61"/>
      <c r="AI23" s="52"/>
      <c r="AJ23" s="52"/>
      <c r="AK23" s="52"/>
      <c r="AL23" s="52"/>
      <c r="AM23" s="52"/>
    </row>
    <row r="24" spans="1:39">
      <c r="A24" s="21">
        <v>44530</v>
      </c>
      <c r="B24" s="22">
        <v>789.95809999999994</v>
      </c>
      <c r="C24" s="27">
        <v>6.7962999999999996</v>
      </c>
      <c r="D24" s="23">
        <f t="shared" si="34"/>
        <v>796.75440000000003</v>
      </c>
      <c r="E24" s="24">
        <f t="shared" si="35"/>
        <v>-0.60000000007676102</v>
      </c>
      <c r="F24" s="25">
        <f t="shared" si="36"/>
        <v>-2.2000000000161899</v>
      </c>
      <c r="G24" s="26">
        <f t="shared" si="37"/>
        <v>-0.30000000003838101</v>
      </c>
      <c r="H24" s="6">
        <v>8.1755999999999993</v>
      </c>
      <c r="I24" s="35">
        <f t="shared" si="38"/>
        <v>798.13369999999998</v>
      </c>
      <c r="J24" s="24">
        <f t="shared" si="39"/>
        <v>0.49999999998817701</v>
      </c>
      <c r="K24" s="25">
        <f t="shared" si="40"/>
        <v>-1.39999999998963</v>
      </c>
      <c r="L24" s="26">
        <f t="shared" si="41"/>
        <v>0.24999999999408801</v>
      </c>
      <c r="M24" s="6">
        <v>7.6783999999999999</v>
      </c>
      <c r="N24" s="35">
        <f t="shared" si="42"/>
        <v>797.63649999999996</v>
      </c>
      <c r="O24" s="24">
        <f t="shared" si="43"/>
        <v>-9.9999999974897905E-2</v>
      </c>
      <c r="P24" s="25">
        <f t="shared" si="44"/>
        <v>-4.0000000000191003</v>
      </c>
      <c r="Q24" s="26">
        <f t="shared" si="45"/>
        <v>-4.9999999987449001E-2</v>
      </c>
      <c r="S24" s="21">
        <f t="shared" si="23"/>
        <v>44530</v>
      </c>
      <c r="T24" s="42">
        <v>4.7667999999999999</v>
      </c>
      <c r="U24" s="43">
        <f t="shared" si="24"/>
        <v>0</v>
      </c>
      <c r="V24" s="44">
        <f t="shared" si="25"/>
        <v>-2.60000000000016</v>
      </c>
      <c r="W24" s="45">
        <f t="shared" si="26"/>
        <v>0</v>
      </c>
      <c r="X24" s="29">
        <v>17.0715</v>
      </c>
      <c r="Y24" s="43">
        <f t="shared" si="27"/>
        <v>0</v>
      </c>
      <c r="Z24" s="44">
        <f t="shared" si="28"/>
        <v>-2.9000000000003499</v>
      </c>
      <c r="AA24" s="45">
        <f t="shared" si="29"/>
        <v>0</v>
      </c>
      <c r="AB24" s="49">
        <v>14.408099999999999</v>
      </c>
      <c r="AC24" s="43">
        <f t="shared" si="30"/>
        <v>-0.10000000000154299</v>
      </c>
      <c r="AD24" s="44">
        <f t="shared" si="31"/>
        <v>-2.0000000000006701</v>
      </c>
      <c r="AE24" s="45">
        <f t="shared" si="32"/>
        <v>-5.0000000000771601E-2</v>
      </c>
      <c r="AF24" s="50">
        <v>79226</v>
      </c>
      <c r="AG24" s="58">
        <f t="shared" si="33"/>
        <v>52</v>
      </c>
      <c r="AH24" s="61"/>
      <c r="AI24" s="52"/>
      <c r="AJ24" s="52"/>
      <c r="AK24" s="52"/>
      <c r="AL24" s="52"/>
      <c r="AM24" s="52"/>
    </row>
    <row r="25" spans="1:39">
      <c r="A25" s="21">
        <v>44532</v>
      </c>
      <c r="B25" s="22">
        <v>789.95809999999994</v>
      </c>
      <c r="C25" s="27">
        <v>6.7960000000000003</v>
      </c>
      <c r="D25" s="23">
        <f t="shared" si="34"/>
        <v>796.75409999999999</v>
      </c>
      <c r="E25" s="24">
        <f t="shared" si="35"/>
        <v>-0.29999999992469401</v>
      </c>
      <c r="F25" s="25">
        <f t="shared" si="36"/>
        <v>-2.4999999999408802</v>
      </c>
      <c r="G25" s="26">
        <f t="shared" si="37"/>
        <v>-0.149999999962347</v>
      </c>
      <c r="H25" s="6">
        <v>8.1748999999999992</v>
      </c>
      <c r="I25" s="35">
        <f t="shared" si="38"/>
        <v>798.13300000000004</v>
      </c>
      <c r="J25" s="24">
        <f t="shared" si="39"/>
        <v>-0.70000000005165897</v>
      </c>
      <c r="K25" s="25">
        <f t="shared" si="40"/>
        <v>-2.1000000000412902</v>
      </c>
      <c r="L25" s="26">
        <f t="shared" si="41"/>
        <v>-0.35000000002582998</v>
      </c>
      <c r="M25" s="6">
        <v>7.6782000000000004</v>
      </c>
      <c r="N25" s="35">
        <f t="shared" si="42"/>
        <v>797.63630000000001</v>
      </c>
      <c r="O25" s="24">
        <f t="shared" si="43"/>
        <v>-0.20000000006348301</v>
      </c>
      <c r="P25" s="25">
        <f t="shared" si="44"/>
        <v>-4.2000000000825803</v>
      </c>
      <c r="Q25" s="26">
        <f t="shared" si="45"/>
        <v>-0.100000000031741</v>
      </c>
      <c r="R25" s="41"/>
      <c r="S25" s="21">
        <f t="shared" si="23"/>
        <v>44532</v>
      </c>
      <c r="T25" s="42">
        <v>4.7667000000000002</v>
      </c>
      <c r="U25" s="43">
        <f t="shared" si="24"/>
        <v>-9.99999999997669E-2</v>
      </c>
      <c r="V25" s="44">
        <f t="shared" si="25"/>
        <v>-2.6999999999999198</v>
      </c>
      <c r="W25" s="45">
        <f t="shared" si="26"/>
        <v>4.9999999999883499E-2</v>
      </c>
      <c r="X25" s="29">
        <v>17.071100000000001</v>
      </c>
      <c r="Y25" s="43">
        <f t="shared" si="27"/>
        <v>-0.39999999999906799</v>
      </c>
      <c r="Z25" s="44">
        <f t="shared" si="28"/>
        <v>-3.2999999999994101</v>
      </c>
      <c r="AA25" s="45">
        <f t="shared" si="29"/>
        <v>-0.19999999999953399</v>
      </c>
      <c r="AB25" s="49">
        <v>14.4079</v>
      </c>
      <c r="AC25" s="43">
        <f t="shared" si="30"/>
        <v>-0.19999999999953399</v>
      </c>
      <c r="AD25" s="44">
        <f t="shared" si="31"/>
        <v>-2.2000000000002</v>
      </c>
      <c r="AE25" s="45">
        <f t="shared" si="32"/>
        <v>-9.99999999997669E-2</v>
      </c>
      <c r="AF25" s="50">
        <v>79229</v>
      </c>
      <c r="AG25" s="58">
        <f t="shared" si="33"/>
        <v>55</v>
      </c>
      <c r="AH25" s="61"/>
      <c r="AI25" s="52"/>
      <c r="AJ25" s="52"/>
      <c r="AK25" s="52"/>
      <c r="AL25" s="52"/>
      <c r="AM25" s="52"/>
    </row>
    <row r="26" spans="1:39">
      <c r="A26" s="21">
        <v>44534</v>
      </c>
      <c r="B26" s="22">
        <v>789.95809999999994</v>
      </c>
      <c r="C26" s="27">
        <v>6.7962999999999996</v>
      </c>
      <c r="D26" s="23">
        <f t="shared" si="34"/>
        <v>796.75440000000003</v>
      </c>
      <c r="E26" s="24">
        <f t="shared" si="35"/>
        <v>0.29999999992469401</v>
      </c>
      <c r="F26" s="25">
        <f t="shared" si="36"/>
        <v>-2.2000000000161899</v>
      </c>
      <c r="G26" s="26">
        <f t="shared" si="37"/>
        <v>0.149999999962347</v>
      </c>
      <c r="H26" s="6">
        <v>8.1747999999999994</v>
      </c>
      <c r="I26" s="35">
        <f t="shared" si="38"/>
        <v>798.13289999999995</v>
      </c>
      <c r="J26" s="24">
        <f t="shared" si="39"/>
        <v>-9.9999999974897905E-2</v>
      </c>
      <c r="K26" s="25">
        <f t="shared" si="40"/>
        <v>-2.2000000000161899</v>
      </c>
      <c r="L26" s="26">
        <f t="shared" si="41"/>
        <v>-4.9999999987449001E-2</v>
      </c>
      <c r="M26" s="6">
        <v>7.6783000000000001</v>
      </c>
      <c r="N26" s="35">
        <f t="shared" si="42"/>
        <v>797.63639999999998</v>
      </c>
      <c r="O26" s="24">
        <f t="shared" si="43"/>
        <v>0.10000000008858501</v>
      </c>
      <c r="P26" s="25">
        <f t="shared" si="44"/>
        <v>-4.099999999994</v>
      </c>
      <c r="Q26" s="26">
        <f t="shared" si="45"/>
        <v>5.0000000044292399E-2</v>
      </c>
      <c r="R26" s="41"/>
      <c r="S26" s="21">
        <f t="shared" si="23"/>
        <v>44534</v>
      </c>
      <c r="T26" s="42">
        <v>4.7662000000000004</v>
      </c>
      <c r="U26" s="43">
        <f t="shared" si="24"/>
        <v>-0.499999999999723</v>
      </c>
      <c r="V26" s="44">
        <f t="shared" si="25"/>
        <v>-3.1999999999996498</v>
      </c>
      <c r="W26" s="45">
        <f t="shared" si="26"/>
        <v>0.249999999999861</v>
      </c>
      <c r="X26" s="29">
        <v>17.070900000000002</v>
      </c>
      <c r="Y26" s="43">
        <f t="shared" si="27"/>
        <v>-0.19999999999953399</v>
      </c>
      <c r="Z26" s="44">
        <f t="shared" si="28"/>
        <v>-3.4999999999989502</v>
      </c>
      <c r="AA26" s="45">
        <f t="shared" si="29"/>
        <v>-9.99999999997669E-2</v>
      </c>
      <c r="AB26" s="49">
        <v>14.407999999999999</v>
      </c>
      <c r="AC26" s="43">
        <f t="shared" si="30"/>
        <v>9.99999999997669E-2</v>
      </c>
      <c r="AD26" s="44">
        <f t="shared" si="31"/>
        <v>-2.10000000000043</v>
      </c>
      <c r="AE26" s="45">
        <f t="shared" si="32"/>
        <v>4.9999999999883499E-2</v>
      </c>
      <c r="AF26" s="50">
        <v>79232</v>
      </c>
      <c r="AG26" s="58">
        <f t="shared" si="33"/>
        <v>58</v>
      </c>
      <c r="AH26" s="61"/>
      <c r="AI26" s="60"/>
      <c r="AJ26" s="61"/>
      <c r="AK26" s="62"/>
      <c r="AL26" s="60"/>
      <c r="AM26" s="64"/>
    </row>
    <row r="27" spans="1:39">
      <c r="A27" s="21">
        <v>44536</v>
      </c>
      <c r="B27" s="22">
        <v>789.95809999999994</v>
      </c>
      <c r="C27" s="27">
        <v>6.7961999999999998</v>
      </c>
      <c r="D27" s="23">
        <f t="shared" si="34"/>
        <v>796.75429999999994</v>
      </c>
      <c r="E27" s="24">
        <f t="shared" si="35"/>
        <v>-9.9999999974897905E-2</v>
      </c>
      <c r="F27" s="25">
        <f t="shared" si="36"/>
        <v>-2.2999999999910901</v>
      </c>
      <c r="G27" s="26">
        <f t="shared" si="37"/>
        <v>-4.9999999987449001E-2</v>
      </c>
      <c r="H27" s="6">
        <v>8.1746999999999996</v>
      </c>
      <c r="I27" s="35">
        <f t="shared" si="38"/>
        <v>798.13279999999997</v>
      </c>
      <c r="J27" s="24">
        <f t="shared" si="39"/>
        <v>-9.9999999974897905E-2</v>
      </c>
      <c r="K27" s="25">
        <f t="shared" si="40"/>
        <v>-2.2999999999910901</v>
      </c>
      <c r="L27" s="26">
        <f t="shared" si="41"/>
        <v>-4.9999999987449001E-2</v>
      </c>
      <c r="M27" s="6">
        <v>7.6778000000000004</v>
      </c>
      <c r="N27" s="35">
        <f t="shared" si="42"/>
        <v>797.63589999999999</v>
      </c>
      <c r="O27" s="24">
        <f t="shared" si="43"/>
        <v>-0.49999999998817701</v>
      </c>
      <c r="P27" s="25">
        <f t="shared" si="44"/>
        <v>-4.5999999999821704</v>
      </c>
      <c r="Q27" s="26">
        <f t="shared" si="45"/>
        <v>-0.24999999999408801</v>
      </c>
      <c r="R27" s="41"/>
      <c r="S27" s="21">
        <f t="shared" si="23"/>
        <v>44536</v>
      </c>
      <c r="T27" s="42">
        <v>4.7664999999999997</v>
      </c>
      <c r="U27" s="43">
        <f t="shared" si="24"/>
        <v>0.29999999999930099</v>
      </c>
      <c r="V27" s="44">
        <f t="shared" si="25"/>
        <v>-2.9000000000003499</v>
      </c>
      <c r="W27" s="45">
        <f t="shared" si="26"/>
        <v>-0.14999999999965</v>
      </c>
      <c r="X27" s="29">
        <v>17.0702</v>
      </c>
      <c r="Y27" s="43">
        <f t="shared" si="27"/>
        <v>-0.70000000000192097</v>
      </c>
      <c r="Z27" s="44">
        <f t="shared" si="28"/>
        <v>-4.2000000000008697</v>
      </c>
      <c r="AA27" s="45">
        <f t="shared" si="29"/>
        <v>-0.35000000000096099</v>
      </c>
      <c r="AB27" s="49">
        <v>14.407500000000001</v>
      </c>
      <c r="AC27" s="43">
        <f t="shared" si="30"/>
        <v>-0.49999999999883499</v>
      </c>
      <c r="AD27" s="44">
        <f t="shared" si="31"/>
        <v>-2.59999999999927</v>
      </c>
      <c r="AE27" s="45">
        <f t="shared" si="32"/>
        <v>-0.24999999999941699</v>
      </c>
      <c r="AF27" s="50">
        <v>79235</v>
      </c>
      <c r="AG27" s="58">
        <f t="shared" si="33"/>
        <v>61</v>
      </c>
      <c r="AH27" s="61"/>
      <c r="AI27" s="60"/>
      <c r="AJ27" s="61"/>
      <c r="AK27" s="62"/>
      <c r="AL27" s="60"/>
      <c r="AM27" s="64"/>
    </row>
    <row r="28" spans="1:39">
      <c r="A28" s="21">
        <v>44538</v>
      </c>
      <c r="B28" s="22">
        <v>789.95809999999994</v>
      </c>
      <c r="C28" s="27">
        <v>6.7965</v>
      </c>
      <c r="D28" s="23">
        <f t="shared" si="34"/>
        <v>796.75459999999998</v>
      </c>
      <c r="E28" s="24">
        <f t="shared" si="35"/>
        <v>0.30000000003838101</v>
      </c>
      <c r="F28" s="25">
        <f t="shared" si="36"/>
        <v>-1.9999999999527101</v>
      </c>
      <c r="G28" s="26">
        <f t="shared" si="37"/>
        <v>0.15000000001919001</v>
      </c>
      <c r="H28" s="6">
        <v>8.1743000000000006</v>
      </c>
      <c r="I28" s="35">
        <f t="shared" si="38"/>
        <v>798.13239999999996</v>
      </c>
      <c r="J28" s="24">
        <f t="shared" si="39"/>
        <v>-0.40000000001327901</v>
      </c>
      <c r="K28" s="25">
        <f t="shared" si="40"/>
        <v>-2.70000000000437</v>
      </c>
      <c r="L28" s="26">
        <f t="shared" si="41"/>
        <v>-0.20000000000663901</v>
      </c>
      <c r="M28" s="6">
        <v>7.6776</v>
      </c>
      <c r="N28" s="35">
        <f t="shared" si="42"/>
        <v>797.63570000000004</v>
      </c>
      <c r="O28" s="24">
        <f t="shared" si="43"/>
        <v>-0.20000000006348301</v>
      </c>
      <c r="P28" s="25">
        <f t="shared" si="44"/>
        <v>-4.8000000000456602</v>
      </c>
      <c r="Q28" s="26">
        <f t="shared" si="45"/>
        <v>-0.100000000031741</v>
      </c>
      <c r="R28" s="41"/>
      <c r="S28" s="21">
        <f t="shared" si="23"/>
        <v>44538</v>
      </c>
      <c r="T28" s="42">
        <v>4.7664</v>
      </c>
      <c r="U28" s="43">
        <f t="shared" si="24"/>
        <v>-9.99999999997669E-2</v>
      </c>
      <c r="V28" s="44">
        <f t="shared" si="25"/>
        <v>-3.0000000000001101</v>
      </c>
      <c r="W28" s="45">
        <f t="shared" si="26"/>
        <v>4.9999999999883499E-2</v>
      </c>
      <c r="X28" s="29">
        <v>17.070499999999999</v>
      </c>
      <c r="Y28" s="43">
        <f t="shared" si="27"/>
        <v>0.29999999999930099</v>
      </c>
      <c r="Z28" s="44">
        <f t="shared" si="28"/>
        <v>-3.9000000000015702</v>
      </c>
      <c r="AA28" s="45">
        <f t="shared" si="29"/>
        <v>0.14999999999965</v>
      </c>
      <c r="AB28" s="49">
        <v>14.4076</v>
      </c>
      <c r="AC28" s="43">
        <f t="shared" si="30"/>
        <v>9.99999999997669E-2</v>
      </c>
      <c r="AD28" s="44">
        <f t="shared" si="31"/>
        <v>-2.4999999999995</v>
      </c>
      <c r="AE28" s="45">
        <f t="shared" si="32"/>
        <v>4.9999999999883499E-2</v>
      </c>
      <c r="AF28" s="50">
        <v>79238</v>
      </c>
      <c r="AG28" s="58">
        <f t="shared" si="33"/>
        <v>64</v>
      </c>
      <c r="AH28" s="61"/>
      <c r="AI28" s="60"/>
      <c r="AJ28" s="61"/>
      <c r="AK28" s="62"/>
      <c r="AL28" s="60"/>
      <c r="AM28" s="64"/>
    </row>
    <row r="29" spans="1:39">
      <c r="A29" s="21">
        <v>44545</v>
      </c>
      <c r="B29" s="22">
        <v>789.95809999999994</v>
      </c>
      <c r="C29" s="27">
        <v>6.7965999999999998</v>
      </c>
      <c r="D29" s="23">
        <f t="shared" si="34"/>
        <v>796.75469999999996</v>
      </c>
      <c r="E29" s="24">
        <f t="shared" si="35"/>
        <v>9.9999999974897905E-2</v>
      </c>
      <c r="F29" s="25">
        <f t="shared" si="36"/>
        <v>-1.8999999999778101</v>
      </c>
      <c r="G29" s="26">
        <f t="shared" si="37"/>
        <v>1.42857142821283E-2</v>
      </c>
      <c r="H29" s="6">
        <v>8.1745000000000001</v>
      </c>
      <c r="I29" s="35">
        <f t="shared" si="38"/>
        <v>798.13260000000002</v>
      </c>
      <c r="J29" s="24">
        <f t="shared" si="39"/>
        <v>0.199999999949796</v>
      </c>
      <c r="K29" s="25">
        <f t="shared" si="40"/>
        <v>-2.5000000000545701</v>
      </c>
      <c r="L29" s="26">
        <f t="shared" si="41"/>
        <v>2.8571428564256599E-2</v>
      </c>
      <c r="M29" s="6">
        <v>7.6779999999999999</v>
      </c>
      <c r="N29" s="35">
        <f t="shared" si="42"/>
        <v>797.63610000000006</v>
      </c>
      <c r="O29" s="24">
        <f t="shared" si="43"/>
        <v>0.40000000001327901</v>
      </c>
      <c r="P29" s="25">
        <f t="shared" si="44"/>
        <v>-4.4000000000323798</v>
      </c>
      <c r="Q29" s="26">
        <f t="shared" si="45"/>
        <v>5.7142857144754103E-2</v>
      </c>
      <c r="R29" s="41"/>
      <c r="S29" s="21">
        <f t="shared" si="23"/>
        <v>44545</v>
      </c>
      <c r="T29" s="42">
        <v>4.7666000000000004</v>
      </c>
      <c r="U29" s="43">
        <f t="shared" si="24"/>
        <v>0.20000000000042201</v>
      </c>
      <c r="V29" s="44">
        <f t="shared" si="25"/>
        <v>-2.7999999999996898</v>
      </c>
      <c r="W29" s="45">
        <f t="shared" si="26"/>
        <v>-2.8571428571488901E-2</v>
      </c>
      <c r="X29" s="29">
        <v>17.0703</v>
      </c>
      <c r="Y29" s="43">
        <f t="shared" si="27"/>
        <v>-0.19999999999953399</v>
      </c>
      <c r="Z29" s="44">
        <f t="shared" si="28"/>
        <v>-4.1000000000011001</v>
      </c>
      <c r="AA29" s="45">
        <f t="shared" si="29"/>
        <v>-2.8571428571361999E-2</v>
      </c>
      <c r="AB29" s="49">
        <v>14.407500000000001</v>
      </c>
      <c r="AC29" s="43">
        <f t="shared" si="30"/>
        <v>-9.99999999997669E-2</v>
      </c>
      <c r="AD29" s="44">
        <f t="shared" si="31"/>
        <v>-2.59999999999927</v>
      </c>
      <c r="AE29" s="45">
        <f t="shared" si="32"/>
        <v>-1.4285714285680999E-2</v>
      </c>
      <c r="AF29" s="50">
        <v>79241</v>
      </c>
      <c r="AG29" s="58">
        <f t="shared" si="33"/>
        <v>67</v>
      </c>
      <c r="AH29" s="61"/>
      <c r="AI29" s="60"/>
      <c r="AJ29" s="61"/>
      <c r="AK29" s="62"/>
      <c r="AL29" s="60"/>
      <c r="AM29" s="64"/>
    </row>
    <row r="30" spans="1:39">
      <c r="A30" s="21">
        <v>44552</v>
      </c>
      <c r="B30" s="22">
        <v>789.95809999999994</v>
      </c>
      <c r="C30" s="27">
        <v>6.7967000000000004</v>
      </c>
      <c r="D30" s="23">
        <f t="shared" si="34"/>
        <v>796.75480000000005</v>
      </c>
      <c r="E30" s="24">
        <f t="shared" si="35"/>
        <v>9.9999999974897905E-2</v>
      </c>
      <c r="F30" s="25">
        <f t="shared" si="36"/>
        <v>-1.8000000000029099</v>
      </c>
      <c r="G30" s="26">
        <f t="shared" si="37"/>
        <v>1.42857142821283E-2</v>
      </c>
      <c r="H30" s="6">
        <v>8.1746999999999996</v>
      </c>
      <c r="I30" s="35">
        <f t="shared" si="38"/>
        <v>798.13279999999997</v>
      </c>
      <c r="J30" s="24">
        <f t="shared" si="39"/>
        <v>0.20000000006348301</v>
      </c>
      <c r="K30" s="25">
        <f t="shared" si="40"/>
        <v>-2.2999999999910901</v>
      </c>
      <c r="L30" s="26">
        <f t="shared" si="41"/>
        <v>2.85714285804975E-2</v>
      </c>
      <c r="M30" s="6">
        <v>7.6783999999999999</v>
      </c>
      <c r="N30" s="35">
        <f t="shared" si="42"/>
        <v>797.63649999999996</v>
      </c>
      <c r="O30" s="24">
        <f t="shared" si="43"/>
        <v>0.40000000001327901</v>
      </c>
      <c r="P30" s="25">
        <f t="shared" si="44"/>
        <v>-4.0000000000191003</v>
      </c>
      <c r="Q30" s="26">
        <f t="shared" si="45"/>
        <v>5.7142857144754103E-2</v>
      </c>
      <c r="R30" s="41"/>
      <c r="S30" s="21">
        <f t="shared" si="23"/>
        <v>44552</v>
      </c>
      <c r="T30" s="42">
        <v>4.7667000000000002</v>
      </c>
      <c r="U30" s="43">
        <f t="shared" si="24"/>
        <v>9.99999999997669E-2</v>
      </c>
      <c r="V30" s="44">
        <f t="shared" si="25"/>
        <v>-2.6999999999999198</v>
      </c>
      <c r="W30" s="45">
        <f t="shared" si="26"/>
        <v>-1.4285714285680999E-2</v>
      </c>
      <c r="X30" s="29">
        <v>17.07</v>
      </c>
      <c r="Y30" s="43">
        <f t="shared" si="27"/>
        <v>-0.29999999999930099</v>
      </c>
      <c r="Z30" s="44">
        <f t="shared" si="28"/>
        <v>-4.4000000000004</v>
      </c>
      <c r="AA30" s="45">
        <f t="shared" si="29"/>
        <v>-4.2857142857043E-2</v>
      </c>
      <c r="AB30" s="49">
        <v>14.4076</v>
      </c>
      <c r="AC30" s="43">
        <f t="shared" si="30"/>
        <v>9.99999999997669E-2</v>
      </c>
      <c r="AD30" s="44">
        <f t="shared" si="31"/>
        <v>-2.4999999999995</v>
      </c>
      <c r="AE30" s="45">
        <f t="shared" si="32"/>
        <v>1.4285714285680999E-2</v>
      </c>
      <c r="AF30" s="50">
        <v>79255</v>
      </c>
      <c r="AG30" s="58">
        <f t="shared" si="33"/>
        <v>81</v>
      </c>
      <c r="AH30" s="61"/>
      <c r="AI30" s="60"/>
      <c r="AJ30" s="61"/>
      <c r="AK30" s="62"/>
      <c r="AL30" s="60"/>
      <c r="AM30" s="64"/>
    </row>
    <row r="31" spans="1:39">
      <c r="A31" s="21">
        <v>44559</v>
      </c>
      <c r="B31" s="22">
        <v>789.95809999999994</v>
      </c>
      <c r="C31" s="27">
        <v>6.7968000000000002</v>
      </c>
      <c r="D31" s="23">
        <f t="shared" si="34"/>
        <v>796.75490000000002</v>
      </c>
      <c r="E31" s="24">
        <f t="shared" si="35"/>
        <v>9.9999999974897905E-2</v>
      </c>
      <c r="F31" s="25">
        <f t="shared" si="36"/>
        <v>-1.70000000002801</v>
      </c>
      <c r="G31" s="26">
        <f t="shared" si="37"/>
        <v>1.42857142821283E-2</v>
      </c>
      <c r="H31" s="6">
        <v>8.1748999999999992</v>
      </c>
      <c r="I31" s="35">
        <f t="shared" si="38"/>
        <v>798.13300000000004</v>
      </c>
      <c r="J31" s="24">
        <f t="shared" si="39"/>
        <v>0.199999999949796</v>
      </c>
      <c r="K31" s="25">
        <f t="shared" si="40"/>
        <v>-2.1000000000412902</v>
      </c>
      <c r="L31" s="26">
        <f t="shared" si="41"/>
        <v>2.8571428564256599E-2</v>
      </c>
      <c r="M31" s="6">
        <v>7.6787999999999998</v>
      </c>
      <c r="N31" s="35">
        <f t="shared" si="42"/>
        <v>797.63689999999997</v>
      </c>
      <c r="O31" s="24">
        <f t="shared" si="43"/>
        <v>0.40000000001327901</v>
      </c>
      <c r="P31" s="25">
        <f t="shared" si="44"/>
        <v>-3.6000000000058199</v>
      </c>
      <c r="Q31" s="26">
        <f t="shared" si="45"/>
        <v>5.7142857144754103E-2</v>
      </c>
      <c r="R31" s="41"/>
      <c r="S31" s="21">
        <f t="shared" si="23"/>
        <v>44559</v>
      </c>
      <c r="T31" s="42">
        <v>4.7670000000000003</v>
      </c>
      <c r="U31" s="43">
        <f t="shared" si="24"/>
        <v>0.300000000000189</v>
      </c>
      <c r="V31" s="44">
        <f t="shared" si="25"/>
        <v>-2.3999999999997401</v>
      </c>
      <c r="W31" s="45">
        <f t="shared" si="26"/>
        <v>-4.2857142857169898E-2</v>
      </c>
      <c r="X31" s="29">
        <v>17.069900000000001</v>
      </c>
      <c r="Y31" s="43">
        <f t="shared" si="27"/>
        <v>-9.99999999997669E-2</v>
      </c>
      <c r="Z31" s="44">
        <f t="shared" si="28"/>
        <v>-4.5000000000001696</v>
      </c>
      <c r="AA31" s="45">
        <f t="shared" si="29"/>
        <v>-1.4285714285680999E-2</v>
      </c>
      <c r="AB31" s="49">
        <v>14.407299999999999</v>
      </c>
      <c r="AC31" s="43">
        <f t="shared" si="30"/>
        <v>-0.30000000000107702</v>
      </c>
      <c r="AD31" s="44">
        <f t="shared" si="31"/>
        <v>-2.8000000000005798</v>
      </c>
      <c r="AE31" s="45">
        <f t="shared" si="32"/>
        <v>-4.28571428572967E-2</v>
      </c>
      <c r="AF31" s="50">
        <v>79291</v>
      </c>
      <c r="AG31" s="58">
        <f t="shared" si="33"/>
        <v>117</v>
      </c>
      <c r="AH31" s="61"/>
      <c r="AI31" s="60"/>
      <c r="AJ31"/>
      <c r="AK31"/>
      <c r="AL31"/>
      <c r="AM31"/>
    </row>
    <row r="32" spans="1:39">
      <c r="A32" s="21">
        <v>44576</v>
      </c>
      <c r="B32" s="22">
        <v>789.95809999999994</v>
      </c>
      <c r="C32" s="27">
        <v>6.7968999999999999</v>
      </c>
      <c r="D32" s="23">
        <f t="shared" si="34"/>
        <v>796.755</v>
      </c>
      <c r="E32" s="24">
        <f t="shared" si="35"/>
        <v>0.10000000008858501</v>
      </c>
      <c r="F32" s="25">
        <f t="shared" si="36"/>
        <v>-1.5999999999394301</v>
      </c>
      <c r="G32" s="26">
        <f t="shared" si="37"/>
        <v>5.8823529463873396E-3</v>
      </c>
      <c r="H32" s="6">
        <v>8.1751000000000005</v>
      </c>
      <c r="I32" s="35">
        <f t="shared" si="38"/>
        <v>798.13319999999999</v>
      </c>
      <c r="J32" s="24">
        <f t="shared" si="39"/>
        <v>0.20000000006348301</v>
      </c>
      <c r="K32" s="25">
        <f t="shared" si="40"/>
        <v>-1.8999999999778101</v>
      </c>
      <c r="L32" s="26">
        <f t="shared" si="41"/>
        <v>1.17647058860872E-2</v>
      </c>
      <c r="M32" s="6">
        <v>7.6784999999999997</v>
      </c>
      <c r="N32" s="35">
        <f t="shared" si="42"/>
        <v>797.63660000000004</v>
      </c>
      <c r="O32" s="24">
        <f t="shared" si="43"/>
        <v>-0.30000000003838101</v>
      </c>
      <c r="P32" s="25">
        <f t="shared" si="44"/>
        <v>-3.9000000000442001</v>
      </c>
      <c r="Q32" s="26">
        <f t="shared" si="45"/>
        <v>-1.7647058825787099E-2</v>
      </c>
      <c r="R32" s="41"/>
      <c r="S32" s="21">
        <v>44576</v>
      </c>
      <c r="T32" s="42">
        <v>4.7672999999999996</v>
      </c>
      <c r="U32" s="43">
        <f t="shared" si="24"/>
        <v>0.29999999999930099</v>
      </c>
      <c r="V32" s="44">
        <f t="shared" si="25"/>
        <v>-2.10000000000043</v>
      </c>
      <c r="W32" s="45">
        <f t="shared" si="26"/>
        <v>-1.7647058823488299E-2</v>
      </c>
      <c r="X32" s="29">
        <v>17.069800000000001</v>
      </c>
      <c r="Y32" s="43">
        <f t="shared" si="27"/>
        <v>-9.99999999997669E-2</v>
      </c>
      <c r="Z32" s="44">
        <f t="shared" si="28"/>
        <v>-4.5999999999999401</v>
      </c>
      <c r="AA32" s="45">
        <f t="shared" si="29"/>
        <v>-5.8823529411627601E-3</v>
      </c>
      <c r="AB32" s="49">
        <v>14.407</v>
      </c>
      <c r="AC32" s="43">
        <f t="shared" si="30"/>
        <v>-0.29999999999930099</v>
      </c>
      <c r="AD32" s="44">
        <f t="shared" si="31"/>
        <v>-3.0999999999998802</v>
      </c>
      <c r="AE32" s="45">
        <f t="shared" si="32"/>
        <v>-1.7647058823488299E-2</v>
      </c>
      <c r="AF32" s="50">
        <v>79327</v>
      </c>
      <c r="AG32" s="58">
        <f t="shared" si="33"/>
        <v>153</v>
      </c>
      <c r="AH32" s="61"/>
      <c r="AI32" s="60"/>
      <c r="AJ32"/>
      <c r="AK32"/>
      <c r="AL32"/>
      <c r="AM32"/>
    </row>
    <row r="33" spans="1:39">
      <c r="A33" s="21">
        <v>44602</v>
      </c>
      <c r="B33" s="22">
        <v>789.95809999999994</v>
      </c>
      <c r="C33" s="27">
        <v>6.7965</v>
      </c>
      <c r="D33" s="23">
        <f t="shared" si="34"/>
        <v>796.75459999999998</v>
      </c>
      <c r="E33" s="24">
        <f t="shared" si="35"/>
        <v>-0.40000000001327901</v>
      </c>
      <c r="F33" s="25">
        <f t="shared" si="36"/>
        <v>-1.9999999999527101</v>
      </c>
      <c r="G33" s="26">
        <f t="shared" si="37"/>
        <v>-1.53846153851261E-2</v>
      </c>
      <c r="H33" s="6">
        <v>8.1747999999999994</v>
      </c>
      <c r="I33" s="35">
        <f t="shared" si="38"/>
        <v>798.13289999999995</v>
      </c>
      <c r="J33" s="24">
        <f t="shared" si="39"/>
        <v>-0.30000000003838101</v>
      </c>
      <c r="K33" s="25">
        <f t="shared" si="40"/>
        <v>-2.2000000000161899</v>
      </c>
      <c r="L33" s="26">
        <f t="shared" si="41"/>
        <v>-1.15384615399377E-2</v>
      </c>
      <c r="M33" s="6">
        <v>7.6783999999999999</v>
      </c>
      <c r="N33" s="35">
        <f t="shared" si="42"/>
        <v>797.63649999999996</v>
      </c>
      <c r="O33" s="24">
        <f t="shared" si="43"/>
        <v>-9.9999999974897905E-2</v>
      </c>
      <c r="P33" s="25">
        <f t="shared" si="44"/>
        <v>-4.0000000000191003</v>
      </c>
      <c r="Q33" s="26">
        <f t="shared" si="45"/>
        <v>-3.8461538451883799E-3</v>
      </c>
      <c r="R33" s="41"/>
      <c r="S33" s="21">
        <f>A33</f>
        <v>44602</v>
      </c>
      <c r="T33" s="42">
        <v>4.7671000000000001</v>
      </c>
      <c r="U33" s="43">
        <f t="shared" si="24"/>
        <v>-0.19999999999953399</v>
      </c>
      <c r="V33" s="44">
        <f t="shared" si="25"/>
        <v>-2.2999999999999701</v>
      </c>
      <c r="W33" s="45">
        <f t="shared" si="26"/>
        <v>7.69230769228976E-3</v>
      </c>
      <c r="X33" s="29">
        <v>17.069600000000001</v>
      </c>
      <c r="Y33" s="43">
        <f t="shared" si="27"/>
        <v>-0.19999999999953399</v>
      </c>
      <c r="Z33" s="44">
        <f t="shared" si="28"/>
        <v>-4.7999999999994696</v>
      </c>
      <c r="AA33" s="45">
        <f t="shared" si="29"/>
        <v>-7.69230769228976E-3</v>
      </c>
      <c r="AB33" s="49">
        <v>14.4069</v>
      </c>
      <c r="AC33" s="43">
        <f t="shared" si="30"/>
        <v>-9.99999999997669E-2</v>
      </c>
      <c r="AD33" s="44">
        <f t="shared" si="31"/>
        <v>-3.1999999999996498</v>
      </c>
      <c r="AE33" s="45">
        <f t="shared" si="32"/>
        <v>-3.84615384614488E-3</v>
      </c>
      <c r="AF33" s="50">
        <v>79363</v>
      </c>
      <c r="AG33" s="58">
        <f t="shared" si="33"/>
        <v>189</v>
      </c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21"/>
      <c r="B35" s="22"/>
      <c r="C35" s="27"/>
      <c r="D35" s="23"/>
      <c r="E35" s="65">
        <f>F33-F32</f>
        <v>-0.40000000001327901</v>
      </c>
      <c r="F35" s="33">
        <f>K33-K32</f>
        <v>-0.30000000003838101</v>
      </c>
      <c r="G35" s="33">
        <f>P33-P32</f>
        <v>-9.9999999974897905E-2</v>
      </c>
      <c r="H35" s="68">
        <f>F33</f>
        <v>-1.9999999999527101</v>
      </c>
      <c r="I35" s="69">
        <f>K33</f>
        <v>-2.2000000000161899</v>
      </c>
      <c r="J35" s="65">
        <f>P33</f>
        <v>-4.0000000000191003</v>
      </c>
      <c r="K35" s="33">
        <f>(K33-K32)/30</f>
        <v>-1.00000000012794E-2</v>
      </c>
      <c r="L35" s="26"/>
      <c r="N35" s="35"/>
      <c r="O35" s="24"/>
      <c r="P35" s="25"/>
      <c r="Q35" s="26"/>
      <c r="R35" s="41"/>
      <c r="S35" s="21"/>
      <c r="T35" s="42"/>
      <c r="U35" s="65">
        <f>V33-V32</f>
        <v>-0.19999999999953399</v>
      </c>
      <c r="V35" s="33">
        <f>Z33-Z32</f>
        <v>-0.19999999999953399</v>
      </c>
      <c r="W35" s="33">
        <f>AD33-AD32</f>
        <v>-9.99999999997669E-2</v>
      </c>
      <c r="X35" s="33">
        <f>V33</f>
        <v>-2.2999999999999701</v>
      </c>
      <c r="Y35" s="65">
        <f>Z33</f>
        <v>-4.7999999999994696</v>
      </c>
      <c r="Z35" s="33">
        <f>AD33</f>
        <v>-3.1999999999996498</v>
      </c>
      <c r="AA35" s="33">
        <f>(Z33-Z32)/30</f>
        <v>-6.66666666665113E-3</v>
      </c>
      <c r="AB35" s="49"/>
      <c r="AC35" s="43"/>
      <c r="AD35" s="44"/>
      <c r="AE35" s="45"/>
      <c r="AF35" s="50"/>
      <c r="AG35" s="58"/>
      <c r="AH35" s="61"/>
      <c r="AI35" s="60"/>
      <c r="AJ35"/>
      <c r="AK35"/>
      <c r="AL35"/>
      <c r="AM35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3"/>
  <sheetViews>
    <sheetView topLeftCell="Q29" workbookViewId="0">
      <selection activeCell="U35" sqref="U35:AA3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44515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44515</v>
      </c>
      <c r="B6" s="22">
        <v>789.95809999999994</v>
      </c>
      <c r="C6" s="27">
        <v>7.0526999999999997</v>
      </c>
      <c r="D6" s="23">
        <f t="shared" ref="D6:D11" si="0">C6+B6</f>
        <v>797.01080000000002</v>
      </c>
      <c r="E6" s="24">
        <v>0</v>
      </c>
      <c r="F6" s="25">
        <v>0</v>
      </c>
      <c r="G6" s="26">
        <v>0</v>
      </c>
      <c r="H6" s="6">
        <v>7.9236000000000004</v>
      </c>
      <c r="I6" s="35">
        <f t="shared" ref="I6:I11" si="1">H6+B6</f>
        <v>797.88170000000002</v>
      </c>
      <c r="J6" s="24">
        <v>0</v>
      </c>
      <c r="K6" s="25">
        <v>0</v>
      </c>
      <c r="L6" s="26">
        <v>0</v>
      </c>
      <c r="M6" s="6">
        <v>6.3738000000000001</v>
      </c>
      <c r="N6" s="35">
        <f t="shared" ref="N6:N11" si="2">M6+B6</f>
        <v>796.33190000000002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44515</v>
      </c>
      <c r="T6" s="42">
        <v>10.731199999999999</v>
      </c>
      <c r="U6" s="43">
        <v>0</v>
      </c>
      <c r="V6" s="44">
        <v>0</v>
      </c>
      <c r="W6" s="45">
        <f>U6/(S6-S11)</f>
        <v>0</v>
      </c>
      <c r="X6" s="29">
        <v>17.414400000000001</v>
      </c>
      <c r="Y6" s="43">
        <v>0</v>
      </c>
      <c r="Z6" s="44">
        <v>0</v>
      </c>
      <c r="AA6" s="45">
        <v>0</v>
      </c>
      <c r="AB6" s="49">
        <v>9.5213999999999999</v>
      </c>
      <c r="AC6" s="43">
        <v>0</v>
      </c>
      <c r="AD6" s="44">
        <v>0</v>
      </c>
      <c r="AE6" s="45">
        <v>0</v>
      </c>
      <c r="AF6" s="50">
        <v>79192</v>
      </c>
      <c r="AG6" s="58">
        <f>AF6-79187</f>
        <v>5</v>
      </c>
      <c r="AH6" s="59"/>
      <c r="AI6" s="60"/>
      <c r="AJ6" s="61"/>
      <c r="AK6" s="62"/>
      <c r="AL6" s="52"/>
      <c r="AM6" s="52"/>
    </row>
    <row r="7" spans="1:39">
      <c r="A7" s="21">
        <v>44516</v>
      </c>
      <c r="B7" s="22">
        <v>789.95809999999994</v>
      </c>
      <c r="C7" s="27">
        <v>7.0525000000000002</v>
      </c>
      <c r="D7" s="23">
        <f t="shared" si="0"/>
        <v>797.01059999999995</v>
      </c>
      <c r="E7" s="24">
        <f>(D7-D6)*1000</f>
        <v>-0.199999999949796</v>
      </c>
      <c r="F7" s="25">
        <f>F6+E7</f>
        <v>-0.199999999949796</v>
      </c>
      <c r="G7" s="26">
        <f>E7/(A7-A6)</f>
        <v>-0.199999999949796</v>
      </c>
      <c r="H7" s="6">
        <v>7.9238999999999997</v>
      </c>
      <c r="I7" s="35">
        <f t="shared" si="1"/>
        <v>797.88199999999995</v>
      </c>
      <c r="J7" s="24">
        <f>(I7-I6)*1000</f>
        <v>0.30000000003838101</v>
      </c>
      <c r="K7" s="25">
        <f>K6+J7</f>
        <v>0.30000000003838101</v>
      </c>
      <c r="L7" s="26">
        <f>J7/(A7-A6)</f>
        <v>0.30000000003838101</v>
      </c>
      <c r="M7" s="6">
        <v>6.3731</v>
      </c>
      <c r="N7" s="35">
        <f t="shared" si="2"/>
        <v>796.33119999999997</v>
      </c>
      <c r="O7" s="24">
        <f>(N7-N6)*1000</f>
        <v>-0.69999999993797202</v>
      </c>
      <c r="P7" s="25">
        <f>P6+O7</f>
        <v>-0.69999999993797202</v>
      </c>
      <c r="Q7" s="26">
        <f>O7/(A7-A6)</f>
        <v>-0.69999999993797202</v>
      </c>
      <c r="R7" s="41"/>
      <c r="S7" s="21">
        <f t="shared" si="3"/>
        <v>44516</v>
      </c>
      <c r="T7" s="42">
        <v>10.7315</v>
      </c>
      <c r="U7" s="43">
        <f>(T7-T6)*1000</f>
        <v>0.30000000000107702</v>
      </c>
      <c r="V7" s="44">
        <f>V6+U7</f>
        <v>0.30000000000107702</v>
      </c>
      <c r="W7" s="45">
        <f>U7/(S6-S7)</f>
        <v>-0.30000000000107702</v>
      </c>
      <c r="X7" s="29">
        <v>17.414100000000001</v>
      </c>
      <c r="Y7" s="43">
        <f>(X7-X6)*1000</f>
        <v>-0.29999999999930099</v>
      </c>
      <c r="Z7" s="44">
        <f>Z6+Y7</f>
        <v>-0.29999999999930099</v>
      </c>
      <c r="AA7" s="45">
        <f>Y7/(S7-S6)</f>
        <v>-0.29999999999930099</v>
      </c>
      <c r="AB7" s="49">
        <v>9.5215999999999994</v>
      </c>
      <c r="AC7" s="43">
        <f>(AB7-AB6)*1000</f>
        <v>0.19999999999953399</v>
      </c>
      <c r="AD7" s="44">
        <f>AD6+AC7</f>
        <v>0.19999999999953399</v>
      </c>
      <c r="AE7" s="45">
        <f>AC7/(S7-S6)</f>
        <v>0.19999999999953399</v>
      </c>
      <c r="AF7" s="50">
        <v>79195.600000000006</v>
      </c>
      <c r="AG7" s="58">
        <f t="shared" ref="AG7:AG11" si="4">AF7-79187</f>
        <v>8.6000000000058208</v>
      </c>
      <c r="AH7" s="59"/>
      <c r="AI7" s="60"/>
      <c r="AJ7" s="61"/>
      <c r="AK7" s="62"/>
      <c r="AL7" s="52"/>
      <c r="AM7" s="52"/>
    </row>
    <row r="8" spans="1:39">
      <c r="A8" s="21">
        <v>44517</v>
      </c>
      <c r="B8" s="22">
        <v>789.95809999999994</v>
      </c>
      <c r="C8" s="27">
        <v>7.0522999999999998</v>
      </c>
      <c r="D8" s="23">
        <f t="shared" si="0"/>
        <v>797.0104</v>
      </c>
      <c r="E8" s="24">
        <f>(D8-D7)*1000</f>
        <v>-0.20000000006348301</v>
      </c>
      <c r="F8" s="25">
        <f>F7+E8</f>
        <v>-0.40000000001327901</v>
      </c>
      <c r="G8" s="26">
        <f>E8/(A8-A7)</f>
        <v>-0.20000000006348301</v>
      </c>
      <c r="H8" s="6">
        <v>7.923</v>
      </c>
      <c r="I8" s="35">
        <f t="shared" si="1"/>
        <v>797.88109999999995</v>
      </c>
      <c r="J8" s="24">
        <f>(I8-I7)*1000</f>
        <v>-0.90000000000145497</v>
      </c>
      <c r="K8" s="25">
        <f>K7+J8</f>
        <v>-0.59999999996307496</v>
      </c>
      <c r="L8" s="26">
        <f>J8/(A8-A7)</f>
        <v>-0.90000000000145497</v>
      </c>
      <c r="M8" s="6">
        <v>6.3724999999999996</v>
      </c>
      <c r="N8" s="35">
        <f t="shared" si="2"/>
        <v>796.3306</v>
      </c>
      <c r="O8" s="24">
        <f>(N8-N7)*1000</f>
        <v>-0.60000000007676102</v>
      </c>
      <c r="P8" s="25">
        <f>P7+O8</f>
        <v>-1.30000000001473</v>
      </c>
      <c r="Q8" s="26">
        <f>O8/(A8-A7)</f>
        <v>-0.60000000007676102</v>
      </c>
      <c r="R8" s="41"/>
      <c r="S8" s="21">
        <f t="shared" si="3"/>
        <v>44517</v>
      </c>
      <c r="T8" s="42">
        <v>10.7311</v>
      </c>
      <c r="U8" s="43">
        <f>(T8-T7)*1000</f>
        <v>-0.40000000000084401</v>
      </c>
      <c r="V8" s="44">
        <f>V7+U8</f>
        <v>-9.99999999997669E-2</v>
      </c>
      <c r="W8" s="45">
        <f>U8/(S7-S8)</f>
        <v>0.40000000000084401</v>
      </c>
      <c r="X8" s="29">
        <v>17.4148</v>
      </c>
      <c r="Y8" s="43">
        <f>(X8-X7)*1000</f>
        <v>0.69999999999836904</v>
      </c>
      <c r="Z8" s="44">
        <f>Z7+Y8</f>
        <v>0.39999999999906799</v>
      </c>
      <c r="AA8" s="45">
        <f>Y8/(S8-S7)</f>
        <v>0.69999999999836904</v>
      </c>
      <c r="AB8" s="49">
        <v>9.5214999999999996</v>
      </c>
      <c r="AC8" s="43">
        <f>(AB8-AB7)*1000</f>
        <v>-9.99999999997669E-2</v>
      </c>
      <c r="AD8" s="44">
        <f>AD7+AC8</f>
        <v>9.99999999997669E-2</v>
      </c>
      <c r="AE8" s="45">
        <f>AC8/(S8-S7)</f>
        <v>-9.99999999997669E-2</v>
      </c>
      <c r="AF8" s="50">
        <v>79199.199999999997</v>
      </c>
      <c r="AG8" s="58">
        <f t="shared" si="4"/>
        <v>12.1999999999971</v>
      </c>
      <c r="AH8" s="59"/>
      <c r="AI8" s="60"/>
      <c r="AJ8" s="61"/>
      <c r="AK8" s="62"/>
      <c r="AL8" s="52"/>
      <c r="AM8" s="52"/>
    </row>
    <row r="9" spans="1:39">
      <c r="A9" s="21">
        <v>44518</v>
      </c>
      <c r="B9" s="22">
        <v>789.95809999999994</v>
      </c>
      <c r="C9" s="27">
        <v>7.0523999999999996</v>
      </c>
      <c r="D9" s="23">
        <f t="shared" si="0"/>
        <v>797.01049999999998</v>
      </c>
      <c r="E9" s="24">
        <f>(D9-D8)*1000</f>
        <v>0.10000000008858501</v>
      </c>
      <c r="F9" s="25">
        <f>F8+E9</f>
        <v>-0.29999999992469401</v>
      </c>
      <c r="G9" s="26">
        <f>E9/(A9-A8)</f>
        <v>0.10000000008858501</v>
      </c>
      <c r="H9" s="6">
        <v>7.9225000000000003</v>
      </c>
      <c r="I9" s="35">
        <f t="shared" si="1"/>
        <v>797.88059999999996</v>
      </c>
      <c r="J9" s="24">
        <f>(I9-I8)*1000</f>
        <v>-0.49999999998817701</v>
      </c>
      <c r="K9" s="25">
        <f>K8+J9</f>
        <v>-1.09999999995125</v>
      </c>
      <c r="L9" s="26">
        <f>J9/(A9-A8)</f>
        <v>-0.49999999998817701</v>
      </c>
      <c r="M9" s="6">
        <v>6.3723000000000001</v>
      </c>
      <c r="N9" s="35">
        <f t="shared" si="2"/>
        <v>796.33040000000005</v>
      </c>
      <c r="O9" s="24">
        <f>(N9-N8)*1000</f>
        <v>-0.199999999949796</v>
      </c>
      <c r="P9" s="25">
        <f>P8+O9</f>
        <v>-1.4999999999645299</v>
      </c>
      <c r="Q9" s="26">
        <f>O9/(A9-A8)</f>
        <v>-0.199999999949796</v>
      </c>
      <c r="R9" s="41"/>
      <c r="S9" s="21">
        <f t="shared" si="3"/>
        <v>44518</v>
      </c>
      <c r="T9" s="42">
        <v>10.7309</v>
      </c>
      <c r="U9" s="43">
        <f>(T9-T8)*1000</f>
        <v>-0.19999999999953399</v>
      </c>
      <c r="V9" s="44">
        <f>V8+U9</f>
        <v>-0.29999999999930099</v>
      </c>
      <c r="W9" s="45">
        <f>U9/(S8-S9)</f>
        <v>0.19999999999953399</v>
      </c>
      <c r="X9" s="29">
        <v>17.4146</v>
      </c>
      <c r="Y9" s="43">
        <f>(X9-X8)*1000</f>
        <v>-0.19999999999953399</v>
      </c>
      <c r="Z9" s="44">
        <f>Z8+Y9</f>
        <v>0.19999999999953399</v>
      </c>
      <c r="AA9" s="45">
        <f>Y9/(S9-S8)</f>
        <v>-0.19999999999953399</v>
      </c>
      <c r="AB9" s="49">
        <v>9.5210000000000008</v>
      </c>
      <c r="AC9" s="43">
        <f>(AB9-AB8)*1000</f>
        <v>-0.49999999999883499</v>
      </c>
      <c r="AD9" s="44">
        <f>AD8+AC9</f>
        <v>-0.39999999999906799</v>
      </c>
      <c r="AE9" s="45">
        <f>AC9/(S9-S8)</f>
        <v>-0.49999999999883499</v>
      </c>
      <c r="AF9" s="50">
        <v>79202.8</v>
      </c>
      <c r="AG9" s="58">
        <f t="shared" si="4"/>
        <v>15.8000000000029</v>
      </c>
      <c r="AH9" s="59"/>
      <c r="AI9" s="60"/>
      <c r="AJ9" s="61"/>
      <c r="AK9" s="62"/>
      <c r="AL9" s="52"/>
      <c r="AM9" s="52"/>
    </row>
    <row r="10" spans="1:39">
      <c r="A10" s="21">
        <v>44519</v>
      </c>
      <c r="B10" s="22">
        <v>789.95809999999994</v>
      </c>
      <c r="C10" s="27">
        <v>7.0522</v>
      </c>
      <c r="D10" s="23">
        <f t="shared" si="0"/>
        <v>797.01030000000003</v>
      </c>
      <c r="E10" s="24">
        <f>(D10-D9)*1000</f>
        <v>-0.20000000006348301</v>
      </c>
      <c r="F10" s="25">
        <f>F9+E10</f>
        <v>-0.49999999998817701</v>
      </c>
      <c r="G10" s="26">
        <f>E10/(A10-A9)</f>
        <v>-0.20000000006348301</v>
      </c>
      <c r="H10" s="6">
        <v>7.9222999999999999</v>
      </c>
      <c r="I10" s="35">
        <f t="shared" si="1"/>
        <v>797.88040000000001</v>
      </c>
      <c r="J10" s="24">
        <f>(I10-I9)*1000</f>
        <v>-0.20000000006348301</v>
      </c>
      <c r="K10" s="25">
        <f>K9+J10</f>
        <v>-1.30000000001473</v>
      </c>
      <c r="L10" s="26">
        <f>J10/(A10-A9)</f>
        <v>-0.20000000006348301</v>
      </c>
      <c r="M10" s="6">
        <v>6.3723999999999998</v>
      </c>
      <c r="N10" s="35">
        <f t="shared" si="2"/>
        <v>796.33050000000003</v>
      </c>
      <c r="O10" s="24">
        <f>(N10-N9)*1000</f>
        <v>9.9999999974897905E-2</v>
      </c>
      <c r="P10" s="25">
        <f>P9+O10</f>
        <v>-1.39999999998963</v>
      </c>
      <c r="Q10" s="26">
        <f>O10/(A10-A9)</f>
        <v>9.9999999974897905E-2</v>
      </c>
      <c r="R10" s="41"/>
      <c r="S10" s="21">
        <f t="shared" si="3"/>
        <v>44519</v>
      </c>
      <c r="T10" s="42">
        <v>10.730499999999999</v>
      </c>
      <c r="U10" s="43">
        <f>(T10-T9)*1000</f>
        <v>-0.40000000000084401</v>
      </c>
      <c r="V10" s="44">
        <f>V9+U10</f>
        <v>-0.70000000000014495</v>
      </c>
      <c r="W10" s="45">
        <f>U10/(S9-S10)</f>
        <v>0.40000000000084401</v>
      </c>
      <c r="X10" s="29">
        <v>17.414400000000001</v>
      </c>
      <c r="Y10" s="43">
        <f>(X10-X9)*1000</f>
        <v>-0.19999999999953399</v>
      </c>
      <c r="Z10" s="44">
        <f>Z9+Y10</f>
        <v>0</v>
      </c>
      <c r="AA10" s="45">
        <f>Y10/(S10-S9)</f>
        <v>-0.19999999999953399</v>
      </c>
      <c r="AB10" s="49">
        <v>9.5207999999999995</v>
      </c>
      <c r="AC10" s="43">
        <f>(AB10-AB9)*1000</f>
        <v>-0.20000000000130999</v>
      </c>
      <c r="AD10" s="44">
        <f>AD9+AC10</f>
        <v>-0.60000000000037801</v>
      </c>
      <c r="AE10" s="45">
        <f>AC10/(S10-S9)</f>
        <v>-0.20000000000130999</v>
      </c>
      <c r="AF10" s="50">
        <v>79206.399999999994</v>
      </c>
      <c r="AG10" s="58">
        <f t="shared" si="4"/>
        <v>19.399999999994201</v>
      </c>
      <c r="AH10" s="59"/>
      <c r="AI10" s="60"/>
      <c r="AJ10" s="61"/>
      <c r="AK10" s="62"/>
      <c r="AL10" s="52"/>
      <c r="AM10" s="52"/>
    </row>
    <row r="11" spans="1:39">
      <c r="A11" s="21">
        <v>44520</v>
      </c>
      <c r="B11" s="22">
        <v>789.95809999999994</v>
      </c>
      <c r="C11" s="27">
        <v>7.0518000000000001</v>
      </c>
      <c r="D11" s="23">
        <f t="shared" si="0"/>
        <v>797.00990000000002</v>
      </c>
      <c r="E11" s="24">
        <f>(D11-D10)*1000</f>
        <v>-0.40000000001327901</v>
      </c>
      <c r="F11" s="25">
        <f>F10+E11</f>
        <v>-0.90000000000145497</v>
      </c>
      <c r="G11" s="26">
        <f>E11/(A11-A10)</f>
        <v>-0.40000000001327901</v>
      </c>
      <c r="H11" s="6">
        <v>7.9222000000000001</v>
      </c>
      <c r="I11" s="35">
        <f t="shared" si="1"/>
        <v>797.88030000000003</v>
      </c>
      <c r="J11" s="24">
        <f>(I11-I10)*1000</f>
        <v>-9.9999999974897905E-2</v>
      </c>
      <c r="K11" s="25">
        <f>K10+J11</f>
        <v>-1.39999999998963</v>
      </c>
      <c r="L11" s="26">
        <f>J11/(A11-A10)</f>
        <v>-9.9999999974897905E-2</v>
      </c>
      <c r="M11" s="6">
        <v>6.3719999999999999</v>
      </c>
      <c r="N11" s="35">
        <f t="shared" si="2"/>
        <v>796.33010000000002</v>
      </c>
      <c r="O11" s="24">
        <f>(N11-N10)*1000</f>
        <v>-0.40000000001327901</v>
      </c>
      <c r="P11" s="25">
        <f>P10+O11</f>
        <v>-1.8000000000029099</v>
      </c>
      <c r="Q11" s="26">
        <f>O11/(A11-A10)</f>
        <v>-0.40000000001327901</v>
      </c>
      <c r="R11" s="41"/>
      <c r="S11" s="21">
        <f t="shared" si="3"/>
        <v>44520</v>
      </c>
      <c r="T11" s="42">
        <v>10.730499999999999</v>
      </c>
      <c r="U11" s="43">
        <f>(T11-T10)*1000</f>
        <v>0</v>
      </c>
      <c r="V11" s="44">
        <f>V10+U11</f>
        <v>-0.70000000000014495</v>
      </c>
      <c r="W11" s="45">
        <f>U11/(S10-S11)</f>
        <v>0</v>
      </c>
      <c r="X11" s="29">
        <v>17.4145</v>
      </c>
      <c r="Y11" s="43">
        <f>(X11-X10)*1000</f>
        <v>9.99999999997669E-2</v>
      </c>
      <c r="Z11" s="44">
        <f>Z10+Y11</f>
        <v>9.99999999997669E-2</v>
      </c>
      <c r="AA11" s="45">
        <f>Y11/(S11-S10)</f>
        <v>9.99999999997669E-2</v>
      </c>
      <c r="AB11" s="49">
        <v>9.5207999999999995</v>
      </c>
      <c r="AC11" s="43">
        <f>(AB11-AB10)*1000</f>
        <v>0</v>
      </c>
      <c r="AD11" s="44">
        <f>AD10+AC11</f>
        <v>-0.60000000000037801</v>
      </c>
      <c r="AE11" s="45">
        <f>AC11/(S11-S10)</f>
        <v>0</v>
      </c>
      <c r="AF11" s="50">
        <v>79210</v>
      </c>
      <c r="AG11" s="58">
        <f t="shared" si="4"/>
        <v>23</v>
      </c>
      <c r="AH11" s="61"/>
      <c r="AI11" s="60"/>
      <c r="AJ11" s="52"/>
      <c r="AK11" s="52"/>
      <c r="AL11" s="52"/>
      <c r="AM11" s="52"/>
    </row>
    <row r="12" spans="1:39">
      <c r="A12" s="21">
        <v>44521</v>
      </c>
      <c r="B12" s="22">
        <v>789.95809999999994</v>
      </c>
      <c r="C12" s="27">
        <v>7.0514999999999999</v>
      </c>
      <c r="D12" s="23">
        <f t="shared" ref="D12:D20" si="5">C12+B12</f>
        <v>797.00959999999998</v>
      </c>
      <c r="E12" s="24">
        <f t="shared" ref="E12:E20" si="6">(D12-D11)*1000</f>
        <v>-0.29999999992469401</v>
      </c>
      <c r="F12" s="25">
        <f t="shared" ref="F12:F20" si="7">F11+E12</f>
        <v>-1.1999999999261499</v>
      </c>
      <c r="G12" s="26">
        <f t="shared" ref="G12:G20" si="8">E12/(A12-A11)</f>
        <v>-0.29999999992469401</v>
      </c>
      <c r="H12" s="6">
        <v>7.9221000000000004</v>
      </c>
      <c r="I12" s="35">
        <f t="shared" ref="I12:I20" si="9">H12+B12</f>
        <v>797.88019999999995</v>
      </c>
      <c r="J12" s="24">
        <f t="shared" ref="J12:J20" si="10">(I12-I11)*1000</f>
        <v>-9.9999999974897905E-2</v>
      </c>
      <c r="K12" s="25">
        <f t="shared" ref="K12:K20" si="11">K11+J12</f>
        <v>-1.4999999999645299</v>
      </c>
      <c r="L12" s="26">
        <f t="shared" ref="L12:L20" si="12">J12/(A12-A11)</f>
        <v>-9.9999999974897905E-2</v>
      </c>
      <c r="M12" s="6">
        <v>6.3715999999999999</v>
      </c>
      <c r="N12" s="35">
        <f t="shared" ref="N12:N20" si="13">M12+B12</f>
        <v>796.3297</v>
      </c>
      <c r="O12" s="24">
        <f t="shared" ref="O12:O20" si="14">(N12-N11)*1000</f>
        <v>-0.40000000001327901</v>
      </c>
      <c r="P12" s="25">
        <f t="shared" ref="P12:P20" si="15">P11+O12</f>
        <v>-2.2000000000161899</v>
      </c>
      <c r="Q12" s="26">
        <f t="shared" ref="Q12:Q20" si="16">O12/(A12-A11)</f>
        <v>-0.40000000001327901</v>
      </c>
      <c r="R12" s="41"/>
      <c r="S12" s="21">
        <f t="shared" ref="S12:S31" si="17">A12</f>
        <v>44521</v>
      </c>
      <c r="T12" s="42">
        <v>10.730600000000001</v>
      </c>
      <c r="U12" s="43">
        <f t="shared" ref="U12:U33" si="18">(T12-T11)*1000</f>
        <v>0.10000000000154299</v>
      </c>
      <c r="V12" s="44">
        <f t="shared" ref="V12:V33" si="19">V11+U12</f>
        <v>-0.59999999999860198</v>
      </c>
      <c r="W12" s="45">
        <f t="shared" ref="W12:W33" si="20">U12/(S11-S12)</f>
        <v>-0.10000000000154299</v>
      </c>
      <c r="X12" s="29">
        <v>17.414000000000001</v>
      </c>
      <c r="Y12" s="43">
        <f t="shared" ref="Y12:Y33" si="21">(X12-X11)*1000</f>
        <v>-0.49999999999883499</v>
      </c>
      <c r="Z12" s="44">
        <f t="shared" ref="Z12:Z33" si="22">Z11+Y12</f>
        <v>-0.39999999999906799</v>
      </c>
      <c r="AA12" s="45">
        <f t="shared" ref="AA12:AA33" si="23">Y12/(S12-S11)</f>
        <v>-0.49999999999883499</v>
      </c>
      <c r="AB12" s="49">
        <v>9.5204000000000004</v>
      </c>
      <c r="AC12" s="43">
        <f t="shared" ref="AC12:AC33" si="24">(AB12-AB11)*1000</f>
        <v>-0.39999999999906799</v>
      </c>
      <c r="AD12" s="44">
        <f t="shared" ref="AD12:AD33" si="25">AD11+AC12</f>
        <v>-0.999999999999446</v>
      </c>
      <c r="AE12" s="45">
        <f t="shared" ref="AE12:AE33" si="26">AC12/(S12-S11)</f>
        <v>-0.39999999999906799</v>
      </c>
      <c r="AF12" s="50">
        <v>79213.600000000006</v>
      </c>
      <c r="AG12" s="58">
        <f t="shared" ref="AG12:AG33" si="27">AF12-79187</f>
        <v>26.600000000005799</v>
      </c>
      <c r="AH12" s="61"/>
      <c r="AI12" s="60"/>
      <c r="AJ12" s="52"/>
      <c r="AK12" s="52"/>
      <c r="AL12" s="52"/>
      <c r="AM12" s="52"/>
    </row>
    <row r="13" spans="1:39">
      <c r="A13" s="21">
        <v>44522</v>
      </c>
      <c r="B13" s="22">
        <v>789.95809999999994</v>
      </c>
      <c r="C13" s="27">
        <v>7.0513000000000003</v>
      </c>
      <c r="D13" s="23">
        <f t="shared" si="5"/>
        <v>797.00940000000003</v>
      </c>
      <c r="E13" s="24">
        <f t="shared" si="6"/>
        <v>-0.20000000006348301</v>
      </c>
      <c r="F13" s="25">
        <f t="shared" si="7"/>
        <v>-1.39999999998963</v>
      </c>
      <c r="G13" s="26">
        <f t="shared" si="8"/>
        <v>-0.20000000006348301</v>
      </c>
      <c r="H13" s="6">
        <v>7.9225000000000003</v>
      </c>
      <c r="I13" s="35">
        <f t="shared" si="9"/>
        <v>797.88059999999996</v>
      </c>
      <c r="J13" s="24">
        <f t="shared" si="10"/>
        <v>0.40000000001327901</v>
      </c>
      <c r="K13" s="25">
        <f t="shared" si="11"/>
        <v>-1.09999999995125</v>
      </c>
      <c r="L13" s="26">
        <f t="shared" si="12"/>
        <v>0.40000000001327901</v>
      </c>
      <c r="M13" s="6">
        <v>6.3715000000000002</v>
      </c>
      <c r="N13" s="35">
        <f t="shared" si="13"/>
        <v>796.32960000000003</v>
      </c>
      <c r="O13" s="24">
        <f t="shared" si="14"/>
        <v>-9.9999999974897905E-2</v>
      </c>
      <c r="P13" s="25">
        <f t="shared" si="15"/>
        <v>-2.2999999999910901</v>
      </c>
      <c r="Q13" s="26">
        <f t="shared" si="16"/>
        <v>-9.9999999974897905E-2</v>
      </c>
      <c r="R13" s="41"/>
      <c r="S13" s="21">
        <f t="shared" si="17"/>
        <v>44522</v>
      </c>
      <c r="T13" s="42">
        <v>10.7301</v>
      </c>
      <c r="U13" s="43">
        <f t="shared" si="18"/>
        <v>-0.50000000000061096</v>
      </c>
      <c r="V13" s="44">
        <f t="shared" si="19"/>
        <v>-1.0999999999992101</v>
      </c>
      <c r="W13" s="45">
        <f t="shared" si="20"/>
        <v>0.50000000000061096</v>
      </c>
      <c r="X13" s="29">
        <v>17.413799999999998</v>
      </c>
      <c r="Y13" s="43">
        <f t="shared" si="21"/>
        <v>-0.20000000000308699</v>
      </c>
      <c r="Z13" s="44">
        <f t="shared" si="22"/>
        <v>-0.60000000000215403</v>
      </c>
      <c r="AA13" s="45">
        <f t="shared" si="23"/>
        <v>-0.20000000000308699</v>
      </c>
      <c r="AB13" s="49">
        <v>9.5202000000000009</v>
      </c>
      <c r="AC13" s="43">
        <f t="shared" si="24"/>
        <v>-0.19999999999953399</v>
      </c>
      <c r="AD13" s="44">
        <f t="shared" si="25"/>
        <v>-1.1999999999989801</v>
      </c>
      <c r="AE13" s="45">
        <f t="shared" si="26"/>
        <v>-0.19999999999953399</v>
      </c>
      <c r="AF13" s="50">
        <v>79217.2</v>
      </c>
      <c r="AG13" s="58">
        <f t="shared" si="27"/>
        <v>30.1999999999971</v>
      </c>
      <c r="AH13" s="61"/>
      <c r="AI13" s="60"/>
      <c r="AJ13"/>
      <c r="AK13"/>
      <c r="AL13"/>
      <c r="AM13"/>
    </row>
    <row r="14" spans="1:39">
      <c r="A14" s="21">
        <v>44523</v>
      </c>
      <c r="B14" s="22">
        <v>789.95809999999994</v>
      </c>
      <c r="C14" s="27">
        <v>7.0510999999999999</v>
      </c>
      <c r="D14" s="23">
        <f t="shared" si="5"/>
        <v>797.00919999999996</v>
      </c>
      <c r="E14" s="24">
        <f t="shared" si="6"/>
        <v>-0.199999999949796</v>
      </c>
      <c r="F14" s="25">
        <f t="shared" si="7"/>
        <v>-1.5999999999394301</v>
      </c>
      <c r="G14" s="26">
        <f t="shared" si="8"/>
        <v>-0.199999999949796</v>
      </c>
      <c r="H14" s="6">
        <v>7.9218999999999999</v>
      </c>
      <c r="I14" s="35">
        <f t="shared" si="9"/>
        <v>797.88</v>
      </c>
      <c r="J14" s="24">
        <f t="shared" si="10"/>
        <v>-0.59999999996307496</v>
      </c>
      <c r="K14" s="25">
        <f t="shared" si="11"/>
        <v>-1.69999999991433</v>
      </c>
      <c r="L14" s="26">
        <f t="shared" si="12"/>
        <v>-0.59999999996307496</v>
      </c>
      <c r="M14" s="6">
        <v>6.3718000000000004</v>
      </c>
      <c r="N14" s="35">
        <f t="shared" si="13"/>
        <v>796.32989999999995</v>
      </c>
      <c r="O14" s="24">
        <f t="shared" si="14"/>
        <v>0.30000000003838101</v>
      </c>
      <c r="P14" s="25">
        <f t="shared" si="15"/>
        <v>-1.9999999999527101</v>
      </c>
      <c r="Q14" s="26">
        <f t="shared" si="16"/>
        <v>0.30000000003838101</v>
      </c>
      <c r="R14" s="41"/>
      <c r="S14" s="21">
        <f t="shared" si="17"/>
        <v>44523</v>
      </c>
      <c r="T14" s="42">
        <v>10.729900000000001</v>
      </c>
      <c r="U14" s="43">
        <f t="shared" si="18"/>
        <v>-0.19999999999953399</v>
      </c>
      <c r="V14" s="44">
        <f t="shared" si="19"/>
        <v>-1.2999999999987499</v>
      </c>
      <c r="W14" s="45">
        <f t="shared" si="20"/>
        <v>0.19999999999953399</v>
      </c>
      <c r="X14" s="29">
        <v>17.4132</v>
      </c>
      <c r="Y14" s="43">
        <f t="shared" si="21"/>
        <v>-0.59999999999860198</v>
      </c>
      <c r="Z14" s="44">
        <f t="shared" si="22"/>
        <v>-1.20000000000076</v>
      </c>
      <c r="AA14" s="45">
        <f t="shared" si="23"/>
        <v>-0.59999999999860198</v>
      </c>
      <c r="AB14" s="49">
        <v>9.5206</v>
      </c>
      <c r="AC14" s="43">
        <f t="shared" si="24"/>
        <v>0.39999999999906799</v>
      </c>
      <c r="AD14" s="44">
        <f t="shared" si="25"/>
        <v>-0.799999999999912</v>
      </c>
      <c r="AE14" s="45">
        <f t="shared" si="26"/>
        <v>0.39999999999906799</v>
      </c>
      <c r="AF14" s="50">
        <v>79220.800000000003</v>
      </c>
      <c r="AG14" s="58">
        <f t="shared" si="27"/>
        <v>33.800000000002903</v>
      </c>
      <c r="AH14" s="61"/>
      <c r="AI14" s="60"/>
      <c r="AJ14" s="52"/>
      <c r="AK14" s="52"/>
      <c r="AL14" s="52"/>
      <c r="AM14" s="52"/>
    </row>
    <row r="15" spans="1:39">
      <c r="A15" s="21">
        <v>44524</v>
      </c>
      <c r="B15" s="22">
        <v>789.95809999999994</v>
      </c>
      <c r="C15" s="27">
        <v>7.0514999999999999</v>
      </c>
      <c r="D15" s="23">
        <f t="shared" si="5"/>
        <v>797.00959999999998</v>
      </c>
      <c r="E15" s="24">
        <f t="shared" si="6"/>
        <v>0.40000000001327901</v>
      </c>
      <c r="F15" s="25">
        <f t="shared" si="7"/>
        <v>-1.1999999999261499</v>
      </c>
      <c r="G15" s="26">
        <f t="shared" si="8"/>
        <v>0.40000000001327901</v>
      </c>
      <c r="H15" s="6">
        <v>7.9218000000000002</v>
      </c>
      <c r="I15" s="35">
        <f t="shared" si="9"/>
        <v>797.87990000000002</v>
      </c>
      <c r="J15" s="24">
        <f t="shared" si="10"/>
        <v>-0.10000000008858501</v>
      </c>
      <c r="K15" s="25">
        <f t="shared" si="11"/>
        <v>-1.8000000000029099</v>
      </c>
      <c r="L15" s="26">
        <f t="shared" si="12"/>
        <v>-0.10000000008858501</v>
      </c>
      <c r="M15" s="6">
        <v>6.3714000000000004</v>
      </c>
      <c r="N15" s="35">
        <f t="shared" si="13"/>
        <v>796.32950000000005</v>
      </c>
      <c r="O15" s="24">
        <f t="shared" si="14"/>
        <v>-0.40000000001327901</v>
      </c>
      <c r="P15" s="25">
        <f t="shared" si="15"/>
        <v>-2.39999999996598</v>
      </c>
      <c r="Q15" s="26">
        <f t="shared" si="16"/>
        <v>-0.40000000001327901</v>
      </c>
      <c r="R15" s="41"/>
      <c r="S15" s="21">
        <f t="shared" si="17"/>
        <v>44524</v>
      </c>
      <c r="T15" s="42">
        <v>10.7302</v>
      </c>
      <c r="U15" s="43">
        <f t="shared" si="18"/>
        <v>0.29999999999930099</v>
      </c>
      <c r="V15" s="44">
        <f t="shared" si="19"/>
        <v>-0.999999999999446</v>
      </c>
      <c r="W15" s="45">
        <f t="shared" si="20"/>
        <v>-0.29999999999930099</v>
      </c>
      <c r="X15" s="29">
        <v>17.413399999999999</v>
      </c>
      <c r="Y15" s="43">
        <f t="shared" si="21"/>
        <v>0.19999999999953399</v>
      </c>
      <c r="Z15" s="44">
        <f t="shared" si="22"/>
        <v>-1.0000000000012199</v>
      </c>
      <c r="AA15" s="45">
        <f t="shared" si="23"/>
        <v>0.19999999999953399</v>
      </c>
      <c r="AB15" s="49">
        <v>9.5197999999999894</v>
      </c>
      <c r="AC15" s="43">
        <f t="shared" si="24"/>
        <v>-0.80000000001057003</v>
      </c>
      <c r="AD15" s="44">
        <f t="shared" si="25"/>
        <v>-1.6000000000104799</v>
      </c>
      <c r="AE15" s="45">
        <f t="shared" si="26"/>
        <v>-0.80000000001057003</v>
      </c>
      <c r="AF15" s="50">
        <v>79224.400000000096</v>
      </c>
      <c r="AG15" s="58">
        <f t="shared" si="27"/>
        <v>37.400000000096</v>
      </c>
      <c r="AH15" s="61"/>
      <c r="AI15" s="60"/>
      <c r="AJ15" s="52"/>
      <c r="AK15" s="52"/>
      <c r="AL15" s="52"/>
      <c r="AM15" s="52"/>
    </row>
    <row r="16" spans="1:39">
      <c r="A16" s="21">
        <v>44525</v>
      </c>
      <c r="B16" s="22">
        <v>789.95809999999994</v>
      </c>
      <c r="C16" s="27">
        <v>7.0507</v>
      </c>
      <c r="D16" s="23">
        <f t="shared" si="5"/>
        <v>797.00879999999995</v>
      </c>
      <c r="E16" s="24">
        <f t="shared" si="6"/>
        <v>-0.80000000002655702</v>
      </c>
      <c r="F16" s="25">
        <f t="shared" si="7"/>
        <v>-1.9999999999527101</v>
      </c>
      <c r="G16" s="26">
        <f t="shared" si="8"/>
        <v>-0.80000000002655702</v>
      </c>
      <c r="H16" s="6">
        <v>7.9217000000000004</v>
      </c>
      <c r="I16" s="35">
        <f t="shared" si="9"/>
        <v>797.87980000000005</v>
      </c>
      <c r="J16" s="24">
        <f t="shared" si="10"/>
        <v>-9.9999999974897905E-2</v>
      </c>
      <c r="K16" s="25">
        <f t="shared" si="11"/>
        <v>-1.8999999999778101</v>
      </c>
      <c r="L16" s="26">
        <f t="shared" si="12"/>
        <v>-9.9999999974897905E-2</v>
      </c>
      <c r="M16" s="6">
        <v>6.3712</v>
      </c>
      <c r="N16" s="35">
        <f t="shared" si="13"/>
        <v>796.32929999999999</v>
      </c>
      <c r="O16" s="24">
        <f t="shared" si="14"/>
        <v>-0.199999999949796</v>
      </c>
      <c r="P16" s="25">
        <f t="shared" si="15"/>
        <v>-2.5999999999157799</v>
      </c>
      <c r="Q16" s="26">
        <f t="shared" si="16"/>
        <v>-0.199999999949796</v>
      </c>
      <c r="R16" s="41"/>
      <c r="S16" s="21">
        <f t="shared" si="17"/>
        <v>44525</v>
      </c>
      <c r="T16" s="42">
        <v>10.7295</v>
      </c>
      <c r="U16" s="43">
        <f t="shared" si="18"/>
        <v>-0.70000000000014495</v>
      </c>
      <c r="V16" s="44">
        <f t="shared" si="19"/>
        <v>-1.6999999999995901</v>
      </c>
      <c r="W16" s="45">
        <f t="shared" si="20"/>
        <v>0.70000000000014495</v>
      </c>
      <c r="X16" s="29">
        <v>17.4132</v>
      </c>
      <c r="Y16" s="43">
        <f t="shared" si="21"/>
        <v>-0.19999999999953399</v>
      </c>
      <c r="Z16" s="44">
        <f t="shared" si="22"/>
        <v>-1.20000000000076</v>
      </c>
      <c r="AA16" s="45">
        <f t="shared" si="23"/>
        <v>-0.19999999999953399</v>
      </c>
      <c r="AB16" s="49">
        <v>9.5195999999999898</v>
      </c>
      <c r="AC16" s="43">
        <f t="shared" si="24"/>
        <v>-0.19999999999953399</v>
      </c>
      <c r="AD16" s="44">
        <f t="shared" si="25"/>
        <v>-1.80000000001002</v>
      </c>
      <c r="AE16" s="45">
        <f t="shared" si="26"/>
        <v>-0.19999999999953399</v>
      </c>
      <c r="AF16" s="50">
        <v>79228.000000000102</v>
      </c>
      <c r="AG16" s="58">
        <f t="shared" si="27"/>
        <v>41.000000000101899</v>
      </c>
      <c r="AH16" s="61"/>
      <c r="AI16" s="60"/>
      <c r="AJ16" s="52"/>
      <c r="AK16" s="52"/>
      <c r="AL16" s="52"/>
      <c r="AM16" s="52"/>
    </row>
    <row r="17" spans="1:39">
      <c r="A17" s="21">
        <v>44526</v>
      </c>
      <c r="B17" s="22">
        <v>789.95809999999994</v>
      </c>
      <c r="C17" s="27">
        <v>7.0505000000000004</v>
      </c>
      <c r="D17" s="23">
        <f t="shared" si="5"/>
        <v>797.0086</v>
      </c>
      <c r="E17" s="24">
        <f t="shared" si="6"/>
        <v>-0.199999999949796</v>
      </c>
      <c r="F17" s="25">
        <f t="shared" si="7"/>
        <v>-2.1999999999024999</v>
      </c>
      <c r="G17" s="26">
        <f t="shared" si="8"/>
        <v>-0.199999999949796</v>
      </c>
      <c r="H17" s="6">
        <v>7.9222999999999999</v>
      </c>
      <c r="I17" s="35">
        <f t="shared" si="9"/>
        <v>797.88040000000001</v>
      </c>
      <c r="J17" s="24">
        <f t="shared" si="10"/>
        <v>0.59999999996307496</v>
      </c>
      <c r="K17" s="25">
        <f t="shared" si="11"/>
        <v>-1.30000000001473</v>
      </c>
      <c r="L17" s="26">
        <f t="shared" si="12"/>
        <v>0.59999999996307496</v>
      </c>
      <c r="M17" s="6">
        <v>6.3710000000000004</v>
      </c>
      <c r="N17" s="35">
        <f t="shared" si="13"/>
        <v>796.32910000000004</v>
      </c>
      <c r="O17" s="24">
        <f t="shared" si="14"/>
        <v>-0.20000000006348301</v>
      </c>
      <c r="P17" s="25">
        <f t="shared" si="15"/>
        <v>-2.79999999997926</v>
      </c>
      <c r="Q17" s="26">
        <f t="shared" si="16"/>
        <v>-0.20000000006348301</v>
      </c>
      <c r="R17" s="41"/>
      <c r="S17" s="21">
        <f t="shared" si="17"/>
        <v>44526</v>
      </c>
      <c r="T17" s="42">
        <v>10.7293</v>
      </c>
      <c r="U17" s="43">
        <f t="shared" si="18"/>
        <v>-0.19999999999953399</v>
      </c>
      <c r="V17" s="44">
        <f t="shared" si="19"/>
        <v>-1.8999999999991199</v>
      </c>
      <c r="W17" s="45">
        <f t="shared" si="20"/>
        <v>0.19999999999953399</v>
      </c>
      <c r="X17" s="29">
        <v>17.413499999999999</v>
      </c>
      <c r="Y17" s="43">
        <f t="shared" si="21"/>
        <v>0.29999999999930099</v>
      </c>
      <c r="Z17" s="44">
        <f t="shared" si="22"/>
        <v>-0.90000000000145497</v>
      </c>
      <c r="AA17" s="45">
        <f t="shared" si="23"/>
        <v>0.29999999999930099</v>
      </c>
      <c r="AB17" s="49">
        <v>9.52</v>
      </c>
      <c r="AC17" s="43">
        <f t="shared" si="24"/>
        <v>0.40000000000972602</v>
      </c>
      <c r="AD17" s="44">
        <f t="shared" si="25"/>
        <v>-1.4000000000002899</v>
      </c>
      <c r="AE17" s="45">
        <f t="shared" si="26"/>
        <v>0.40000000000972602</v>
      </c>
      <c r="AF17" s="50">
        <v>79231.600000000093</v>
      </c>
      <c r="AG17" s="58">
        <f t="shared" si="27"/>
        <v>44.600000000093097</v>
      </c>
      <c r="AH17" s="61"/>
      <c r="AI17" s="52"/>
      <c r="AJ17" s="52"/>
      <c r="AK17" s="52"/>
      <c r="AL17" s="52"/>
      <c r="AM17" s="52"/>
    </row>
    <row r="18" spans="1:39">
      <c r="A18" s="21">
        <v>44527</v>
      </c>
      <c r="B18" s="22">
        <v>789.95809999999994</v>
      </c>
      <c r="C18" s="27">
        <v>7.0506000000000002</v>
      </c>
      <c r="D18" s="23">
        <f t="shared" si="5"/>
        <v>797.00869999999998</v>
      </c>
      <c r="E18" s="24">
        <f t="shared" si="6"/>
        <v>9.9999999974897905E-2</v>
      </c>
      <c r="F18" s="25">
        <f t="shared" si="7"/>
        <v>-2.0999999999275998</v>
      </c>
      <c r="G18" s="26">
        <f t="shared" si="8"/>
        <v>9.9999999974897905E-2</v>
      </c>
      <c r="H18" s="6">
        <v>7.9215</v>
      </c>
      <c r="I18" s="35">
        <f t="shared" si="9"/>
        <v>797.87959999999998</v>
      </c>
      <c r="J18" s="24">
        <f t="shared" si="10"/>
        <v>-0.79999999991286996</v>
      </c>
      <c r="K18" s="25">
        <f t="shared" si="11"/>
        <v>-2.0999999999275998</v>
      </c>
      <c r="L18" s="26">
        <f t="shared" si="12"/>
        <v>-0.79999999991286996</v>
      </c>
      <c r="M18" s="6">
        <v>6.3712</v>
      </c>
      <c r="N18" s="35">
        <f t="shared" si="13"/>
        <v>796.32929999999999</v>
      </c>
      <c r="O18" s="24">
        <f t="shared" si="14"/>
        <v>0.20000000006348301</v>
      </c>
      <c r="P18" s="25">
        <f t="shared" si="15"/>
        <v>-2.5999999999157799</v>
      </c>
      <c r="Q18" s="26">
        <f t="shared" si="16"/>
        <v>0.20000000006348301</v>
      </c>
      <c r="R18" s="41"/>
      <c r="S18" s="21">
        <f t="shared" si="17"/>
        <v>44527</v>
      </c>
      <c r="T18" s="42">
        <v>10.7295</v>
      </c>
      <c r="U18" s="43">
        <f t="shared" si="18"/>
        <v>0.19999999999953399</v>
      </c>
      <c r="V18" s="44">
        <f t="shared" si="19"/>
        <v>-1.6999999999995901</v>
      </c>
      <c r="W18" s="45">
        <f t="shared" si="20"/>
        <v>-0.19999999999953399</v>
      </c>
      <c r="X18" s="29">
        <v>17.412800000000001</v>
      </c>
      <c r="Y18" s="43">
        <f t="shared" si="21"/>
        <v>-0.69999999999836904</v>
      </c>
      <c r="Z18" s="44">
        <f t="shared" si="22"/>
        <v>-1.59999999999982</v>
      </c>
      <c r="AA18" s="45">
        <f t="shared" si="23"/>
        <v>-0.69999999999836904</v>
      </c>
      <c r="AB18" s="49">
        <v>9.5191999999999908</v>
      </c>
      <c r="AC18" s="43">
        <f t="shared" si="24"/>
        <v>-0.80000000000879401</v>
      </c>
      <c r="AD18" s="44">
        <f t="shared" si="25"/>
        <v>-2.20000000000908</v>
      </c>
      <c r="AE18" s="45">
        <f t="shared" si="26"/>
        <v>-0.80000000000879401</v>
      </c>
      <c r="AF18" s="50">
        <v>79235.200000000099</v>
      </c>
      <c r="AG18" s="58">
        <f t="shared" si="27"/>
        <v>48.200000000099003</v>
      </c>
      <c r="AH18" s="61"/>
      <c r="AI18" s="52"/>
      <c r="AJ18" s="52"/>
      <c r="AK18" s="52"/>
      <c r="AL18" s="52"/>
      <c r="AM18" s="52"/>
    </row>
    <row r="19" spans="1:39">
      <c r="A19" s="21">
        <v>44528</v>
      </c>
      <c r="B19" s="22">
        <v>789.95809999999994</v>
      </c>
      <c r="C19" s="27">
        <v>7.0500999999999996</v>
      </c>
      <c r="D19" s="23">
        <f t="shared" si="5"/>
        <v>797.00819999999999</v>
      </c>
      <c r="E19" s="24">
        <f t="shared" si="6"/>
        <v>-0.49999999998817701</v>
      </c>
      <c r="F19" s="25">
        <f t="shared" si="7"/>
        <v>-2.5999999999157799</v>
      </c>
      <c r="G19" s="26">
        <f t="shared" si="8"/>
        <v>-0.49999999998817701</v>
      </c>
      <c r="H19" s="6">
        <v>7.9214000000000002</v>
      </c>
      <c r="I19" s="35">
        <f t="shared" si="9"/>
        <v>797.87950000000001</v>
      </c>
      <c r="J19" s="24">
        <f t="shared" si="10"/>
        <v>-0.10000000008858501</v>
      </c>
      <c r="K19" s="25">
        <f t="shared" si="11"/>
        <v>-2.2000000000161899</v>
      </c>
      <c r="L19" s="26">
        <f t="shared" si="12"/>
        <v>-0.10000000008858501</v>
      </c>
      <c r="M19" s="6">
        <v>6.3705999999999996</v>
      </c>
      <c r="N19" s="35">
        <f t="shared" si="13"/>
        <v>796.32870000000003</v>
      </c>
      <c r="O19" s="24">
        <f t="shared" si="14"/>
        <v>-0.60000000007676102</v>
      </c>
      <c r="P19" s="25">
        <f t="shared" si="15"/>
        <v>-3.1999999999925399</v>
      </c>
      <c r="Q19" s="26">
        <f t="shared" si="16"/>
        <v>-0.60000000007676102</v>
      </c>
      <c r="R19" s="41"/>
      <c r="S19" s="21">
        <f t="shared" si="17"/>
        <v>44528</v>
      </c>
      <c r="T19" s="42">
        <v>10.728899999999999</v>
      </c>
      <c r="U19" s="43">
        <f t="shared" si="18"/>
        <v>-0.60000000000037801</v>
      </c>
      <c r="V19" s="44">
        <f t="shared" si="19"/>
        <v>-2.2999999999999701</v>
      </c>
      <c r="W19" s="45">
        <f t="shared" si="20"/>
        <v>0.60000000000037801</v>
      </c>
      <c r="X19" s="29">
        <v>17.412600000000001</v>
      </c>
      <c r="Y19" s="43">
        <f t="shared" si="21"/>
        <v>-0.19999999999953399</v>
      </c>
      <c r="Z19" s="44">
        <f t="shared" si="22"/>
        <v>-1.7999999999993599</v>
      </c>
      <c r="AA19" s="45">
        <f t="shared" si="23"/>
        <v>-0.19999999999953399</v>
      </c>
      <c r="AB19" s="49">
        <v>9.5189999999999895</v>
      </c>
      <c r="AC19" s="43">
        <f t="shared" si="24"/>
        <v>-0.20000000000130999</v>
      </c>
      <c r="AD19" s="44">
        <f t="shared" si="25"/>
        <v>-2.4000000000103898</v>
      </c>
      <c r="AE19" s="45">
        <f t="shared" si="26"/>
        <v>-0.20000000000130999</v>
      </c>
      <c r="AF19" s="50">
        <v>79238.800000000105</v>
      </c>
      <c r="AG19" s="58">
        <f t="shared" si="27"/>
        <v>51.800000000104802</v>
      </c>
      <c r="AH19" s="61"/>
      <c r="AI19" s="52"/>
      <c r="AJ19" s="52"/>
      <c r="AK19" s="52"/>
      <c r="AL19" s="52"/>
      <c r="AM19" s="52"/>
    </row>
    <row r="20" spans="1:39">
      <c r="A20" s="21">
        <v>44529</v>
      </c>
      <c r="B20" s="22">
        <v>789.95809999999994</v>
      </c>
      <c r="C20" s="27">
        <v>7.0499000000000001</v>
      </c>
      <c r="D20" s="23">
        <f t="shared" si="5"/>
        <v>797.00800000000004</v>
      </c>
      <c r="E20" s="24">
        <f t="shared" si="6"/>
        <v>-0.20000000006348301</v>
      </c>
      <c r="F20" s="25">
        <f t="shared" si="7"/>
        <v>-2.79999999997926</v>
      </c>
      <c r="G20" s="26">
        <f t="shared" si="8"/>
        <v>-0.20000000006348301</v>
      </c>
      <c r="H20" s="6">
        <v>7.9211999999999998</v>
      </c>
      <c r="I20" s="35">
        <f t="shared" si="9"/>
        <v>797.87929999999994</v>
      </c>
      <c r="J20" s="24">
        <f t="shared" si="10"/>
        <v>-0.199999999949796</v>
      </c>
      <c r="K20" s="25">
        <f t="shared" si="11"/>
        <v>-2.39999999996598</v>
      </c>
      <c r="L20" s="26">
        <f t="shared" si="12"/>
        <v>-0.199999999949796</v>
      </c>
      <c r="M20" s="6">
        <v>6.3704000000000001</v>
      </c>
      <c r="N20" s="35">
        <f t="shared" si="13"/>
        <v>796.32849999999996</v>
      </c>
      <c r="O20" s="24">
        <f t="shared" si="14"/>
        <v>-0.199999999949796</v>
      </c>
      <c r="P20" s="25">
        <f t="shared" si="15"/>
        <v>-3.3999999999423398</v>
      </c>
      <c r="Q20" s="26">
        <f t="shared" si="16"/>
        <v>-0.199999999949796</v>
      </c>
      <c r="R20" s="41"/>
      <c r="S20" s="21">
        <f t="shared" si="17"/>
        <v>44529</v>
      </c>
      <c r="T20" s="42">
        <v>10.7287</v>
      </c>
      <c r="U20" s="43">
        <f t="shared" si="18"/>
        <v>-0.19999999999953399</v>
      </c>
      <c r="V20" s="44">
        <f t="shared" si="19"/>
        <v>-2.4999999999995</v>
      </c>
      <c r="W20" s="45">
        <f t="shared" si="20"/>
        <v>0.19999999999953399</v>
      </c>
      <c r="X20" s="29">
        <v>17.413</v>
      </c>
      <c r="Y20" s="43">
        <f t="shared" si="21"/>
        <v>0.39999999999906799</v>
      </c>
      <c r="Z20" s="44">
        <f t="shared" si="22"/>
        <v>-1.4000000000002899</v>
      </c>
      <c r="AA20" s="45">
        <f t="shared" si="23"/>
        <v>0.39999999999906799</v>
      </c>
      <c r="AB20" s="49">
        <v>9.5195000000000007</v>
      </c>
      <c r="AC20" s="43">
        <f t="shared" si="24"/>
        <v>0.50000000001126899</v>
      </c>
      <c r="AD20" s="44">
        <f t="shared" si="25"/>
        <v>-1.8999999999991199</v>
      </c>
      <c r="AE20" s="45">
        <f t="shared" si="26"/>
        <v>0.50000000001126899</v>
      </c>
      <c r="AF20" s="50">
        <v>79242.400000000096</v>
      </c>
      <c r="AG20" s="58">
        <f t="shared" si="27"/>
        <v>55.400000000096</v>
      </c>
      <c r="AH20" s="61"/>
      <c r="AI20" s="52"/>
      <c r="AJ20" s="52"/>
      <c r="AK20" s="52"/>
      <c r="AL20" s="52"/>
      <c r="AM20" s="52"/>
    </row>
    <row r="21" spans="1:39">
      <c r="A21" s="21">
        <v>44531</v>
      </c>
      <c r="B21" s="22">
        <v>789.95809999999994</v>
      </c>
      <c r="C21" s="27">
        <v>7.0502000000000002</v>
      </c>
      <c r="D21" s="23">
        <f t="shared" ref="D21:D33" si="28">C21+B21</f>
        <v>797.00829999999996</v>
      </c>
      <c r="E21" s="24">
        <f t="shared" ref="E21:E33" si="29">(D21-D20)*1000</f>
        <v>0.30000000003838101</v>
      </c>
      <c r="F21" s="25">
        <f t="shared" ref="F21:F33" si="30">F20+E21</f>
        <v>-2.4999999999408802</v>
      </c>
      <c r="G21" s="26">
        <f t="shared" ref="G21:G33" si="31">E21/(A21-A20)</f>
        <v>0.15000000001919001</v>
      </c>
      <c r="H21" s="6">
        <v>7.9211999999999998</v>
      </c>
      <c r="I21" s="35">
        <f t="shared" ref="I21:I33" si="32">H21+B21</f>
        <v>797.87929999999994</v>
      </c>
      <c r="J21" s="24">
        <f t="shared" ref="J21:J33" si="33">(I21-I20)*1000</f>
        <v>0</v>
      </c>
      <c r="K21" s="25">
        <f t="shared" ref="K21:K33" si="34">K20+J21</f>
        <v>-2.39999999996598</v>
      </c>
      <c r="L21" s="26">
        <f t="shared" ref="L21:L33" si="35">J21/(A21-A20)</f>
        <v>0</v>
      </c>
      <c r="M21" s="6">
        <v>6.3710000000000004</v>
      </c>
      <c r="N21" s="35">
        <f t="shared" ref="N21:N33" si="36">M21+B21</f>
        <v>796.32910000000004</v>
      </c>
      <c r="O21" s="24">
        <f t="shared" ref="O21:O33" si="37">(N21-N20)*1000</f>
        <v>0.59999999996307496</v>
      </c>
      <c r="P21" s="25">
        <f t="shared" ref="P21:P33" si="38">P20+O21</f>
        <v>-2.79999999997926</v>
      </c>
      <c r="Q21" s="26">
        <f t="shared" ref="Q21:Q33" si="39">O21/(A21-A20)</f>
        <v>0.29999999998153698</v>
      </c>
      <c r="R21" s="41"/>
      <c r="S21" s="21">
        <f t="shared" si="17"/>
        <v>44531</v>
      </c>
      <c r="T21" s="42">
        <v>10.729200000000001</v>
      </c>
      <c r="U21" s="43">
        <f t="shared" si="18"/>
        <v>0.50000000000061096</v>
      </c>
      <c r="V21" s="44">
        <f t="shared" si="19"/>
        <v>-1.99999999999889</v>
      </c>
      <c r="W21" s="45">
        <f t="shared" si="20"/>
        <v>-0.25000000000030598</v>
      </c>
      <c r="X21" s="29">
        <v>17.412800000000001</v>
      </c>
      <c r="Y21" s="43">
        <f t="shared" si="21"/>
        <v>-0.19999999999953399</v>
      </c>
      <c r="Z21" s="44">
        <f t="shared" si="22"/>
        <v>-1.59999999999982</v>
      </c>
      <c r="AA21" s="45">
        <f t="shared" si="23"/>
        <v>-9.99999999997669E-2</v>
      </c>
      <c r="AB21" s="49">
        <v>9.5185999999999904</v>
      </c>
      <c r="AC21" s="43">
        <f t="shared" si="24"/>
        <v>-0.90000000001033698</v>
      </c>
      <c r="AD21" s="44">
        <f t="shared" si="25"/>
        <v>-2.8000000000094598</v>
      </c>
      <c r="AE21" s="45">
        <f t="shared" si="26"/>
        <v>-0.45000000000516799</v>
      </c>
      <c r="AF21" s="50">
        <v>79246.000000000102</v>
      </c>
      <c r="AG21" s="58">
        <f t="shared" si="27"/>
        <v>59.000000000101899</v>
      </c>
      <c r="AH21" s="61"/>
      <c r="AI21" s="52"/>
      <c r="AJ21" s="52"/>
      <c r="AK21" s="52"/>
      <c r="AL21" s="52"/>
      <c r="AM21" s="52"/>
    </row>
    <row r="22" spans="1:39">
      <c r="A22" s="21">
        <v>44533</v>
      </c>
      <c r="B22" s="22">
        <v>789.95809999999994</v>
      </c>
      <c r="C22" s="27">
        <v>7.0495000000000001</v>
      </c>
      <c r="D22" s="23">
        <f t="shared" si="28"/>
        <v>797.00760000000002</v>
      </c>
      <c r="E22" s="24">
        <f t="shared" si="29"/>
        <v>-0.70000000005165897</v>
      </c>
      <c r="F22" s="25">
        <f t="shared" si="30"/>
        <v>-3.1999999999925399</v>
      </c>
      <c r="G22" s="26">
        <f t="shared" si="31"/>
        <v>-0.35000000002582998</v>
      </c>
      <c r="H22" s="6">
        <v>7.9212999999999996</v>
      </c>
      <c r="I22" s="35">
        <f t="shared" si="32"/>
        <v>797.87940000000003</v>
      </c>
      <c r="J22" s="24">
        <f t="shared" si="33"/>
        <v>9.9999999974897905E-2</v>
      </c>
      <c r="K22" s="25">
        <f t="shared" si="34"/>
        <v>-2.2999999999910901</v>
      </c>
      <c r="L22" s="26">
        <f t="shared" si="35"/>
        <v>4.9999999987449001E-2</v>
      </c>
      <c r="M22" s="6">
        <v>6.37</v>
      </c>
      <c r="N22" s="35">
        <f t="shared" si="36"/>
        <v>796.32809999999995</v>
      </c>
      <c r="O22" s="24">
        <f t="shared" si="37"/>
        <v>-0.99999999997635303</v>
      </c>
      <c r="P22" s="25">
        <f t="shared" si="38"/>
        <v>-3.7999999999556202</v>
      </c>
      <c r="Q22" s="26">
        <f t="shared" si="39"/>
        <v>-0.49999999998817701</v>
      </c>
      <c r="R22" s="41"/>
      <c r="S22" s="21">
        <f t="shared" si="17"/>
        <v>44533</v>
      </c>
      <c r="T22" s="42">
        <v>10.728300000000001</v>
      </c>
      <c r="U22" s="43">
        <f t="shared" si="18"/>
        <v>-0.89999999999967895</v>
      </c>
      <c r="V22" s="44">
        <f t="shared" si="19"/>
        <v>-2.8999999999985699</v>
      </c>
      <c r="W22" s="45">
        <f t="shared" si="20"/>
        <v>0.44999999999983897</v>
      </c>
      <c r="X22" s="29">
        <v>17.411999999999999</v>
      </c>
      <c r="Y22" s="43">
        <f t="shared" si="21"/>
        <v>-0.80000000000168803</v>
      </c>
      <c r="Z22" s="44">
        <f t="shared" si="22"/>
        <v>-2.4000000000015098</v>
      </c>
      <c r="AA22" s="45">
        <f t="shared" si="23"/>
        <v>-0.40000000000084401</v>
      </c>
      <c r="AB22" s="49">
        <v>9.5183999999999802</v>
      </c>
      <c r="AC22" s="43">
        <f t="shared" si="24"/>
        <v>-0.200000000010192</v>
      </c>
      <c r="AD22" s="44">
        <f t="shared" si="25"/>
        <v>-3.0000000000196501</v>
      </c>
      <c r="AE22" s="45">
        <f t="shared" si="26"/>
        <v>-0.100000000005096</v>
      </c>
      <c r="AF22" s="50">
        <v>79249.600000000093</v>
      </c>
      <c r="AG22" s="58">
        <f t="shared" si="27"/>
        <v>62.600000000093097</v>
      </c>
      <c r="AH22" s="61"/>
      <c r="AI22" s="52"/>
      <c r="AJ22" s="52"/>
      <c r="AK22" s="52"/>
      <c r="AL22" s="52"/>
      <c r="AM22" s="52"/>
    </row>
    <row r="23" spans="1:39">
      <c r="A23" s="21">
        <v>44535</v>
      </c>
      <c r="B23" s="22">
        <v>789.95809999999994</v>
      </c>
      <c r="C23" s="27">
        <v>7.0493000000000103</v>
      </c>
      <c r="D23" s="23">
        <f t="shared" si="28"/>
        <v>797.00739999999996</v>
      </c>
      <c r="E23" s="24">
        <f t="shared" si="29"/>
        <v>-0.199999999949796</v>
      </c>
      <c r="F23" s="25">
        <f t="shared" si="30"/>
        <v>-3.3999999999423398</v>
      </c>
      <c r="G23" s="26">
        <f t="shared" si="31"/>
        <v>-9.9999999974897905E-2</v>
      </c>
      <c r="H23" s="6">
        <v>7.9210000000000003</v>
      </c>
      <c r="I23" s="35">
        <f t="shared" si="32"/>
        <v>797.87909999999999</v>
      </c>
      <c r="J23" s="24">
        <f t="shared" si="33"/>
        <v>-0.29999999992469401</v>
      </c>
      <c r="K23" s="25">
        <f t="shared" si="34"/>
        <v>-2.5999999999157799</v>
      </c>
      <c r="L23" s="26">
        <f t="shared" si="35"/>
        <v>-0.149999999962347</v>
      </c>
      <c r="M23" s="6">
        <v>6.3697999999999997</v>
      </c>
      <c r="N23" s="35">
        <f t="shared" si="36"/>
        <v>796.3279</v>
      </c>
      <c r="O23" s="24">
        <f t="shared" si="37"/>
        <v>-0.199999999949796</v>
      </c>
      <c r="P23" s="25">
        <f t="shared" si="38"/>
        <v>-3.9999999999054099</v>
      </c>
      <c r="Q23" s="26">
        <f t="shared" si="39"/>
        <v>-9.9999999974897905E-2</v>
      </c>
      <c r="S23" s="21">
        <f t="shared" si="17"/>
        <v>44535</v>
      </c>
      <c r="T23" s="42">
        <v>10.7281</v>
      </c>
      <c r="U23" s="43">
        <f t="shared" si="18"/>
        <v>-0.20000000000130999</v>
      </c>
      <c r="V23" s="44">
        <f t="shared" si="19"/>
        <v>-3.0999999999998802</v>
      </c>
      <c r="W23" s="45">
        <f t="shared" si="20"/>
        <v>0.100000000000655</v>
      </c>
      <c r="X23" s="29">
        <v>17.411799999999999</v>
      </c>
      <c r="Y23" s="43">
        <f t="shared" si="21"/>
        <v>-0.19999999999953399</v>
      </c>
      <c r="Z23" s="44">
        <f t="shared" si="22"/>
        <v>-2.6000000000010499</v>
      </c>
      <c r="AA23" s="45">
        <f t="shared" si="23"/>
        <v>-9.99999999997669E-2</v>
      </c>
      <c r="AB23" s="49">
        <v>9.5191999999999997</v>
      </c>
      <c r="AC23" s="43">
        <f t="shared" si="24"/>
        <v>0.80000000001945204</v>
      </c>
      <c r="AD23" s="44">
        <f t="shared" si="25"/>
        <v>-2.2000000000002</v>
      </c>
      <c r="AE23" s="45">
        <f t="shared" si="26"/>
        <v>0.40000000000972602</v>
      </c>
      <c r="AF23" s="50">
        <v>79253.200000000099</v>
      </c>
      <c r="AG23" s="58">
        <f t="shared" si="27"/>
        <v>66.200000000098996</v>
      </c>
      <c r="AH23" s="61"/>
      <c r="AI23" s="52"/>
      <c r="AJ23" s="52"/>
      <c r="AK23" s="52"/>
      <c r="AL23" s="52"/>
      <c r="AM23" s="52"/>
    </row>
    <row r="24" spans="1:39">
      <c r="A24" s="21">
        <v>44537</v>
      </c>
      <c r="B24" s="22">
        <v>789.95809999999994</v>
      </c>
      <c r="C24" s="27">
        <v>7.05</v>
      </c>
      <c r="D24" s="23">
        <f t="shared" si="28"/>
        <v>797.00810000000001</v>
      </c>
      <c r="E24" s="24">
        <f t="shared" si="29"/>
        <v>0.69999999993797202</v>
      </c>
      <c r="F24" s="25">
        <f t="shared" si="30"/>
        <v>-2.70000000000437</v>
      </c>
      <c r="G24" s="26">
        <f t="shared" si="31"/>
        <v>0.34999999996898601</v>
      </c>
      <c r="H24" s="6">
        <v>7.9208999999999996</v>
      </c>
      <c r="I24" s="35">
        <f t="shared" si="32"/>
        <v>797.87900000000002</v>
      </c>
      <c r="J24" s="24">
        <f t="shared" si="33"/>
        <v>-0.10000000008858501</v>
      </c>
      <c r="K24" s="25">
        <f t="shared" si="34"/>
        <v>-2.70000000000437</v>
      </c>
      <c r="L24" s="26">
        <f t="shared" si="35"/>
        <v>-5.0000000044292399E-2</v>
      </c>
      <c r="M24" s="6">
        <v>6.3701999999999996</v>
      </c>
      <c r="N24" s="35">
        <f t="shared" si="36"/>
        <v>796.32830000000001</v>
      </c>
      <c r="O24" s="24">
        <f t="shared" si="37"/>
        <v>0.39999999989959201</v>
      </c>
      <c r="P24" s="25">
        <f t="shared" si="38"/>
        <v>-3.6000000000058199</v>
      </c>
      <c r="Q24" s="26">
        <f t="shared" si="39"/>
        <v>0.199999999949796</v>
      </c>
      <c r="S24" s="21">
        <f t="shared" si="17"/>
        <v>44537</v>
      </c>
      <c r="T24" s="42">
        <v>10.728300000000001</v>
      </c>
      <c r="U24" s="43">
        <f t="shared" si="18"/>
        <v>0.20000000000130999</v>
      </c>
      <c r="V24" s="44">
        <f t="shared" si="19"/>
        <v>-2.8999999999985699</v>
      </c>
      <c r="W24" s="45">
        <f t="shared" si="20"/>
        <v>-0.100000000000655</v>
      </c>
      <c r="X24" s="29">
        <v>17.4115</v>
      </c>
      <c r="Y24" s="43">
        <f t="shared" si="21"/>
        <v>-0.29999999999930099</v>
      </c>
      <c r="Z24" s="44">
        <f t="shared" si="22"/>
        <v>-2.9000000000003499</v>
      </c>
      <c r="AA24" s="45">
        <f t="shared" si="23"/>
        <v>-0.14999999999965</v>
      </c>
      <c r="AB24" s="49">
        <v>9.5179999999999794</v>
      </c>
      <c r="AC24" s="43">
        <f t="shared" si="24"/>
        <v>-1.2000000000202999</v>
      </c>
      <c r="AD24" s="44">
        <f t="shared" si="25"/>
        <v>-3.4000000000205</v>
      </c>
      <c r="AE24" s="45">
        <f t="shared" si="26"/>
        <v>-0.60000000001014797</v>
      </c>
      <c r="AF24" s="50">
        <v>79256.800000000105</v>
      </c>
      <c r="AG24" s="58">
        <f t="shared" si="27"/>
        <v>69.800000000104802</v>
      </c>
      <c r="AH24" s="61"/>
      <c r="AI24" s="52"/>
      <c r="AJ24" s="52"/>
      <c r="AK24" s="52"/>
      <c r="AL24" s="52"/>
      <c r="AM24" s="52"/>
    </row>
    <row r="25" spans="1:39">
      <c r="A25" s="21">
        <v>44539</v>
      </c>
      <c r="B25" s="22">
        <v>789.95809999999994</v>
      </c>
      <c r="C25" s="27">
        <v>7.0489000000000104</v>
      </c>
      <c r="D25" s="23">
        <f t="shared" si="28"/>
        <v>797.00699999999995</v>
      </c>
      <c r="E25" s="24">
        <f t="shared" si="29"/>
        <v>-1.09999999995125</v>
      </c>
      <c r="F25" s="25">
        <f t="shared" si="30"/>
        <v>-3.7999999999556202</v>
      </c>
      <c r="G25" s="26">
        <f t="shared" si="31"/>
        <v>-0.54999999997562599</v>
      </c>
      <c r="H25" s="6">
        <v>7.9202000000000004</v>
      </c>
      <c r="I25" s="35">
        <f t="shared" si="32"/>
        <v>797.87829999999997</v>
      </c>
      <c r="J25" s="24">
        <f t="shared" si="33"/>
        <v>-0.69999999993797202</v>
      </c>
      <c r="K25" s="25">
        <f t="shared" si="34"/>
        <v>-3.3999999999423398</v>
      </c>
      <c r="L25" s="26">
        <f t="shared" si="35"/>
        <v>-0.34999999996898601</v>
      </c>
      <c r="M25" s="6">
        <v>6.3697999999999997</v>
      </c>
      <c r="N25" s="35">
        <f t="shared" si="36"/>
        <v>796.3279</v>
      </c>
      <c r="O25" s="24">
        <f t="shared" si="37"/>
        <v>-0.39999999989959201</v>
      </c>
      <c r="P25" s="25">
        <f t="shared" si="38"/>
        <v>-3.9999999999054099</v>
      </c>
      <c r="Q25" s="26">
        <f t="shared" si="39"/>
        <v>-0.199999999949796</v>
      </c>
      <c r="R25" s="41"/>
      <c r="S25" s="21">
        <f t="shared" si="17"/>
        <v>44539</v>
      </c>
      <c r="T25" s="42">
        <v>10.7277</v>
      </c>
      <c r="U25" s="43">
        <f t="shared" si="18"/>
        <v>-0.60000000000037801</v>
      </c>
      <c r="V25" s="44">
        <f t="shared" si="19"/>
        <v>-3.4999999999989502</v>
      </c>
      <c r="W25" s="45">
        <f t="shared" si="20"/>
        <v>0.300000000000189</v>
      </c>
      <c r="X25" s="29">
        <v>17.4114</v>
      </c>
      <c r="Y25" s="43">
        <f t="shared" si="21"/>
        <v>-9.99999999997669E-2</v>
      </c>
      <c r="Z25" s="44">
        <f t="shared" si="22"/>
        <v>-3.0000000000001101</v>
      </c>
      <c r="AA25" s="45">
        <f t="shared" si="23"/>
        <v>-4.9999999999883499E-2</v>
      </c>
      <c r="AB25" s="49">
        <v>9.5177999999999798</v>
      </c>
      <c r="AC25" s="43">
        <f t="shared" si="24"/>
        <v>-0.19999999999953399</v>
      </c>
      <c r="AD25" s="44">
        <f t="shared" si="25"/>
        <v>-3.6000000000200298</v>
      </c>
      <c r="AE25" s="45">
        <f t="shared" si="26"/>
        <v>-9.99999999997669E-2</v>
      </c>
      <c r="AF25" s="50">
        <v>79260.400000000096</v>
      </c>
      <c r="AG25" s="58">
        <f t="shared" si="27"/>
        <v>73.400000000096</v>
      </c>
      <c r="AH25" s="61"/>
      <c r="AI25" s="52"/>
      <c r="AJ25" s="52"/>
      <c r="AK25" s="52"/>
      <c r="AL25" s="52"/>
      <c r="AM25" s="52"/>
    </row>
    <row r="26" spans="1:39">
      <c r="A26" s="21">
        <v>44541</v>
      </c>
      <c r="B26" s="22">
        <v>789.95809999999994</v>
      </c>
      <c r="C26" s="27">
        <v>7.0491999999999999</v>
      </c>
      <c r="D26" s="23">
        <f t="shared" si="28"/>
        <v>797.00729999999999</v>
      </c>
      <c r="E26" s="24">
        <f t="shared" si="29"/>
        <v>0.30000000003838101</v>
      </c>
      <c r="F26" s="25">
        <f t="shared" si="30"/>
        <v>-3.49999999991724</v>
      </c>
      <c r="G26" s="26">
        <f t="shared" si="31"/>
        <v>0.15000000001919001</v>
      </c>
      <c r="H26" s="6">
        <v>7.9207000000000001</v>
      </c>
      <c r="I26" s="35">
        <f t="shared" si="32"/>
        <v>797.87879999999996</v>
      </c>
      <c r="J26" s="24">
        <f t="shared" si="33"/>
        <v>0.49999999998817701</v>
      </c>
      <c r="K26" s="25">
        <f t="shared" si="34"/>
        <v>-2.8999999999541601</v>
      </c>
      <c r="L26" s="26">
        <f t="shared" si="35"/>
        <v>0.24999999999408801</v>
      </c>
      <c r="M26" s="6">
        <v>6.3692000000000002</v>
      </c>
      <c r="N26" s="35">
        <f t="shared" si="36"/>
        <v>796.32730000000004</v>
      </c>
      <c r="O26" s="24">
        <f t="shared" si="37"/>
        <v>-0.60000000007676102</v>
      </c>
      <c r="P26" s="25">
        <f t="shared" si="38"/>
        <v>-4.5999999999821704</v>
      </c>
      <c r="Q26" s="26">
        <f t="shared" si="39"/>
        <v>-0.30000000003838101</v>
      </c>
      <c r="R26" s="41"/>
      <c r="S26" s="21">
        <f t="shared" si="17"/>
        <v>44541</v>
      </c>
      <c r="T26" s="42">
        <v>10.7285</v>
      </c>
      <c r="U26" s="43">
        <f t="shared" si="18"/>
        <v>0.799999999999912</v>
      </c>
      <c r="V26" s="44">
        <f t="shared" si="19"/>
        <v>-2.6999999999990401</v>
      </c>
      <c r="W26" s="45">
        <f t="shared" si="20"/>
        <v>-0.399999999999956</v>
      </c>
      <c r="X26" s="29">
        <v>17.411000000000001</v>
      </c>
      <c r="Y26" s="43">
        <f t="shared" si="21"/>
        <v>-0.39999999999906799</v>
      </c>
      <c r="Z26" s="44">
        <f t="shared" si="22"/>
        <v>-3.3999999999991801</v>
      </c>
      <c r="AA26" s="45">
        <f t="shared" si="23"/>
        <v>-0.19999999999953399</v>
      </c>
      <c r="AB26" s="49">
        <v>9.5184999999999995</v>
      </c>
      <c r="AC26" s="43">
        <f t="shared" si="24"/>
        <v>0.70000000001968499</v>
      </c>
      <c r="AD26" s="44">
        <f t="shared" si="25"/>
        <v>-2.9000000000003499</v>
      </c>
      <c r="AE26" s="45">
        <f t="shared" si="26"/>
        <v>0.35000000000984199</v>
      </c>
      <c r="AF26" s="50">
        <v>79264.000000000102</v>
      </c>
      <c r="AG26" s="58">
        <f t="shared" si="27"/>
        <v>77.000000000101906</v>
      </c>
      <c r="AH26" s="61"/>
      <c r="AI26" s="60"/>
      <c r="AJ26" s="61"/>
      <c r="AK26" s="62"/>
      <c r="AL26" s="60"/>
      <c r="AM26" s="64"/>
    </row>
    <row r="27" spans="1:39">
      <c r="A27" s="21">
        <v>44543</v>
      </c>
      <c r="B27" s="22">
        <v>789.95809999999994</v>
      </c>
      <c r="C27" s="27">
        <v>7.0492999999999997</v>
      </c>
      <c r="D27" s="23">
        <f t="shared" si="28"/>
        <v>797.00739999999996</v>
      </c>
      <c r="E27" s="24">
        <f t="shared" si="29"/>
        <v>9.9999999974897905E-2</v>
      </c>
      <c r="F27" s="25">
        <f t="shared" si="30"/>
        <v>-3.3999999999423398</v>
      </c>
      <c r="G27" s="26">
        <f t="shared" si="31"/>
        <v>4.9999999987449001E-2</v>
      </c>
      <c r="H27" s="6">
        <v>7.9203999999999999</v>
      </c>
      <c r="I27" s="35">
        <f t="shared" si="32"/>
        <v>797.87850000000003</v>
      </c>
      <c r="J27" s="24">
        <f t="shared" si="33"/>
        <v>-0.30000000003838101</v>
      </c>
      <c r="K27" s="25">
        <f t="shared" si="34"/>
        <v>-3.1999999999925399</v>
      </c>
      <c r="L27" s="26">
        <f t="shared" si="35"/>
        <v>-0.15000000001919001</v>
      </c>
      <c r="M27" s="6">
        <v>6.37</v>
      </c>
      <c r="N27" s="35">
        <f t="shared" si="36"/>
        <v>796.32809999999995</v>
      </c>
      <c r="O27" s="24">
        <f t="shared" si="37"/>
        <v>0.80000000002655702</v>
      </c>
      <c r="P27" s="25">
        <f t="shared" si="38"/>
        <v>-3.7999999999556202</v>
      </c>
      <c r="Q27" s="26">
        <f t="shared" si="39"/>
        <v>0.40000000001327901</v>
      </c>
      <c r="R27" s="41"/>
      <c r="S27" s="21">
        <f t="shared" si="17"/>
        <v>44543</v>
      </c>
      <c r="T27" s="42">
        <v>10.7286</v>
      </c>
      <c r="U27" s="43">
        <f t="shared" si="18"/>
        <v>9.99999999997669E-2</v>
      </c>
      <c r="V27" s="44">
        <f t="shared" si="19"/>
        <v>-2.59999999999927</v>
      </c>
      <c r="W27" s="45">
        <f t="shared" si="20"/>
        <v>-4.9999999999883499E-2</v>
      </c>
      <c r="X27" s="29">
        <v>17.411000000000001</v>
      </c>
      <c r="Y27" s="43">
        <f t="shared" si="21"/>
        <v>0</v>
      </c>
      <c r="Z27" s="44">
        <f t="shared" si="22"/>
        <v>-3.3999999999991801</v>
      </c>
      <c r="AA27" s="45">
        <f t="shared" si="23"/>
        <v>0</v>
      </c>
      <c r="AB27" s="49">
        <v>9.5182000000000002</v>
      </c>
      <c r="AC27" s="43">
        <f t="shared" si="24"/>
        <v>-0.29999999999930099</v>
      </c>
      <c r="AD27" s="44">
        <f t="shared" si="25"/>
        <v>-3.1999999999996498</v>
      </c>
      <c r="AE27" s="45">
        <f t="shared" si="26"/>
        <v>-0.14999999999965</v>
      </c>
      <c r="AF27" s="50">
        <v>79267.600000000093</v>
      </c>
      <c r="AG27" s="58">
        <f t="shared" si="27"/>
        <v>80.600000000093104</v>
      </c>
      <c r="AH27" s="61"/>
      <c r="AI27" s="60"/>
      <c r="AJ27" s="61"/>
      <c r="AK27" s="62"/>
      <c r="AL27" s="60"/>
      <c r="AM27" s="64"/>
    </row>
    <row r="28" spans="1:39">
      <c r="A28" s="21">
        <v>44548</v>
      </c>
      <c r="B28" s="22">
        <v>789.95809999999994</v>
      </c>
      <c r="C28" s="27">
        <v>7.0495000000000001</v>
      </c>
      <c r="D28" s="23">
        <f t="shared" si="28"/>
        <v>797.00760000000002</v>
      </c>
      <c r="E28" s="24">
        <f t="shared" si="29"/>
        <v>0.199999999949796</v>
      </c>
      <c r="F28" s="25">
        <f t="shared" si="30"/>
        <v>-3.1999999999925399</v>
      </c>
      <c r="G28" s="26">
        <f t="shared" si="31"/>
        <v>3.9999999989959199E-2</v>
      </c>
      <c r="H28" s="6">
        <v>7.9206000000000003</v>
      </c>
      <c r="I28" s="35">
        <f t="shared" si="32"/>
        <v>797.87869999999998</v>
      </c>
      <c r="J28" s="24">
        <f t="shared" si="33"/>
        <v>0.20000000006348301</v>
      </c>
      <c r="K28" s="25">
        <f t="shared" si="34"/>
        <v>-2.9999999999290599</v>
      </c>
      <c r="L28" s="26">
        <f t="shared" si="35"/>
        <v>4.0000000012696497E-2</v>
      </c>
      <c r="M28" s="6">
        <v>6.3700999999999999</v>
      </c>
      <c r="N28" s="35">
        <f t="shared" si="36"/>
        <v>796.32820000000004</v>
      </c>
      <c r="O28" s="24">
        <f t="shared" si="37"/>
        <v>9.9999999974897905E-2</v>
      </c>
      <c r="P28" s="25">
        <f t="shared" si="38"/>
        <v>-3.69999999998072</v>
      </c>
      <c r="Q28" s="26">
        <f t="shared" si="39"/>
        <v>1.99999999949796E-2</v>
      </c>
      <c r="R28" s="41"/>
      <c r="S28" s="21">
        <f t="shared" si="17"/>
        <v>44548</v>
      </c>
      <c r="T28" s="42">
        <v>10.728300000000001</v>
      </c>
      <c r="U28" s="43">
        <f t="shared" si="18"/>
        <v>-0.29999999999930099</v>
      </c>
      <c r="V28" s="44">
        <f t="shared" si="19"/>
        <v>-2.8999999999985699</v>
      </c>
      <c r="W28" s="45">
        <f t="shared" si="20"/>
        <v>5.99999999998602E-2</v>
      </c>
      <c r="X28" s="29">
        <v>17.411300000000001</v>
      </c>
      <c r="Y28" s="43">
        <f t="shared" si="21"/>
        <v>0.29999999999930099</v>
      </c>
      <c r="Z28" s="44">
        <f t="shared" si="22"/>
        <v>-3.0999999999998802</v>
      </c>
      <c r="AA28" s="45">
        <f t="shared" si="23"/>
        <v>5.99999999998602E-2</v>
      </c>
      <c r="AB28" s="49">
        <v>9.5183</v>
      </c>
      <c r="AC28" s="43">
        <f t="shared" si="24"/>
        <v>9.99999999997669E-2</v>
      </c>
      <c r="AD28" s="44">
        <f t="shared" si="25"/>
        <v>-3.0999999999998802</v>
      </c>
      <c r="AE28" s="45">
        <f t="shared" si="26"/>
        <v>1.9999999999953399E-2</v>
      </c>
      <c r="AF28" s="50">
        <v>79271.200000000099</v>
      </c>
      <c r="AG28" s="58">
        <f t="shared" si="27"/>
        <v>84.200000000098996</v>
      </c>
      <c r="AH28" s="61"/>
      <c r="AI28" s="60"/>
      <c r="AJ28" s="61"/>
      <c r="AK28" s="62"/>
      <c r="AL28" s="60"/>
      <c r="AM28" s="64"/>
    </row>
    <row r="29" spans="1:39">
      <c r="A29" s="21">
        <v>44553</v>
      </c>
      <c r="B29" s="22">
        <v>789.95809999999994</v>
      </c>
      <c r="C29" s="27">
        <v>7.0496999999999996</v>
      </c>
      <c r="D29" s="23">
        <f t="shared" si="28"/>
        <v>797.00779999999997</v>
      </c>
      <c r="E29" s="24">
        <f t="shared" si="29"/>
        <v>0.20000000006348301</v>
      </c>
      <c r="F29" s="25">
        <f t="shared" si="30"/>
        <v>-2.9999999999290599</v>
      </c>
      <c r="G29" s="26">
        <f t="shared" si="31"/>
        <v>4.0000000012696497E-2</v>
      </c>
      <c r="H29" s="6">
        <v>7.9207999999999998</v>
      </c>
      <c r="I29" s="35">
        <f t="shared" si="32"/>
        <v>797.87890000000004</v>
      </c>
      <c r="J29" s="24">
        <f t="shared" si="33"/>
        <v>0.199999999949796</v>
      </c>
      <c r="K29" s="25">
        <f t="shared" si="34"/>
        <v>-2.79999999997926</v>
      </c>
      <c r="L29" s="26">
        <f t="shared" si="35"/>
        <v>3.9999999989959199E-2</v>
      </c>
      <c r="M29" s="6">
        <v>6.3701999999999996</v>
      </c>
      <c r="N29" s="35">
        <f t="shared" si="36"/>
        <v>796.32830000000001</v>
      </c>
      <c r="O29" s="24">
        <f t="shared" si="37"/>
        <v>9.9999999974897905E-2</v>
      </c>
      <c r="P29" s="25">
        <f t="shared" si="38"/>
        <v>-3.6000000000058199</v>
      </c>
      <c r="Q29" s="26">
        <f t="shared" si="39"/>
        <v>1.99999999949796E-2</v>
      </c>
      <c r="R29" s="41"/>
      <c r="S29" s="21">
        <f t="shared" si="17"/>
        <v>44553</v>
      </c>
      <c r="T29" s="42">
        <v>10.728</v>
      </c>
      <c r="U29" s="43">
        <f t="shared" si="18"/>
        <v>-0.30000000000107702</v>
      </c>
      <c r="V29" s="44">
        <f t="shared" si="19"/>
        <v>-3.1999999999996498</v>
      </c>
      <c r="W29" s="45">
        <f t="shared" si="20"/>
        <v>6.0000000000215402E-2</v>
      </c>
      <c r="X29" s="29">
        <v>17.4116</v>
      </c>
      <c r="Y29" s="43">
        <f t="shared" si="21"/>
        <v>0.29999999999930099</v>
      </c>
      <c r="Z29" s="44">
        <f t="shared" si="22"/>
        <v>-2.8000000000005798</v>
      </c>
      <c r="AA29" s="45">
        <f t="shared" si="23"/>
        <v>5.99999999998602E-2</v>
      </c>
      <c r="AB29" s="49">
        <v>9.5183999999999997</v>
      </c>
      <c r="AC29" s="43">
        <f t="shared" si="24"/>
        <v>9.99999999997669E-2</v>
      </c>
      <c r="AD29" s="44">
        <f t="shared" si="25"/>
        <v>-3.0000000000001101</v>
      </c>
      <c r="AE29" s="45">
        <f t="shared" si="26"/>
        <v>1.9999999999953399E-2</v>
      </c>
      <c r="AF29" s="50">
        <v>79274.800000000105</v>
      </c>
      <c r="AG29" s="58">
        <f t="shared" si="27"/>
        <v>87.800000000104802</v>
      </c>
      <c r="AH29" s="61"/>
      <c r="AI29" s="60"/>
      <c r="AJ29" s="61"/>
      <c r="AK29" s="62"/>
      <c r="AL29" s="60"/>
      <c r="AM29" s="64"/>
    </row>
    <row r="30" spans="1:39">
      <c r="A30" s="21">
        <v>44558</v>
      </c>
      <c r="B30" s="22">
        <v>789.95809999999994</v>
      </c>
      <c r="C30" s="27">
        <v>7.0495000000000001</v>
      </c>
      <c r="D30" s="23">
        <f t="shared" si="28"/>
        <v>797.00760000000002</v>
      </c>
      <c r="E30" s="24">
        <f t="shared" si="29"/>
        <v>-0.20000000006348301</v>
      </c>
      <c r="F30" s="25">
        <f t="shared" si="30"/>
        <v>-3.1999999999925399</v>
      </c>
      <c r="G30" s="26">
        <f t="shared" si="31"/>
        <v>-4.0000000012696497E-2</v>
      </c>
      <c r="H30" s="6">
        <v>7.9204999999999997</v>
      </c>
      <c r="I30" s="35">
        <f t="shared" si="32"/>
        <v>797.87860000000001</v>
      </c>
      <c r="J30" s="24">
        <f t="shared" si="33"/>
        <v>-0.30000000003838101</v>
      </c>
      <c r="K30" s="25">
        <f t="shared" si="34"/>
        <v>-3.1000000000176402</v>
      </c>
      <c r="L30" s="26">
        <f t="shared" si="35"/>
        <v>-6.0000000007676101E-2</v>
      </c>
      <c r="M30" s="6">
        <v>6.37</v>
      </c>
      <c r="N30" s="35">
        <f t="shared" si="36"/>
        <v>796.32809999999995</v>
      </c>
      <c r="O30" s="24">
        <f t="shared" si="37"/>
        <v>-0.199999999949796</v>
      </c>
      <c r="P30" s="25">
        <f t="shared" si="38"/>
        <v>-3.7999999999556202</v>
      </c>
      <c r="Q30" s="26">
        <f t="shared" si="39"/>
        <v>-3.9999999989959199E-2</v>
      </c>
      <c r="R30" s="41"/>
      <c r="S30" s="21">
        <f t="shared" si="17"/>
        <v>44558</v>
      </c>
      <c r="T30" s="42">
        <v>10.7281</v>
      </c>
      <c r="U30" s="43">
        <f t="shared" si="18"/>
        <v>9.99999999997669E-2</v>
      </c>
      <c r="V30" s="44">
        <f t="shared" si="19"/>
        <v>-3.0999999999998802</v>
      </c>
      <c r="W30" s="45">
        <f t="shared" si="20"/>
        <v>-1.9999999999953399E-2</v>
      </c>
      <c r="X30" s="29">
        <v>17.411300000000001</v>
      </c>
      <c r="Y30" s="43">
        <f t="shared" si="21"/>
        <v>-0.29999999999930099</v>
      </c>
      <c r="Z30" s="44">
        <f t="shared" si="22"/>
        <v>-3.0999999999998802</v>
      </c>
      <c r="AA30" s="45">
        <f t="shared" si="23"/>
        <v>-5.99999999998602E-2</v>
      </c>
      <c r="AB30" s="49">
        <v>9.5182000000000002</v>
      </c>
      <c r="AC30" s="43">
        <f t="shared" si="24"/>
        <v>-0.19999999999953399</v>
      </c>
      <c r="AD30" s="44">
        <f t="shared" si="25"/>
        <v>-3.1999999999996498</v>
      </c>
      <c r="AE30" s="45">
        <f t="shared" si="26"/>
        <v>-3.9999999999906798E-2</v>
      </c>
      <c r="AF30" s="50">
        <v>79285</v>
      </c>
      <c r="AG30" s="58">
        <f t="shared" si="27"/>
        <v>98</v>
      </c>
      <c r="AH30" s="61"/>
      <c r="AI30" s="60"/>
      <c r="AJ30"/>
      <c r="AK30"/>
      <c r="AL30"/>
      <c r="AM30"/>
    </row>
    <row r="31" spans="1:39">
      <c r="A31" s="21">
        <v>44563</v>
      </c>
      <c r="B31" s="22">
        <v>789.95809999999994</v>
      </c>
      <c r="C31" s="27">
        <v>7.0495999999999999</v>
      </c>
      <c r="D31" s="23">
        <f t="shared" si="28"/>
        <v>797.0077</v>
      </c>
      <c r="E31" s="24">
        <f t="shared" si="29"/>
        <v>0.10000000008858501</v>
      </c>
      <c r="F31" s="25">
        <f t="shared" si="30"/>
        <v>-3.09999999990396</v>
      </c>
      <c r="G31" s="26">
        <f t="shared" si="31"/>
        <v>2.0000000017716998E-2</v>
      </c>
      <c r="H31" s="6">
        <v>7.9200999999999997</v>
      </c>
      <c r="I31" s="35">
        <f t="shared" si="32"/>
        <v>797.87819999999999</v>
      </c>
      <c r="J31" s="24">
        <f t="shared" si="33"/>
        <v>-0.39999999989959201</v>
      </c>
      <c r="K31" s="25">
        <f t="shared" si="34"/>
        <v>-3.49999999991724</v>
      </c>
      <c r="L31" s="26">
        <f t="shared" si="35"/>
        <v>-7.9999999979918399E-2</v>
      </c>
      <c r="M31" s="6">
        <v>6.3701999999999996</v>
      </c>
      <c r="N31" s="35">
        <f t="shared" si="36"/>
        <v>796.32830000000001</v>
      </c>
      <c r="O31" s="24">
        <f t="shared" si="37"/>
        <v>0.199999999949796</v>
      </c>
      <c r="P31" s="25">
        <f t="shared" si="38"/>
        <v>-3.6000000000058199</v>
      </c>
      <c r="Q31" s="26">
        <f t="shared" si="39"/>
        <v>3.9999999989959199E-2</v>
      </c>
      <c r="R31" s="41"/>
      <c r="S31" s="21">
        <f t="shared" si="17"/>
        <v>44563</v>
      </c>
      <c r="T31" s="42">
        <v>10.728199999999999</v>
      </c>
      <c r="U31" s="43">
        <f t="shared" si="18"/>
        <v>9.99999999997669E-2</v>
      </c>
      <c r="V31" s="44">
        <f t="shared" si="19"/>
        <v>-3.0000000000001101</v>
      </c>
      <c r="W31" s="45">
        <f t="shared" si="20"/>
        <v>-1.9999999999953399E-2</v>
      </c>
      <c r="X31" s="29">
        <v>17.4114</v>
      </c>
      <c r="Y31" s="43">
        <f t="shared" si="21"/>
        <v>9.99999999997669E-2</v>
      </c>
      <c r="Z31" s="44">
        <f t="shared" si="22"/>
        <v>-3.0000000000001101</v>
      </c>
      <c r="AA31" s="45">
        <f t="shared" si="23"/>
        <v>1.9999999999953399E-2</v>
      </c>
      <c r="AB31" s="49">
        <v>9.5183</v>
      </c>
      <c r="AC31" s="43">
        <f t="shared" si="24"/>
        <v>9.99999999997669E-2</v>
      </c>
      <c r="AD31" s="44">
        <f t="shared" si="25"/>
        <v>-3.0999999999998802</v>
      </c>
      <c r="AE31" s="45">
        <f t="shared" si="26"/>
        <v>1.9999999999953399E-2</v>
      </c>
      <c r="AF31" s="50">
        <v>79309</v>
      </c>
      <c r="AG31" s="58">
        <f t="shared" si="27"/>
        <v>122</v>
      </c>
      <c r="AH31" s="61"/>
      <c r="AI31" s="60"/>
      <c r="AJ31" s="61"/>
      <c r="AK31" s="62"/>
      <c r="AL31" s="60"/>
      <c r="AM31" s="64"/>
    </row>
    <row r="32" spans="1:39">
      <c r="A32" s="21">
        <v>44581</v>
      </c>
      <c r="B32" s="22">
        <v>789.95809999999994</v>
      </c>
      <c r="C32" s="27">
        <v>7.0496999999999996</v>
      </c>
      <c r="D32" s="23">
        <f t="shared" si="28"/>
        <v>797.00779999999997</v>
      </c>
      <c r="E32" s="24">
        <f t="shared" si="29"/>
        <v>9.9999999974897905E-2</v>
      </c>
      <c r="F32" s="25">
        <f t="shared" si="30"/>
        <v>-2.9999999999290599</v>
      </c>
      <c r="G32" s="26">
        <f t="shared" si="31"/>
        <v>5.5555555541610003E-3</v>
      </c>
      <c r="H32" s="6">
        <v>7.9196999999999997</v>
      </c>
      <c r="I32" s="35">
        <f t="shared" si="32"/>
        <v>797.87779999999998</v>
      </c>
      <c r="J32" s="24">
        <f t="shared" si="33"/>
        <v>-0.40000000001327901</v>
      </c>
      <c r="K32" s="25">
        <f t="shared" si="34"/>
        <v>-3.8999999999305102</v>
      </c>
      <c r="L32" s="26">
        <f t="shared" si="35"/>
        <v>-2.22222222229599E-2</v>
      </c>
      <c r="M32" s="6">
        <v>6.3704000000000001</v>
      </c>
      <c r="N32" s="35">
        <f t="shared" si="36"/>
        <v>796.32849999999996</v>
      </c>
      <c r="O32" s="24">
        <f t="shared" si="37"/>
        <v>0.20000000006348301</v>
      </c>
      <c r="P32" s="25">
        <f t="shared" si="38"/>
        <v>-3.3999999999423398</v>
      </c>
      <c r="Q32" s="26">
        <f t="shared" si="39"/>
        <v>1.11111111146379E-2</v>
      </c>
      <c r="R32" s="41"/>
      <c r="S32" s="21">
        <v>44581</v>
      </c>
      <c r="T32" s="42">
        <v>10.728300000000001</v>
      </c>
      <c r="U32" s="43">
        <f t="shared" si="18"/>
        <v>0.10000000000154299</v>
      </c>
      <c r="V32" s="44">
        <f t="shared" si="19"/>
        <v>-2.8999999999985699</v>
      </c>
      <c r="W32" s="45">
        <f t="shared" si="20"/>
        <v>-5.5555555556412901E-3</v>
      </c>
      <c r="X32" s="29">
        <v>17.4115</v>
      </c>
      <c r="Y32" s="43">
        <f t="shared" si="21"/>
        <v>9.99999999997669E-2</v>
      </c>
      <c r="Z32" s="44">
        <f t="shared" si="22"/>
        <v>-2.9000000000003499</v>
      </c>
      <c r="AA32" s="45">
        <f t="shared" si="23"/>
        <v>5.5555555555426104E-3</v>
      </c>
      <c r="AB32" s="49">
        <v>9.5183999999999997</v>
      </c>
      <c r="AC32" s="43">
        <f t="shared" si="24"/>
        <v>9.99999999997669E-2</v>
      </c>
      <c r="AD32" s="44">
        <f t="shared" si="25"/>
        <v>-3.0000000000001101</v>
      </c>
      <c r="AE32" s="45">
        <f t="shared" si="26"/>
        <v>5.5555555555426104E-3</v>
      </c>
      <c r="AF32" s="50">
        <v>79333</v>
      </c>
      <c r="AG32" s="58">
        <f t="shared" si="27"/>
        <v>146</v>
      </c>
      <c r="AH32" s="61"/>
      <c r="AI32" s="60"/>
      <c r="AJ32"/>
      <c r="AK32"/>
      <c r="AL32"/>
      <c r="AM32"/>
    </row>
    <row r="33" spans="1:39">
      <c r="A33" s="21">
        <v>44602</v>
      </c>
      <c r="B33" s="22">
        <v>789.95809999999994</v>
      </c>
      <c r="C33" s="27">
        <v>7.0495000000000001</v>
      </c>
      <c r="D33" s="23">
        <f t="shared" si="28"/>
        <v>797.00760000000002</v>
      </c>
      <c r="E33" s="24">
        <f t="shared" si="29"/>
        <v>-0.20000000006348301</v>
      </c>
      <c r="F33" s="25">
        <f t="shared" si="30"/>
        <v>-3.1999999999925399</v>
      </c>
      <c r="G33" s="26">
        <f t="shared" si="31"/>
        <v>-9.5238095268325093E-3</v>
      </c>
      <c r="H33" s="6">
        <v>7.9196</v>
      </c>
      <c r="I33" s="35">
        <f t="shared" si="32"/>
        <v>797.8777</v>
      </c>
      <c r="J33" s="24">
        <f t="shared" si="33"/>
        <v>-0.10000000008858501</v>
      </c>
      <c r="K33" s="25">
        <f t="shared" si="34"/>
        <v>-4.0000000000191003</v>
      </c>
      <c r="L33" s="26">
        <f t="shared" si="35"/>
        <v>-4.7619047661230903E-3</v>
      </c>
      <c r="M33" s="6">
        <v>6.3704999999999998</v>
      </c>
      <c r="N33" s="35">
        <f t="shared" si="36"/>
        <v>796.32860000000005</v>
      </c>
      <c r="O33" s="24">
        <f t="shared" si="37"/>
        <v>9.9999999974897905E-2</v>
      </c>
      <c r="P33" s="25">
        <f t="shared" si="38"/>
        <v>-3.2999999999674401</v>
      </c>
      <c r="Q33" s="26">
        <f t="shared" si="39"/>
        <v>4.7619047607094303E-3</v>
      </c>
      <c r="R33" s="41"/>
      <c r="S33" s="21">
        <v>44602</v>
      </c>
      <c r="T33" s="42">
        <v>10.7281</v>
      </c>
      <c r="U33" s="43">
        <f t="shared" si="18"/>
        <v>-0.20000000000130999</v>
      </c>
      <c r="V33" s="44">
        <f t="shared" si="19"/>
        <v>-3.0999999999998802</v>
      </c>
      <c r="W33" s="45">
        <f t="shared" si="20"/>
        <v>9.5238095238719192E-3</v>
      </c>
      <c r="X33" s="29">
        <v>17.411200000000001</v>
      </c>
      <c r="Y33" s="43">
        <f t="shared" si="21"/>
        <v>-0.29999999999930099</v>
      </c>
      <c r="Z33" s="44">
        <f t="shared" si="22"/>
        <v>-3.1999999999996498</v>
      </c>
      <c r="AA33" s="45">
        <f t="shared" si="23"/>
        <v>-1.4285714285680999E-2</v>
      </c>
      <c r="AB33" s="49">
        <v>9.5183</v>
      </c>
      <c r="AC33" s="43">
        <f t="shared" si="24"/>
        <v>-9.99999999997669E-2</v>
      </c>
      <c r="AD33" s="44">
        <f t="shared" si="25"/>
        <v>-3.0999999999998802</v>
      </c>
      <c r="AE33" s="45">
        <f t="shared" si="26"/>
        <v>-4.7619047618936601E-3</v>
      </c>
      <c r="AF33" s="50">
        <v>79357</v>
      </c>
      <c r="AG33" s="58">
        <f t="shared" si="27"/>
        <v>170</v>
      </c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21"/>
      <c r="B35" s="22"/>
      <c r="C35" s="27"/>
      <c r="D35" s="23"/>
      <c r="E35" s="65">
        <f>F33-F32</f>
        <v>-0.20000000006348301</v>
      </c>
      <c r="F35" s="33">
        <f>K33-K32</f>
        <v>-0.10000000008858501</v>
      </c>
      <c r="G35" s="33">
        <f>P33-P32</f>
        <v>9.9999999974897905E-2</v>
      </c>
      <c r="H35" s="68">
        <f>F33</f>
        <v>-3.1999999999925399</v>
      </c>
      <c r="I35" s="69">
        <f>K33</f>
        <v>-4.0000000000191003</v>
      </c>
      <c r="J35" s="65">
        <f>P33</f>
        <v>-3.2999999999674401</v>
      </c>
      <c r="K35" s="33">
        <f>(F33-F32)/30</f>
        <v>-6.66666666878276E-3</v>
      </c>
      <c r="L35" s="26"/>
      <c r="N35" s="35"/>
      <c r="O35" s="24"/>
      <c r="P35" s="25"/>
      <c r="Q35" s="26"/>
      <c r="R35" s="41"/>
      <c r="S35" s="21"/>
      <c r="T35" s="42"/>
      <c r="U35" s="65">
        <f>V33-V32</f>
        <v>-0.20000000000130999</v>
      </c>
      <c r="V35" s="33">
        <f>Z33-Z32</f>
        <v>-0.29999999999930099</v>
      </c>
      <c r="W35" s="33">
        <f>AD33-AD32</f>
        <v>-9.99999999997669E-2</v>
      </c>
      <c r="X35" s="33">
        <f>V33</f>
        <v>-3.0999999999998802</v>
      </c>
      <c r="Y35" s="65">
        <f>Z33</f>
        <v>-3.1999999999996498</v>
      </c>
      <c r="Z35" s="33">
        <f>AD33</f>
        <v>-3.0999999999998802</v>
      </c>
      <c r="AA35" s="33">
        <f>(Z33-Z32)/30</f>
        <v>-9.9999999999766907E-3</v>
      </c>
      <c r="AB35" s="49"/>
      <c r="AC35" s="43"/>
      <c r="AD35" s="44"/>
      <c r="AE35" s="45"/>
      <c r="AF35" s="50"/>
      <c r="AG35" s="58"/>
      <c r="AH35" s="61"/>
      <c r="AI35" s="60"/>
      <c r="AJ35"/>
      <c r="AK35"/>
      <c r="AL35"/>
      <c r="AM35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3"/>
  <sheetViews>
    <sheetView topLeftCell="R24" workbookViewId="0">
      <selection activeCell="E33" sqref="E33:K3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44521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44521</v>
      </c>
      <c r="B6" s="22">
        <v>789.95809999999994</v>
      </c>
      <c r="C6" s="27">
        <v>7.4984999999999999</v>
      </c>
      <c r="D6" s="23">
        <f t="shared" ref="D6:D31" si="0">C6+B6</f>
        <v>797.45659999999998</v>
      </c>
      <c r="E6" s="24">
        <v>0</v>
      </c>
      <c r="F6" s="25">
        <v>0</v>
      </c>
      <c r="G6" s="26">
        <v>0</v>
      </c>
      <c r="H6" s="6">
        <v>8.1982999999999997</v>
      </c>
      <c r="I6" s="35">
        <f t="shared" ref="I6:I31" si="1">H6+B6</f>
        <v>798.15639999999996</v>
      </c>
      <c r="J6" s="24">
        <v>0</v>
      </c>
      <c r="K6" s="25">
        <v>0</v>
      </c>
      <c r="L6" s="26">
        <v>0</v>
      </c>
      <c r="M6" s="6">
        <v>6.8465999999999996</v>
      </c>
      <c r="N6" s="35">
        <f t="shared" ref="N6:N31" si="2">M6+B6</f>
        <v>796.80470000000003</v>
      </c>
      <c r="O6" s="24">
        <v>0</v>
      </c>
      <c r="P6" s="25">
        <v>0</v>
      </c>
      <c r="Q6" s="26">
        <v>0</v>
      </c>
      <c r="R6" s="41"/>
      <c r="S6" s="21">
        <f t="shared" ref="S6:S28" si="3">A6</f>
        <v>44521</v>
      </c>
      <c r="T6" s="42">
        <v>10.341200000000001</v>
      </c>
      <c r="U6" s="43">
        <v>0</v>
      </c>
      <c r="V6" s="44">
        <v>0</v>
      </c>
      <c r="W6" s="45">
        <f>U6/(S6-S11)</f>
        <v>0</v>
      </c>
      <c r="X6" s="29">
        <v>17.354199999999999</v>
      </c>
      <c r="Y6" s="43">
        <v>0</v>
      </c>
      <c r="Z6" s="44">
        <v>0</v>
      </c>
      <c r="AA6" s="45">
        <v>0</v>
      </c>
      <c r="AB6" s="49">
        <v>9.7888999999999999</v>
      </c>
      <c r="AC6" s="43">
        <v>0</v>
      </c>
      <c r="AD6" s="44">
        <v>0</v>
      </c>
      <c r="AE6" s="45">
        <v>0</v>
      </c>
      <c r="AF6" s="50">
        <v>79206</v>
      </c>
      <c r="AG6" s="58">
        <f>AF6-79202</f>
        <v>4</v>
      </c>
      <c r="AH6" s="59"/>
      <c r="AI6" s="60"/>
      <c r="AJ6" s="61"/>
      <c r="AK6" s="62"/>
      <c r="AL6" s="52"/>
      <c r="AM6" s="52"/>
    </row>
    <row r="7" spans="1:39">
      <c r="A7" s="21">
        <v>44522</v>
      </c>
      <c r="B7" s="22">
        <v>789.95809999999994</v>
      </c>
      <c r="C7" s="27">
        <v>7.4983000000000004</v>
      </c>
      <c r="D7" s="23">
        <f t="shared" si="0"/>
        <v>797.45640000000003</v>
      </c>
      <c r="E7" s="24">
        <f t="shared" ref="E7:E31" si="4">(D7-D6)*1000</f>
        <v>-0.20000000006348301</v>
      </c>
      <c r="F7" s="25">
        <f t="shared" ref="F7:F31" si="5">F6+E7</f>
        <v>-0.20000000006348301</v>
      </c>
      <c r="G7" s="26">
        <f t="shared" ref="G7:G31" si="6">E7/(A7-A6)</f>
        <v>-0.20000000006348301</v>
      </c>
      <c r="H7" s="6">
        <v>8.1984999999999992</v>
      </c>
      <c r="I7" s="35">
        <f t="shared" si="1"/>
        <v>798.15660000000003</v>
      </c>
      <c r="J7" s="24">
        <f t="shared" ref="J7:J31" si="7">(I7-I6)*1000</f>
        <v>0.199999999949796</v>
      </c>
      <c r="K7" s="25">
        <f t="shared" ref="K7:K31" si="8">K6+J7</f>
        <v>0.199999999949796</v>
      </c>
      <c r="L7" s="26">
        <f t="shared" ref="L7:L31" si="9">J7/(A7-A6)</f>
        <v>0.199999999949796</v>
      </c>
      <c r="M7" s="6">
        <v>6.8457999999999997</v>
      </c>
      <c r="N7" s="35">
        <f t="shared" si="2"/>
        <v>796.8039</v>
      </c>
      <c r="O7" s="24">
        <f t="shared" ref="O7:O31" si="10">(N7-N6)*1000</f>
        <v>-0.79999999991286996</v>
      </c>
      <c r="P7" s="25">
        <f t="shared" ref="P7:P31" si="11">P6+O7</f>
        <v>-0.79999999991286996</v>
      </c>
      <c r="Q7" s="26">
        <f t="shared" ref="Q7:Q31" si="12">O7/(A7-A6)</f>
        <v>-0.79999999991286996</v>
      </c>
      <c r="R7" s="41"/>
      <c r="S7" s="21">
        <f t="shared" si="3"/>
        <v>44522</v>
      </c>
      <c r="T7" s="42">
        <v>10.341799999999999</v>
      </c>
      <c r="U7" s="43">
        <f t="shared" ref="U7:U31" si="13">(T7-T6)*1000</f>
        <v>0.59999999999860198</v>
      </c>
      <c r="V7" s="44">
        <f t="shared" ref="V7:V31" si="14">V6+U7</f>
        <v>0.59999999999860198</v>
      </c>
      <c r="W7" s="45">
        <f t="shared" ref="W7:W31" si="15">U7/(S6-S7)</f>
        <v>-0.59999999999860198</v>
      </c>
      <c r="X7" s="29">
        <v>17.354800000000001</v>
      </c>
      <c r="Y7" s="43">
        <f t="shared" ref="Y7:Y31" si="16">(X7-X6)*1000</f>
        <v>0.60000000000215403</v>
      </c>
      <c r="Z7" s="44">
        <f t="shared" ref="Z7:Z31" si="17">Z6+Y7</f>
        <v>0.60000000000215403</v>
      </c>
      <c r="AA7" s="45">
        <f t="shared" ref="AA7:AA31" si="18">Y7/(S7-S6)</f>
        <v>0.60000000000215403</v>
      </c>
      <c r="AB7" s="49">
        <v>9.7887000000000004</v>
      </c>
      <c r="AC7" s="43">
        <f t="shared" ref="AC7:AC31" si="19">(AB7-AB6)*1000</f>
        <v>-0.19999999999953399</v>
      </c>
      <c r="AD7" s="44">
        <f t="shared" ref="AD7:AD31" si="20">AD6+AC7</f>
        <v>-0.19999999999953399</v>
      </c>
      <c r="AE7" s="45">
        <f t="shared" ref="AE7:AE31" si="21">AC7/(S7-S6)</f>
        <v>-0.19999999999953399</v>
      </c>
      <c r="AF7" s="50">
        <v>79209.600000000006</v>
      </c>
      <c r="AG7" s="58">
        <f t="shared" ref="AG7:AG31" si="22">AF7-79202</f>
        <v>7.6000000000058199</v>
      </c>
      <c r="AH7" s="59"/>
      <c r="AI7" s="60"/>
      <c r="AJ7" s="61"/>
      <c r="AK7" s="62"/>
      <c r="AL7" s="52"/>
      <c r="AM7" s="52"/>
    </row>
    <row r="8" spans="1:39">
      <c r="A8" s="21">
        <v>44523</v>
      </c>
      <c r="B8" s="22">
        <v>789.95809999999994</v>
      </c>
      <c r="C8" s="27">
        <v>7.4988999999999999</v>
      </c>
      <c r="D8" s="23">
        <f t="shared" si="0"/>
        <v>797.45699999999999</v>
      </c>
      <c r="E8" s="24">
        <f t="shared" si="4"/>
        <v>0.60000000007676102</v>
      </c>
      <c r="F8" s="25">
        <f t="shared" si="5"/>
        <v>0.40000000001327901</v>
      </c>
      <c r="G8" s="26">
        <f t="shared" si="6"/>
        <v>0.60000000007676102</v>
      </c>
      <c r="H8" s="6">
        <v>8.1982999999999997</v>
      </c>
      <c r="I8" s="35">
        <f t="shared" si="1"/>
        <v>798.15639999999996</v>
      </c>
      <c r="J8" s="24">
        <f t="shared" si="7"/>
        <v>-0.199999999949796</v>
      </c>
      <c r="K8" s="25">
        <f t="shared" si="8"/>
        <v>0</v>
      </c>
      <c r="L8" s="26">
        <f t="shared" si="9"/>
        <v>-0.199999999949796</v>
      </c>
      <c r="M8" s="6">
        <v>6.8455000000000004</v>
      </c>
      <c r="N8" s="35">
        <f t="shared" si="2"/>
        <v>796.80359999999996</v>
      </c>
      <c r="O8" s="24">
        <f t="shared" si="10"/>
        <v>-0.30000000003838101</v>
      </c>
      <c r="P8" s="25">
        <f t="shared" si="11"/>
        <v>-1.09999999995125</v>
      </c>
      <c r="Q8" s="26">
        <f t="shared" si="12"/>
        <v>-0.30000000003838101</v>
      </c>
      <c r="R8" s="41"/>
      <c r="S8" s="21">
        <f t="shared" si="3"/>
        <v>44523</v>
      </c>
      <c r="T8" s="42">
        <v>10.3405</v>
      </c>
      <c r="U8" s="43">
        <f t="shared" si="13"/>
        <v>-1.2999999999987499</v>
      </c>
      <c r="V8" s="44">
        <f t="shared" si="14"/>
        <v>-0.70000000000014495</v>
      </c>
      <c r="W8" s="45">
        <f t="shared" si="15"/>
        <v>1.2999999999987499</v>
      </c>
      <c r="X8" s="29">
        <v>17.356200000000001</v>
      </c>
      <c r="Y8" s="43">
        <f t="shared" si="16"/>
        <v>1.4000000000002899</v>
      </c>
      <c r="Z8" s="44">
        <f t="shared" si="17"/>
        <v>2.0000000000024398</v>
      </c>
      <c r="AA8" s="45">
        <f t="shared" si="18"/>
        <v>1.4000000000002899</v>
      </c>
      <c r="AB8" s="49">
        <v>9.7891999999999992</v>
      </c>
      <c r="AC8" s="43">
        <f t="shared" si="19"/>
        <v>0.49999999999883499</v>
      </c>
      <c r="AD8" s="44">
        <f t="shared" si="20"/>
        <v>0.29999999999930099</v>
      </c>
      <c r="AE8" s="45">
        <f t="shared" si="21"/>
        <v>0.49999999999883499</v>
      </c>
      <c r="AF8" s="50">
        <v>79213.2</v>
      </c>
      <c r="AG8" s="58">
        <f t="shared" si="22"/>
        <v>11.1999999999971</v>
      </c>
      <c r="AH8" s="59"/>
      <c r="AI8" s="60"/>
      <c r="AJ8" s="61"/>
      <c r="AK8" s="62"/>
      <c r="AL8" s="52"/>
      <c r="AM8" s="52"/>
    </row>
    <row r="9" spans="1:39">
      <c r="A9" s="21">
        <v>44524</v>
      </c>
      <c r="B9" s="22">
        <v>789.95809999999994</v>
      </c>
      <c r="C9" s="27">
        <v>7.4978999999999996</v>
      </c>
      <c r="D9" s="23">
        <f t="shared" si="0"/>
        <v>797.45600000000002</v>
      </c>
      <c r="E9" s="24">
        <f t="shared" si="4"/>
        <v>-1.00000000009004</v>
      </c>
      <c r="F9" s="25">
        <f t="shared" si="5"/>
        <v>-0.60000000007676102</v>
      </c>
      <c r="G9" s="26">
        <f t="shared" si="6"/>
        <v>-1.00000000009004</v>
      </c>
      <c r="H9" s="6">
        <v>8.1980000000000004</v>
      </c>
      <c r="I9" s="35">
        <f t="shared" si="1"/>
        <v>798.15610000000004</v>
      </c>
      <c r="J9" s="24">
        <f t="shared" si="7"/>
        <v>-0.30000000003838101</v>
      </c>
      <c r="K9" s="25">
        <f t="shared" si="8"/>
        <v>-0.30000000003838101</v>
      </c>
      <c r="L9" s="26">
        <f t="shared" si="9"/>
        <v>-0.30000000003838101</v>
      </c>
      <c r="M9" s="6">
        <v>6.8452999999999999</v>
      </c>
      <c r="N9" s="35">
        <f t="shared" si="2"/>
        <v>796.80340000000001</v>
      </c>
      <c r="O9" s="24">
        <f t="shared" si="10"/>
        <v>-0.20000000006348301</v>
      </c>
      <c r="P9" s="25">
        <f t="shared" si="11"/>
        <v>-1.30000000001473</v>
      </c>
      <c r="Q9" s="26">
        <f t="shared" si="12"/>
        <v>-0.20000000006348301</v>
      </c>
      <c r="R9" s="41"/>
      <c r="S9" s="21">
        <f t="shared" si="3"/>
        <v>44524</v>
      </c>
      <c r="T9" s="42">
        <v>10.3408</v>
      </c>
      <c r="U9" s="43">
        <f t="shared" si="13"/>
        <v>0.29999999999930099</v>
      </c>
      <c r="V9" s="44">
        <f t="shared" si="14"/>
        <v>-0.40000000000084401</v>
      </c>
      <c r="W9" s="45">
        <f t="shared" si="15"/>
        <v>-0.29999999999930099</v>
      </c>
      <c r="X9" s="29">
        <v>17.354800000000001</v>
      </c>
      <c r="Y9" s="43">
        <f t="shared" si="16"/>
        <v>-1.4000000000002899</v>
      </c>
      <c r="Z9" s="44">
        <f t="shared" si="17"/>
        <v>0.60000000000215403</v>
      </c>
      <c r="AA9" s="45">
        <f t="shared" si="18"/>
        <v>-1.4000000000002899</v>
      </c>
      <c r="AB9" s="49">
        <v>9.7895000000000003</v>
      </c>
      <c r="AC9" s="43">
        <f t="shared" si="19"/>
        <v>0.30000000000107702</v>
      </c>
      <c r="AD9" s="44">
        <f t="shared" si="20"/>
        <v>0.60000000000037801</v>
      </c>
      <c r="AE9" s="45">
        <f t="shared" si="21"/>
        <v>0.30000000000107702</v>
      </c>
      <c r="AF9" s="50">
        <v>79216.800000000003</v>
      </c>
      <c r="AG9" s="58">
        <f t="shared" si="22"/>
        <v>14.8000000000029</v>
      </c>
      <c r="AH9" s="59"/>
      <c r="AI9" s="60"/>
      <c r="AJ9" s="61"/>
      <c r="AK9" s="62"/>
      <c r="AL9" s="52"/>
      <c r="AM9" s="52"/>
    </row>
    <row r="10" spans="1:39">
      <c r="A10" s="21">
        <v>44525</v>
      </c>
      <c r="B10" s="22">
        <v>789.95809999999994</v>
      </c>
      <c r="C10" s="27">
        <v>7.4977</v>
      </c>
      <c r="D10" s="23">
        <f t="shared" si="0"/>
        <v>797.45579999999995</v>
      </c>
      <c r="E10" s="24">
        <f t="shared" si="4"/>
        <v>-0.199999999949796</v>
      </c>
      <c r="F10" s="25">
        <f t="shared" si="5"/>
        <v>-0.80000000002655702</v>
      </c>
      <c r="G10" s="26">
        <f t="shared" si="6"/>
        <v>-0.199999999949796</v>
      </c>
      <c r="H10" s="6">
        <v>8.1978000000000009</v>
      </c>
      <c r="I10" s="35">
        <f t="shared" si="1"/>
        <v>798.15589999999997</v>
      </c>
      <c r="J10" s="24">
        <f t="shared" si="7"/>
        <v>-0.199999999949796</v>
      </c>
      <c r="K10" s="25">
        <f t="shared" si="8"/>
        <v>-0.49999999998817701</v>
      </c>
      <c r="L10" s="26">
        <f t="shared" si="9"/>
        <v>-0.199999999949796</v>
      </c>
      <c r="M10" s="6">
        <v>6.8460000000000001</v>
      </c>
      <c r="N10" s="35">
        <f t="shared" si="2"/>
        <v>796.80409999999995</v>
      </c>
      <c r="O10" s="24">
        <f t="shared" si="10"/>
        <v>0.70000000005165897</v>
      </c>
      <c r="P10" s="25">
        <f t="shared" si="11"/>
        <v>-0.59999999996307496</v>
      </c>
      <c r="Q10" s="26">
        <f t="shared" si="12"/>
        <v>0.70000000005165897</v>
      </c>
      <c r="R10" s="41"/>
      <c r="S10" s="21">
        <f t="shared" si="3"/>
        <v>44525</v>
      </c>
      <c r="T10" s="42">
        <v>10.3406</v>
      </c>
      <c r="U10" s="43">
        <f t="shared" si="13"/>
        <v>-0.19999999999953399</v>
      </c>
      <c r="V10" s="44">
        <f t="shared" si="14"/>
        <v>-0.60000000000037801</v>
      </c>
      <c r="W10" s="45">
        <f t="shared" si="15"/>
        <v>0.19999999999953399</v>
      </c>
      <c r="X10" s="29">
        <v>17.355799999999999</v>
      </c>
      <c r="Y10" s="43">
        <f t="shared" si="16"/>
        <v>0.99999999999766898</v>
      </c>
      <c r="Z10" s="44">
        <f t="shared" si="17"/>
        <v>1.59999999999982</v>
      </c>
      <c r="AA10" s="45">
        <f t="shared" si="18"/>
        <v>0.99999999999766898</v>
      </c>
      <c r="AB10" s="49">
        <v>9.7883999999999993</v>
      </c>
      <c r="AC10" s="43">
        <f t="shared" si="19"/>
        <v>-1.10000000000099</v>
      </c>
      <c r="AD10" s="44">
        <f t="shared" si="20"/>
        <v>-0.50000000000061096</v>
      </c>
      <c r="AE10" s="45">
        <f t="shared" si="21"/>
        <v>-1.10000000000099</v>
      </c>
      <c r="AF10" s="50">
        <v>79220.399999999994</v>
      </c>
      <c r="AG10" s="58">
        <f t="shared" si="22"/>
        <v>18.399999999994201</v>
      </c>
      <c r="AH10" s="59"/>
      <c r="AI10" s="60"/>
      <c r="AJ10" s="61"/>
      <c r="AK10" s="62"/>
      <c r="AL10" s="52"/>
      <c r="AM10" s="52"/>
    </row>
    <row r="11" spans="1:39">
      <c r="A11" s="21">
        <v>44526</v>
      </c>
      <c r="B11" s="22">
        <v>789.95809999999994</v>
      </c>
      <c r="C11" s="27">
        <v>7.4981999999999998</v>
      </c>
      <c r="D11" s="23">
        <f t="shared" si="0"/>
        <v>797.45630000000006</v>
      </c>
      <c r="E11" s="24">
        <f t="shared" si="4"/>
        <v>0.49999999998817701</v>
      </c>
      <c r="F11" s="25">
        <f t="shared" si="5"/>
        <v>-0.30000000003838101</v>
      </c>
      <c r="G11" s="26">
        <f t="shared" si="6"/>
        <v>0.49999999998817701</v>
      </c>
      <c r="H11" s="6">
        <v>8.1979000000000006</v>
      </c>
      <c r="I11" s="35">
        <f t="shared" si="1"/>
        <v>798.15599999999995</v>
      </c>
      <c r="J11" s="24">
        <f t="shared" si="7"/>
        <v>9.9999999974897905E-2</v>
      </c>
      <c r="K11" s="25">
        <f t="shared" si="8"/>
        <v>-0.40000000001327901</v>
      </c>
      <c r="L11" s="26">
        <f t="shared" si="9"/>
        <v>9.9999999974897905E-2</v>
      </c>
      <c r="M11" s="6">
        <v>6.8457999999999997</v>
      </c>
      <c r="N11" s="35">
        <f t="shared" si="2"/>
        <v>796.8039</v>
      </c>
      <c r="O11" s="24">
        <f t="shared" si="10"/>
        <v>-0.199999999949796</v>
      </c>
      <c r="P11" s="25">
        <f t="shared" si="11"/>
        <v>-0.79999999991286996</v>
      </c>
      <c r="Q11" s="26">
        <f t="shared" si="12"/>
        <v>-0.199999999949796</v>
      </c>
      <c r="R11" s="41"/>
      <c r="S11" s="21">
        <f t="shared" si="3"/>
        <v>44526</v>
      </c>
      <c r="T11" s="42">
        <v>10.340400000000001</v>
      </c>
      <c r="U11" s="43">
        <f t="shared" si="13"/>
        <v>-0.19999999999953399</v>
      </c>
      <c r="V11" s="44">
        <f t="shared" si="14"/>
        <v>-0.799999999999912</v>
      </c>
      <c r="W11" s="45">
        <f t="shared" si="15"/>
        <v>0.19999999999953399</v>
      </c>
      <c r="X11" s="29">
        <v>17.3552</v>
      </c>
      <c r="Y11" s="43">
        <f t="shared" si="16"/>
        <v>-0.59999999999860198</v>
      </c>
      <c r="Z11" s="44">
        <f t="shared" si="17"/>
        <v>1.0000000000012199</v>
      </c>
      <c r="AA11" s="45">
        <f t="shared" si="18"/>
        <v>-0.59999999999860198</v>
      </c>
      <c r="AB11" s="49">
        <v>9.7882999999999996</v>
      </c>
      <c r="AC11" s="43">
        <f t="shared" si="19"/>
        <v>-9.99999999997669E-2</v>
      </c>
      <c r="AD11" s="44">
        <f t="shared" si="20"/>
        <v>-0.60000000000037801</v>
      </c>
      <c r="AE11" s="45">
        <f t="shared" si="21"/>
        <v>-9.99999999997669E-2</v>
      </c>
      <c r="AF11" s="50">
        <v>79224</v>
      </c>
      <c r="AG11" s="58">
        <f t="shared" si="22"/>
        <v>22</v>
      </c>
      <c r="AH11" s="61"/>
      <c r="AI11" s="60"/>
      <c r="AJ11" s="52"/>
      <c r="AK11" s="52"/>
      <c r="AL11" s="52"/>
      <c r="AM11" s="52"/>
    </row>
    <row r="12" spans="1:39">
      <c r="A12" s="21">
        <v>44527</v>
      </c>
      <c r="B12" s="22">
        <v>789.95809999999994</v>
      </c>
      <c r="C12" s="27">
        <v>7.4973000000000001</v>
      </c>
      <c r="D12" s="23">
        <f t="shared" si="0"/>
        <v>797.45540000000005</v>
      </c>
      <c r="E12" s="24">
        <f t="shared" si="4"/>
        <v>-0.90000000000145497</v>
      </c>
      <c r="F12" s="25">
        <f t="shared" si="5"/>
        <v>-1.2000000000398401</v>
      </c>
      <c r="G12" s="26">
        <f t="shared" si="6"/>
        <v>-0.90000000000145497</v>
      </c>
      <c r="H12" s="6">
        <v>8.1974</v>
      </c>
      <c r="I12" s="35">
        <f t="shared" si="1"/>
        <v>798.15549999999996</v>
      </c>
      <c r="J12" s="24">
        <f t="shared" si="7"/>
        <v>-0.49999999998817701</v>
      </c>
      <c r="K12" s="25">
        <f t="shared" si="8"/>
        <v>-0.90000000000145497</v>
      </c>
      <c r="L12" s="26">
        <f t="shared" si="9"/>
        <v>-0.49999999998817701</v>
      </c>
      <c r="M12" s="6">
        <v>6.8452000000000002</v>
      </c>
      <c r="N12" s="35">
        <f t="shared" si="2"/>
        <v>796.80330000000004</v>
      </c>
      <c r="O12" s="24">
        <f t="shared" si="10"/>
        <v>-0.60000000007676102</v>
      </c>
      <c r="P12" s="25">
        <f t="shared" si="11"/>
        <v>-1.39999999998963</v>
      </c>
      <c r="Q12" s="26">
        <f t="shared" si="12"/>
        <v>-0.60000000007676102</v>
      </c>
      <c r="R12" s="41"/>
      <c r="S12" s="21">
        <f t="shared" si="3"/>
        <v>44527</v>
      </c>
      <c r="T12" s="42">
        <v>10.3405</v>
      </c>
      <c r="U12" s="43">
        <f t="shared" si="13"/>
        <v>9.99999999997669E-2</v>
      </c>
      <c r="V12" s="44">
        <f t="shared" si="14"/>
        <v>-0.70000000000014495</v>
      </c>
      <c r="W12" s="45">
        <f t="shared" si="15"/>
        <v>-9.99999999997669E-2</v>
      </c>
      <c r="X12" s="29">
        <v>17.355</v>
      </c>
      <c r="Y12" s="43">
        <f t="shared" si="16"/>
        <v>-0.19999999999953399</v>
      </c>
      <c r="Z12" s="44">
        <f t="shared" si="17"/>
        <v>0.80000000000168803</v>
      </c>
      <c r="AA12" s="45">
        <f t="shared" si="18"/>
        <v>-0.19999999999953399</v>
      </c>
      <c r="AB12" s="49">
        <v>9.7881</v>
      </c>
      <c r="AC12" s="43">
        <f t="shared" si="19"/>
        <v>-0.19999999999953399</v>
      </c>
      <c r="AD12" s="44">
        <f t="shared" si="20"/>
        <v>-0.799999999999912</v>
      </c>
      <c r="AE12" s="45">
        <f t="shared" si="21"/>
        <v>-0.19999999999953399</v>
      </c>
      <c r="AF12" s="50">
        <v>79227.600000000006</v>
      </c>
      <c r="AG12" s="58">
        <f t="shared" si="22"/>
        <v>25.600000000005799</v>
      </c>
      <c r="AH12" s="61"/>
      <c r="AI12" s="60"/>
      <c r="AJ12" s="52"/>
      <c r="AK12" s="52"/>
      <c r="AL12" s="52"/>
      <c r="AM12" s="52"/>
    </row>
    <row r="13" spans="1:39">
      <c r="A13" s="21">
        <v>44528</v>
      </c>
      <c r="B13" s="22">
        <v>789.95809999999994</v>
      </c>
      <c r="C13" s="27">
        <v>7.4970999999999997</v>
      </c>
      <c r="D13" s="23">
        <f t="shared" si="0"/>
        <v>797.45519999999999</v>
      </c>
      <c r="E13" s="24">
        <f t="shared" si="4"/>
        <v>-0.199999999949796</v>
      </c>
      <c r="F13" s="25">
        <f t="shared" si="5"/>
        <v>-1.39999999998963</v>
      </c>
      <c r="G13" s="26">
        <f t="shared" si="6"/>
        <v>-0.199999999949796</v>
      </c>
      <c r="H13" s="6">
        <v>8.1974999999999998</v>
      </c>
      <c r="I13" s="35">
        <f t="shared" si="1"/>
        <v>798.15560000000005</v>
      </c>
      <c r="J13" s="24">
        <f t="shared" si="7"/>
        <v>9.9999999974897905E-2</v>
      </c>
      <c r="K13" s="25">
        <f t="shared" si="8"/>
        <v>-0.80000000002655702</v>
      </c>
      <c r="L13" s="26">
        <f t="shared" si="9"/>
        <v>9.9999999974897905E-2</v>
      </c>
      <c r="M13" s="6">
        <v>6.8453999999999997</v>
      </c>
      <c r="N13" s="35">
        <f t="shared" si="2"/>
        <v>796.80349999999999</v>
      </c>
      <c r="O13" s="24">
        <f t="shared" si="10"/>
        <v>0.20000000006348301</v>
      </c>
      <c r="P13" s="25">
        <f t="shared" si="11"/>
        <v>-1.1999999999261499</v>
      </c>
      <c r="Q13" s="26">
        <f t="shared" si="12"/>
        <v>0.20000000006348301</v>
      </c>
      <c r="R13" s="41"/>
      <c r="S13" s="21">
        <f t="shared" si="3"/>
        <v>44528</v>
      </c>
      <c r="T13" s="42">
        <v>10.34</v>
      </c>
      <c r="U13" s="43">
        <f t="shared" si="13"/>
        <v>-0.50000000000061096</v>
      </c>
      <c r="V13" s="44">
        <f t="shared" si="14"/>
        <v>-1.20000000000076</v>
      </c>
      <c r="W13" s="45">
        <f t="shared" si="15"/>
        <v>0.50000000000061096</v>
      </c>
      <c r="X13" s="29">
        <v>17.354800000000001</v>
      </c>
      <c r="Y13" s="43">
        <f t="shared" si="16"/>
        <v>-0.19999999999953399</v>
      </c>
      <c r="Z13" s="44">
        <f t="shared" si="17"/>
        <v>0.60000000000215403</v>
      </c>
      <c r="AA13" s="45">
        <f t="shared" si="18"/>
        <v>-0.19999999999953399</v>
      </c>
      <c r="AB13" s="49">
        <v>9.7879000000000005</v>
      </c>
      <c r="AC13" s="43">
        <f t="shared" si="19"/>
        <v>-0.19999999999953399</v>
      </c>
      <c r="AD13" s="44">
        <f t="shared" si="20"/>
        <v>-0.999999999999446</v>
      </c>
      <c r="AE13" s="45">
        <f t="shared" si="21"/>
        <v>-0.19999999999953399</v>
      </c>
      <c r="AF13" s="50">
        <v>79231.199999999997</v>
      </c>
      <c r="AG13" s="58">
        <f t="shared" si="22"/>
        <v>29.1999999999971</v>
      </c>
      <c r="AH13" s="61"/>
      <c r="AI13" s="60"/>
      <c r="AJ13"/>
      <c r="AK13"/>
      <c r="AL13"/>
      <c r="AM13"/>
    </row>
    <row r="14" spans="1:39">
      <c r="A14" s="21">
        <v>44529</v>
      </c>
      <c r="B14" s="22">
        <v>789.95809999999994</v>
      </c>
      <c r="C14" s="27">
        <v>7.4974999999999996</v>
      </c>
      <c r="D14" s="23">
        <f t="shared" si="0"/>
        <v>797.4556</v>
      </c>
      <c r="E14" s="24">
        <f t="shared" si="4"/>
        <v>0.39999999989959201</v>
      </c>
      <c r="F14" s="25">
        <f t="shared" si="5"/>
        <v>-1.00000000009004</v>
      </c>
      <c r="G14" s="26">
        <f t="shared" si="6"/>
        <v>0.39999999989959201</v>
      </c>
      <c r="H14" s="6">
        <v>8.1969999999999992</v>
      </c>
      <c r="I14" s="35">
        <f t="shared" si="1"/>
        <v>798.15509999999995</v>
      </c>
      <c r="J14" s="24">
        <f t="shared" si="7"/>
        <v>-0.49999999998817701</v>
      </c>
      <c r="K14" s="25">
        <f t="shared" si="8"/>
        <v>-1.30000000001473</v>
      </c>
      <c r="L14" s="26">
        <f t="shared" si="9"/>
        <v>-0.49999999998817701</v>
      </c>
      <c r="M14" s="6">
        <v>6.8452000000000002</v>
      </c>
      <c r="N14" s="35">
        <f t="shared" si="2"/>
        <v>796.80330000000004</v>
      </c>
      <c r="O14" s="24">
        <f t="shared" si="10"/>
        <v>-0.20000000006348301</v>
      </c>
      <c r="P14" s="25">
        <f t="shared" si="11"/>
        <v>-1.39999999998963</v>
      </c>
      <c r="Q14" s="26">
        <f t="shared" si="12"/>
        <v>-0.20000000006348301</v>
      </c>
      <c r="R14" s="41"/>
      <c r="S14" s="21">
        <f t="shared" si="3"/>
        <v>44529</v>
      </c>
      <c r="T14" s="42">
        <v>10.3398</v>
      </c>
      <c r="U14" s="43">
        <f t="shared" si="13"/>
        <v>-0.19999999999953399</v>
      </c>
      <c r="V14" s="44">
        <f t="shared" si="14"/>
        <v>-1.4000000000002899</v>
      </c>
      <c r="W14" s="45">
        <f t="shared" si="15"/>
        <v>0.19999999999953399</v>
      </c>
      <c r="X14" s="29">
        <v>17.354800000000001</v>
      </c>
      <c r="Y14" s="43">
        <f t="shared" si="16"/>
        <v>0</v>
      </c>
      <c r="Z14" s="44">
        <f t="shared" si="17"/>
        <v>0.60000000000215403</v>
      </c>
      <c r="AA14" s="45">
        <f t="shared" si="18"/>
        <v>0</v>
      </c>
      <c r="AB14" s="49">
        <v>9.7880000000000003</v>
      </c>
      <c r="AC14" s="43">
        <f t="shared" si="19"/>
        <v>9.99999999997669E-2</v>
      </c>
      <c r="AD14" s="44">
        <f t="shared" si="20"/>
        <v>-0.89999999999967895</v>
      </c>
      <c r="AE14" s="45">
        <f t="shared" si="21"/>
        <v>9.99999999997669E-2</v>
      </c>
      <c r="AF14" s="50">
        <v>79234.8</v>
      </c>
      <c r="AG14" s="58">
        <f t="shared" si="22"/>
        <v>32.800000000002903</v>
      </c>
      <c r="AH14" s="61"/>
      <c r="AI14" s="60"/>
      <c r="AJ14" s="52"/>
      <c r="AK14" s="52"/>
      <c r="AL14" s="52"/>
      <c r="AM14" s="52"/>
    </row>
    <row r="15" spans="1:39">
      <c r="A15" s="21">
        <v>44530</v>
      </c>
      <c r="B15" s="22">
        <v>789.95809999999994</v>
      </c>
      <c r="C15" s="27">
        <v>7.4966999999999997</v>
      </c>
      <c r="D15" s="23">
        <f t="shared" si="0"/>
        <v>797.45479999999998</v>
      </c>
      <c r="E15" s="24">
        <f t="shared" si="4"/>
        <v>-0.79999999991286996</v>
      </c>
      <c r="F15" s="25">
        <f t="shared" si="5"/>
        <v>-1.8000000000029099</v>
      </c>
      <c r="G15" s="26">
        <f t="shared" si="6"/>
        <v>-0.79999999991286996</v>
      </c>
      <c r="H15" s="6">
        <v>8.1967999999999908</v>
      </c>
      <c r="I15" s="35">
        <f t="shared" si="1"/>
        <v>798.1549</v>
      </c>
      <c r="J15" s="24">
        <f t="shared" si="7"/>
        <v>-0.20000000006348301</v>
      </c>
      <c r="K15" s="25">
        <f t="shared" si="8"/>
        <v>-1.5000000000782201</v>
      </c>
      <c r="L15" s="26">
        <f t="shared" si="9"/>
        <v>-0.20000000006348301</v>
      </c>
      <c r="M15" s="6">
        <v>6.8449999999999998</v>
      </c>
      <c r="N15" s="35">
        <f t="shared" si="2"/>
        <v>796.80309999999997</v>
      </c>
      <c r="O15" s="24">
        <f t="shared" si="10"/>
        <v>-0.199999999949796</v>
      </c>
      <c r="P15" s="25">
        <f t="shared" si="11"/>
        <v>-1.5999999999394301</v>
      </c>
      <c r="Q15" s="26">
        <f t="shared" si="12"/>
        <v>-0.199999999949796</v>
      </c>
      <c r="R15" s="41"/>
      <c r="S15" s="21">
        <f t="shared" si="3"/>
        <v>44530</v>
      </c>
      <c r="T15" s="42">
        <v>10.3405</v>
      </c>
      <c r="U15" s="43">
        <f t="shared" si="13"/>
        <v>0.70000000000014495</v>
      </c>
      <c r="V15" s="44">
        <f t="shared" si="14"/>
        <v>-0.70000000000014495</v>
      </c>
      <c r="W15" s="45">
        <f t="shared" si="15"/>
        <v>-0.70000000000014495</v>
      </c>
      <c r="X15" s="29">
        <v>17.354399999999998</v>
      </c>
      <c r="Y15" s="43">
        <f t="shared" si="16"/>
        <v>-0.40000000000261998</v>
      </c>
      <c r="Z15" s="44">
        <f t="shared" si="17"/>
        <v>0.19999999999953399</v>
      </c>
      <c r="AA15" s="45">
        <f t="shared" si="18"/>
        <v>-0.40000000000261998</v>
      </c>
      <c r="AB15" s="49">
        <v>9.7874999999999996</v>
      </c>
      <c r="AC15" s="43">
        <f t="shared" si="19"/>
        <v>-0.50000000000061096</v>
      </c>
      <c r="AD15" s="44">
        <f t="shared" si="20"/>
        <v>-1.4000000000002899</v>
      </c>
      <c r="AE15" s="45">
        <f t="shared" si="21"/>
        <v>-0.50000000000061096</v>
      </c>
      <c r="AF15" s="50">
        <v>79238.400000000096</v>
      </c>
      <c r="AG15" s="58">
        <f t="shared" si="22"/>
        <v>36.400000000096</v>
      </c>
      <c r="AH15" s="61"/>
      <c r="AI15" s="60"/>
      <c r="AJ15" s="52"/>
      <c r="AK15" s="52"/>
      <c r="AL15" s="52"/>
      <c r="AM15" s="52"/>
    </row>
    <row r="16" spans="1:39">
      <c r="A16" s="21">
        <v>44531</v>
      </c>
      <c r="B16" s="22">
        <v>789.95809999999994</v>
      </c>
      <c r="C16" s="27">
        <v>7.4965000000000002</v>
      </c>
      <c r="D16" s="23">
        <f t="shared" si="0"/>
        <v>797.45460000000003</v>
      </c>
      <c r="E16" s="24">
        <f t="shared" si="4"/>
        <v>-0.20000000006348301</v>
      </c>
      <c r="F16" s="25">
        <f t="shared" si="5"/>
        <v>-2.00000000006639</v>
      </c>
      <c r="G16" s="26">
        <f t="shared" si="6"/>
        <v>-0.20000000006348301</v>
      </c>
      <c r="H16" s="6">
        <v>8.1965999999999894</v>
      </c>
      <c r="I16" s="35">
        <f t="shared" si="1"/>
        <v>798.15470000000005</v>
      </c>
      <c r="J16" s="24">
        <f t="shared" si="7"/>
        <v>-0.199999999949796</v>
      </c>
      <c r="K16" s="25">
        <f t="shared" si="8"/>
        <v>-1.70000000002801</v>
      </c>
      <c r="L16" s="26">
        <f t="shared" si="9"/>
        <v>-0.199999999949796</v>
      </c>
      <c r="M16" s="6">
        <v>6.8451000000000004</v>
      </c>
      <c r="N16" s="35">
        <f t="shared" si="2"/>
        <v>796.80319999999995</v>
      </c>
      <c r="O16" s="24">
        <f t="shared" si="10"/>
        <v>9.9999999974897905E-2</v>
      </c>
      <c r="P16" s="25">
        <f t="shared" si="11"/>
        <v>-1.4999999999645299</v>
      </c>
      <c r="Q16" s="26">
        <f t="shared" si="12"/>
        <v>9.9999999974897905E-2</v>
      </c>
      <c r="R16" s="41"/>
      <c r="S16" s="21">
        <f t="shared" si="3"/>
        <v>44531</v>
      </c>
      <c r="T16" s="42">
        <v>10.339399999999999</v>
      </c>
      <c r="U16" s="43">
        <f t="shared" si="13"/>
        <v>-1.10000000000099</v>
      </c>
      <c r="V16" s="44">
        <f t="shared" si="14"/>
        <v>-1.80000000000113</v>
      </c>
      <c r="W16" s="45">
        <f t="shared" si="15"/>
        <v>1.10000000000099</v>
      </c>
      <c r="X16" s="29">
        <v>17.354199999999999</v>
      </c>
      <c r="Y16" s="43">
        <f t="shared" si="16"/>
        <v>-0.19999999999953399</v>
      </c>
      <c r="Z16" s="44">
        <f t="shared" si="17"/>
        <v>0</v>
      </c>
      <c r="AA16" s="45">
        <f t="shared" si="18"/>
        <v>-0.19999999999953399</v>
      </c>
      <c r="AB16" s="49">
        <v>9.7873000000000001</v>
      </c>
      <c r="AC16" s="43">
        <f t="shared" si="19"/>
        <v>-0.19999999999953399</v>
      </c>
      <c r="AD16" s="44">
        <f t="shared" si="20"/>
        <v>-1.59999999999982</v>
      </c>
      <c r="AE16" s="45">
        <f t="shared" si="21"/>
        <v>-0.19999999999953399</v>
      </c>
      <c r="AF16" s="50">
        <v>79242.000000000102</v>
      </c>
      <c r="AG16" s="58">
        <f t="shared" si="22"/>
        <v>40.000000000101899</v>
      </c>
      <c r="AH16" s="61"/>
      <c r="AI16" s="60"/>
      <c r="AJ16" s="52"/>
      <c r="AK16" s="52"/>
      <c r="AL16" s="52"/>
      <c r="AM16" s="52"/>
    </row>
    <row r="17" spans="1:39">
      <c r="A17" s="21">
        <v>44532</v>
      </c>
      <c r="B17" s="22">
        <v>789.95809999999994</v>
      </c>
      <c r="C17" s="27">
        <v>7.4968000000000004</v>
      </c>
      <c r="D17" s="23">
        <f t="shared" si="0"/>
        <v>797.45489999999995</v>
      </c>
      <c r="E17" s="24">
        <f t="shared" si="4"/>
        <v>0.30000000003838101</v>
      </c>
      <c r="F17" s="25">
        <f t="shared" si="5"/>
        <v>-1.70000000002801</v>
      </c>
      <c r="G17" s="26">
        <f t="shared" si="6"/>
        <v>0.30000000003838101</v>
      </c>
      <c r="H17" s="6">
        <v>8.1967999999999996</v>
      </c>
      <c r="I17" s="35">
        <f t="shared" si="1"/>
        <v>798.1549</v>
      </c>
      <c r="J17" s="24">
        <f t="shared" si="7"/>
        <v>0.20000000006348301</v>
      </c>
      <c r="K17" s="25">
        <f t="shared" si="8"/>
        <v>-1.4999999999645299</v>
      </c>
      <c r="L17" s="26">
        <f t="shared" si="9"/>
        <v>0.20000000006348301</v>
      </c>
      <c r="M17" s="6">
        <v>6.8445999999999998</v>
      </c>
      <c r="N17" s="35">
        <f t="shared" si="2"/>
        <v>796.80269999999996</v>
      </c>
      <c r="O17" s="24">
        <f t="shared" si="10"/>
        <v>-0.49999999998817701</v>
      </c>
      <c r="P17" s="25">
        <f t="shared" si="11"/>
        <v>-1.9999999999527101</v>
      </c>
      <c r="Q17" s="26">
        <f t="shared" si="12"/>
        <v>-0.49999999998817701</v>
      </c>
      <c r="R17" s="41"/>
      <c r="S17" s="21">
        <f t="shared" si="3"/>
        <v>44532</v>
      </c>
      <c r="T17" s="42">
        <v>10.3392</v>
      </c>
      <c r="U17" s="43">
        <f t="shared" si="13"/>
        <v>-0.19999999999953399</v>
      </c>
      <c r="V17" s="44">
        <f t="shared" si="14"/>
        <v>-2.0000000000006701</v>
      </c>
      <c r="W17" s="45">
        <f t="shared" si="15"/>
        <v>0.19999999999953399</v>
      </c>
      <c r="X17" s="29">
        <v>17.354299999999999</v>
      </c>
      <c r="Y17" s="43">
        <f t="shared" si="16"/>
        <v>9.99999999997669E-2</v>
      </c>
      <c r="Z17" s="44">
        <f t="shared" si="17"/>
        <v>9.99999999997669E-2</v>
      </c>
      <c r="AA17" s="45">
        <f t="shared" si="18"/>
        <v>9.99999999997669E-2</v>
      </c>
      <c r="AB17" s="49">
        <v>9.7871000000000006</v>
      </c>
      <c r="AC17" s="43">
        <f t="shared" si="19"/>
        <v>-0.19999999999953399</v>
      </c>
      <c r="AD17" s="44">
        <f t="shared" si="20"/>
        <v>-1.7999999999993599</v>
      </c>
      <c r="AE17" s="45">
        <f t="shared" si="21"/>
        <v>-0.19999999999953399</v>
      </c>
      <c r="AF17" s="50">
        <v>79245.600000000093</v>
      </c>
      <c r="AG17" s="58">
        <f t="shared" si="22"/>
        <v>43.600000000093097</v>
      </c>
      <c r="AH17" s="61"/>
      <c r="AI17" s="52"/>
      <c r="AJ17" s="52"/>
      <c r="AK17" s="52"/>
      <c r="AL17" s="52"/>
      <c r="AM17" s="52"/>
    </row>
    <row r="18" spans="1:39">
      <c r="A18" s="21">
        <v>44533</v>
      </c>
      <c r="B18" s="22">
        <v>789.95809999999994</v>
      </c>
      <c r="C18" s="27">
        <v>7.49610000000001</v>
      </c>
      <c r="D18" s="23">
        <f t="shared" si="0"/>
        <v>797.45420000000001</v>
      </c>
      <c r="E18" s="24">
        <f t="shared" si="4"/>
        <v>-0.70000000005165897</v>
      </c>
      <c r="F18" s="25">
        <f t="shared" si="5"/>
        <v>-2.40000000007967</v>
      </c>
      <c r="G18" s="26">
        <f t="shared" si="6"/>
        <v>-0.70000000005165897</v>
      </c>
      <c r="H18" s="6">
        <v>8.1961999999999904</v>
      </c>
      <c r="I18" s="35">
        <f t="shared" si="1"/>
        <v>798.15430000000003</v>
      </c>
      <c r="J18" s="24">
        <f t="shared" si="7"/>
        <v>-0.60000000007676102</v>
      </c>
      <c r="K18" s="25">
        <f t="shared" si="8"/>
        <v>-2.1000000000412902</v>
      </c>
      <c r="L18" s="26">
        <f t="shared" si="9"/>
        <v>-0.60000000007676102</v>
      </c>
      <c r="M18" s="6">
        <v>6.8444000000000003</v>
      </c>
      <c r="N18" s="35">
        <f t="shared" si="2"/>
        <v>796.80250000000001</v>
      </c>
      <c r="O18" s="24">
        <f t="shared" si="10"/>
        <v>-0.20000000006348301</v>
      </c>
      <c r="P18" s="25">
        <f t="shared" si="11"/>
        <v>-2.2000000000161899</v>
      </c>
      <c r="Q18" s="26">
        <f t="shared" si="12"/>
        <v>-0.20000000006348301</v>
      </c>
      <c r="R18" s="41"/>
      <c r="S18" s="21">
        <f t="shared" si="3"/>
        <v>44533</v>
      </c>
      <c r="T18" s="42">
        <v>10.34</v>
      </c>
      <c r="U18" s="43">
        <f t="shared" si="13"/>
        <v>0.799999999999912</v>
      </c>
      <c r="V18" s="44">
        <f t="shared" si="14"/>
        <v>-1.20000000000076</v>
      </c>
      <c r="W18" s="45">
        <f t="shared" si="15"/>
        <v>-0.799999999999912</v>
      </c>
      <c r="X18" s="29">
        <v>17.3538</v>
      </c>
      <c r="Y18" s="43">
        <f t="shared" si="16"/>
        <v>-0.49999999999883499</v>
      </c>
      <c r="Z18" s="44">
        <f t="shared" si="17"/>
        <v>-0.39999999999906799</v>
      </c>
      <c r="AA18" s="45">
        <f t="shared" si="18"/>
        <v>-0.49999999999883499</v>
      </c>
      <c r="AB18" s="49">
        <v>9.7874999999999996</v>
      </c>
      <c r="AC18" s="43">
        <f t="shared" si="19"/>
        <v>0.39999999999906799</v>
      </c>
      <c r="AD18" s="44">
        <f t="shared" si="20"/>
        <v>-1.4000000000002899</v>
      </c>
      <c r="AE18" s="45">
        <f t="shared" si="21"/>
        <v>0.39999999999906799</v>
      </c>
      <c r="AF18" s="50">
        <v>79249.200000000099</v>
      </c>
      <c r="AG18" s="58">
        <f t="shared" si="22"/>
        <v>47.200000000099003</v>
      </c>
      <c r="AH18" s="61"/>
      <c r="AI18" s="52"/>
      <c r="AJ18" s="52"/>
      <c r="AK18" s="52"/>
      <c r="AL18" s="52"/>
      <c r="AM18" s="52"/>
    </row>
    <row r="19" spans="1:39">
      <c r="A19" s="21">
        <v>44534</v>
      </c>
      <c r="B19" s="22">
        <v>789.95809999999994</v>
      </c>
      <c r="C19" s="27">
        <v>7.4959000000000104</v>
      </c>
      <c r="D19" s="23">
        <f t="shared" si="0"/>
        <v>797.45399999999995</v>
      </c>
      <c r="E19" s="24">
        <f t="shared" si="4"/>
        <v>-0.199999999949796</v>
      </c>
      <c r="F19" s="25">
        <f t="shared" si="5"/>
        <v>-2.6000000000294698</v>
      </c>
      <c r="G19" s="26">
        <f t="shared" si="6"/>
        <v>-0.199999999949796</v>
      </c>
      <c r="H19" s="6">
        <v>8.1959999999999908</v>
      </c>
      <c r="I19" s="35">
        <f t="shared" si="1"/>
        <v>798.15409999999997</v>
      </c>
      <c r="J19" s="24">
        <f t="shared" si="7"/>
        <v>-0.199999999949796</v>
      </c>
      <c r="K19" s="25">
        <f t="shared" si="8"/>
        <v>-2.2999999999910901</v>
      </c>
      <c r="L19" s="26">
        <f t="shared" si="9"/>
        <v>-0.199999999949796</v>
      </c>
      <c r="M19" s="6">
        <v>6.8449999999999998</v>
      </c>
      <c r="N19" s="35">
        <f t="shared" si="2"/>
        <v>796.80309999999997</v>
      </c>
      <c r="O19" s="24">
        <f t="shared" si="10"/>
        <v>0.60000000007676102</v>
      </c>
      <c r="P19" s="25">
        <f t="shared" si="11"/>
        <v>-1.5999999999394301</v>
      </c>
      <c r="Q19" s="26">
        <f t="shared" si="12"/>
        <v>0.60000000007676102</v>
      </c>
      <c r="R19" s="41"/>
      <c r="S19" s="21">
        <f t="shared" si="3"/>
        <v>44534</v>
      </c>
      <c r="T19" s="42">
        <v>10.338800000000001</v>
      </c>
      <c r="U19" s="43">
        <f t="shared" si="13"/>
        <v>-1.1999999999989801</v>
      </c>
      <c r="V19" s="44">
        <f t="shared" si="14"/>
        <v>-2.3999999999997401</v>
      </c>
      <c r="W19" s="45">
        <f t="shared" si="15"/>
        <v>1.1999999999989801</v>
      </c>
      <c r="X19" s="29">
        <v>17.3536</v>
      </c>
      <c r="Y19" s="43">
        <f t="shared" si="16"/>
        <v>-0.19999999999953399</v>
      </c>
      <c r="Z19" s="44">
        <f t="shared" si="17"/>
        <v>-0.59999999999860198</v>
      </c>
      <c r="AA19" s="45">
        <f t="shared" si="18"/>
        <v>-0.19999999999953399</v>
      </c>
      <c r="AB19" s="49">
        <v>9.7866999999999997</v>
      </c>
      <c r="AC19" s="43">
        <f t="shared" si="19"/>
        <v>-0.799999999999912</v>
      </c>
      <c r="AD19" s="44">
        <f t="shared" si="20"/>
        <v>-2.2000000000002</v>
      </c>
      <c r="AE19" s="45">
        <f t="shared" si="21"/>
        <v>-0.799999999999912</v>
      </c>
      <c r="AF19" s="50">
        <v>79252.800000000105</v>
      </c>
      <c r="AG19" s="58">
        <f t="shared" si="22"/>
        <v>50.800000000104802</v>
      </c>
      <c r="AH19" s="61"/>
      <c r="AI19" s="52"/>
      <c r="AJ19" s="52"/>
      <c r="AK19" s="52"/>
      <c r="AL19" s="52"/>
      <c r="AM19" s="52"/>
    </row>
    <row r="20" spans="1:39">
      <c r="A20" s="21">
        <v>44535</v>
      </c>
      <c r="B20" s="22">
        <v>789.95809999999994</v>
      </c>
      <c r="C20" s="27">
        <v>7.49570000000001</v>
      </c>
      <c r="D20" s="23">
        <f t="shared" si="0"/>
        <v>797.4538</v>
      </c>
      <c r="E20" s="24">
        <f t="shared" si="4"/>
        <v>-0.199999999949796</v>
      </c>
      <c r="F20" s="25">
        <f t="shared" si="5"/>
        <v>-2.79999999997926</v>
      </c>
      <c r="G20" s="26">
        <f t="shared" si="6"/>
        <v>-0.199999999949796</v>
      </c>
      <c r="H20" s="6">
        <v>8.1961999999999993</v>
      </c>
      <c r="I20" s="35">
        <f t="shared" si="1"/>
        <v>798.15430000000003</v>
      </c>
      <c r="J20" s="24">
        <f t="shared" si="7"/>
        <v>0.199999999949796</v>
      </c>
      <c r="K20" s="25">
        <f t="shared" si="8"/>
        <v>-2.1000000000412902</v>
      </c>
      <c r="L20" s="26">
        <f t="shared" si="9"/>
        <v>0.199999999949796</v>
      </c>
      <c r="M20" s="6">
        <v>6.8440000000000003</v>
      </c>
      <c r="N20" s="35">
        <f t="shared" si="2"/>
        <v>796.8021</v>
      </c>
      <c r="O20" s="24">
        <f t="shared" si="10"/>
        <v>-0.99999999997635303</v>
      </c>
      <c r="P20" s="25">
        <f t="shared" si="11"/>
        <v>-2.5999999999157799</v>
      </c>
      <c r="Q20" s="26">
        <f t="shared" si="12"/>
        <v>-0.99999999997635303</v>
      </c>
      <c r="R20" s="41"/>
      <c r="S20" s="21">
        <f t="shared" si="3"/>
        <v>44535</v>
      </c>
      <c r="T20" s="42">
        <v>10.3386</v>
      </c>
      <c r="U20" s="43">
        <f t="shared" si="13"/>
        <v>-0.20000000000130999</v>
      </c>
      <c r="V20" s="44">
        <f t="shared" si="14"/>
        <v>-2.6000000000010499</v>
      </c>
      <c r="W20" s="45">
        <f t="shared" si="15"/>
        <v>0.20000000000130999</v>
      </c>
      <c r="X20" s="29">
        <v>17.353200000000001</v>
      </c>
      <c r="Y20" s="43">
        <f t="shared" si="16"/>
        <v>-0.39999999999906799</v>
      </c>
      <c r="Z20" s="44">
        <f t="shared" si="17"/>
        <v>-0.99999999999766898</v>
      </c>
      <c r="AA20" s="45">
        <f t="shared" si="18"/>
        <v>-0.39999999999906799</v>
      </c>
      <c r="AB20" s="49">
        <v>9.7865000000000002</v>
      </c>
      <c r="AC20" s="43">
        <f t="shared" si="19"/>
        <v>-0.19999999999953399</v>
      </c>
      <c r="AD20" s="44">
        <f t="shared" si="20"/>
        <v>-2.3999999999997401</v>
      </c>
      <c r="AE20" s="45">
        <f t="shared" si="21"/>
        <v>-0.19999999999953399</v>
      </c>
      <c r="AF20" s="50">
        <v>79256.400000000096</v>
      </c>
      <c r="AG20" s="58">
        <f t="shared" si="22"/>
        <v>54.400000000096</v>
      </c>
      <c r="AH20" s="61"/>
      <c r="AI20" s="52"/>
      <c r="AJ20" s="52"/>
      <c r="AK20" s="52"/>
      <c r="AL20" s="52"/>
      <c r="AM20" s="52"/>
    </row>
    <row r="21" spans="1:39">
      <c r="A21" s="21">
        <v>44537</v>
      </c>
      <c r="B21" s="22">
        <v>789.95809999999994</v>
      </c>
      <c r="C21" s="27">
        <v>7.4951999999999996</v>
      </c>
      <c r="D21" s="23">
        <f t="shared" si="0"/>
        <v>797.45330000000001</v>
      </c>
      <c r="E21" s="24">
        <f t="shared" si="4"/>
        <v>-0.50000000010186296</v>
      </c>
      <c r="F21" s="25">
        <f t="shared" si="5"/>
        <v>-3.30000000008113</v>
      </c>
      <c r="G21" s="26">
        <f t="shared" si="6"/>
        <v>-0.25000000005093198</v>
      </c>
      <c r="H21" s="6">
        <v>8.19559999999999</v>
      </c>
      <c r="I21" s="35">
        <f t="shared" si="1"/>
        <v>798.15369999999996</v>
      </c>
      <c r="J21" s="24">
        <f t="shared" si="7"/>
        <v>-0.59999999996307496</v>
      </c>
      <c r="K21" s="25">
        <f t="shared" si="8"/>
        <v>-2.70000000000437</v>
      </c>
      <c r="L21" s="26">
        <f t="shared" si="9"/>
        <v>-0.29999999998153698</v>
      </c>
      <c r="M21" s="6">
        <v>6.8437999999999999</v>
      </c>
      <c r="N21" s="35">
        <f t="shared" si="2"/>
        <v>796.80190000000005</v>
      </c>
      <c r="O21" s="24">
        <f t="shared" si="10"/>
        <v>-0.20000000006348301</v>
      </c>
      <c r="P21" s="25">
        <f t="shared" si="11"/>
        <v>-2.79999999997926</v>
      </c>
      <c r="Q21" s="26">
        <f t="shared" si="12"/>
        <v>-0.100000000031741</v>
      </c>
      <c r="R21" s="41"/>
      <c r="S21" s="21">
        <f t="shared" si="3"/>
        <v>44537</v>
      </c>
      <c r="T21" s="42">
        <v>10.339499999999999</v>
      </c>
      <c r="U21" s="43">
        <f t="shared" si="13"/>
        <v>0.89999999999967895</v>
      </c>
      <c r="V21" s="44">
        <f t="shared" si="14"/>
        <v>-1.70000000000137</v>
      </c>
      <c r="W21" s="45">
        <f t="shared" si="15"/>
        <v>-0.44999999999983897</v>
      </c>
      <c r="X21" s="29">
        <v>17.353200000000001</v>
      </c>
      <c r="Y21" s="43">
        <f t="shared" si="16"/>
        <v>0</v>
      </c>
      <c r="Z21" s="44">
        <f t="shared" si="17"/>
        <v>-0.99999999999766898</v>
      </c>
      <c r="AA21" s="45">
        <f t="shared" si="18"/>
        <v>0</v>
      </c>
      <c r="AB21" s="49">
        <v>9.7872000000000003</v>
      </c>
      <c r="AC21" s="43">
        <f t="shared" si="19"/>
        <v>0.70000000000014495</v>
      </c>
      <c r="AD21" s="44">
        <f t="shared" si="20"/>
        <v>-1.6999999999995901</v>
      </c>
      <c r="AE21" s="45">
        <f t="shared" si="21"/>
        <v>0.35000000000007198</v>
      </c>
      <c r="AF21" s="50">
        <v>79260.000000000102</v>
      </c>
      <c r="AG21" s="58">
        <f t="shared" si="22"/>
        <v>58.000000000101899</v>
      </c>
      <c r="AH21" s="61"/>
      <c r="AI21" s="52"/>
      <c r="AJ21" s="52"/>
      <c r="AK21" s="52"/>
      <c r="AL21" s="52"/>
      <c r="AM21" s="52"/>
    </row>
    <row r="22" spans="1:39">
      <c r="A22" s="21">
        <v>44539</v>
      </c>
      <c r="B22" s="22">
        <v>789.95809999999994</v>
      </c>
      <c r="C22" s="27">
        <v>7.4953000000000101</v>
      </c>
      <c r="D22" s="23">
        <f t="shared" si="0"/>
        <v>797.45339999999999</v>
      </c>
      <c r="E22" s="24">
        <f t="shared" si="4"/>
        <v>0.10000000008858501</v>
      </c>
      <c r="F22" s="25">
        <f t="shared" si="5"/>
        <v>-3.1999999999925399</v>
      </c>
      <c r="G22" s="26">
        <f t="shared" si="6"/>
        <v>5.0000000044292399E-2</v>
      </c>
      <c r="H22" s="6">
        <v>8.1953999999999905</v>
      </c>
      <c r="I22" s="35">
        <f t="shared" si="1"/>
        <v>798.15350000000001</v>
      </c>
      <c r="J22" s="24">
        <f t="shared" si="7"/>
        <v>-0.20000000006348301</v>
      </c>
      <c r="K22" s="25">
        <f t="shared" si="8"/>
        <v>-2.9000000000678501</v>
      </c>
      <c r="L22" s="26">
        <f t="shared" si="9"/>
        <v>-0.100000000031741</v>
      </c>
      <c r="M22" s="6">
        <v>6.8445</v>
      </c>
      <c r="N22" s="35">
        <f t="shared" si="2"/>
        <v>796.80259999999998</v>
      </c>
      <c r="O22" s="24">
        <f t="shared" si="10"/>
        <v>0.70000000005165897</v>
      </c>
      <c r="P22" s="25">
        <f t="shared" si="11"/>
        <v>-2.0999999999275998</v>
      </c>
      <c r="Q22" s="26">
        <f t="shared" si="12"/>
        <v>0.35000000002582998</v>
      </c>
      <c r="R22" s="41"/>
      <c r="S22" s="21">
        <f t="shared" si="3"/>
        <v>44539</v>
      </c>
      <c r="T22" s="42">
        <v>10.338200000000001</v>
      </c>
      <c r="U22" s="43">
        <f t="shared" si="13"/>
        <v>-1.2999999999987499</v>
      </c>
      <c r="V22" s="44">
        <f t="shared" si="14"/>
        <v>-3.0000000000001101</v>
      </c>
      <c r="W22" s="45">
        <f t="shared" si="15"/>
        <v>0.64999999999937297</v>
      </c>
      <c r="X22" s="29">
        <v>17.353999999999999</v>
      </c>
      <c r="Y22" s="43">
        <f t="shared" si="16"/>
        <v>0.79999999999813598</v>
      </c>
      <c r="Z22" s="44">
        <f t="shared" si="17"/>
        <v>-0.19999999999953399</v>
      </c>
      <c r="AA22" s="45">
        <f t="shared" si="18"/>
        <v>0.39999999999906799</v>
      </c>
      <c r="AB22" s="49">
        <v>9.7861999999999991</v>
      </c>
      <c r="AC22" s="43">
        <f t="shared" si="19"/>
        <v>-1.0000000000012199</v>
      </c>
      <c r="AD22" s="44">
        <f t="shared" si="20"/>
        <v>-2.7000000000008102</v>
      </c>
      <c r="AE22" s="45">
        <f t="shared" si="21"/>
        <v>-0.50000000000061096</v>
      </c>
      <c r="AF22" s="50">
        <v>79263.600000000093</v>
      </c>
      <c r="AG22" s="58">
        <f t="shared" si="22"/>
        <v>61.600000000093097</v>
      </c>
      <c r="AH22" s="61"/>
      <c r="AI22" s="52"/>
      <c r="AJ22" s="52"/>
      <c r="AK22" s="52"/>
      <c r="AL22" s="52"/>
      <c r="AM22" s="52"/>
    </row>
    <row r="23" spans="1:39">
      <c r="A23" s="21">
        <v>44541</v>
      </c>
      <c r="B23" s="22">
        <v>789.95809999999994</v>
      </c>
      <c r="C23" s="27">
        <v>7.4951000000000096</v>
      </c>
      <c r="D23" s="23">
        <f t="shared" si="0"/>
        <v>797.45320000000004</v>
      </c>
      <c r="E23" s="24">
        <f t="shared" si="4"/>
        <v>-0.20000000006348301</v>
      </c>
      <c r="F23" s="25">
        <f t="shared" si="5"/>
        <v>-3.40000000005602</v>
      </c>
      <c r="G23" s="26">
        <f t="shared" si="6"/>
        <v>-0.100000000031741</v>
      </c>
      <c r="H23" s="6">
        <v>8.1954999999999991</v>
      </c>
      <c r="I23" s="35">
        <f t="shared" si="1"/>
        <v>798.15359999999998</v>
      </c>
      <c r="J23" s="24">
        <f t="shared" si="7"/>
        <v>0.10000000008858501</v>
      </c>
      <c r="K23" s="25">
        <f t="shared" si="8"/>
        <v>-2.79999999997926</v>
      </c>
      <c r="L23" s="26">
        <f t="shared" si="9"/>
        <v>5.0000000044292399E-2</v>
      </c>
      <c r="M23" s="6">
        <v>6.8433999999999902</v>
      </c>
      <c r="N23" s="35">
        <f t="shared" si="2"/>
        <v>796.80150000000003</v>
      </c>
      <c r="O23" s="24">
        <f t="shared" si="10"/>
        <v>-1.1000000000649399</v>
      </c>
      <c r="P23" s="25">
        <f t="shared" si="11"/>
        <v>-3.1999999999925399</v>
      </c>
      <c r="Q23" s="26">
        <f t="shared" si="12"/>
        <v>-0.55000000003246896</v>
      </c>
      <c r="S23" s="21">
        <f t="shared" si="3"/>
        <v>44541</v>
      </c>
      <c r="T23" s="42">
        <v>10.337999999999999</v>
      </c>
      <c r="U23" s="43">
        <f t="shared" si="13"/>
        <v>-0.20000000000130999</v>
      </c>
      <c r="V23" s="44">
        <f t="shared" si="14"/>
        <v>-3.2000000000014199</v>
      </c>
      <c r="W23" s="45">
        <f t="shared" si="15"/>
        <v>0.100000000000655</v>
      </c>
      <c r="X23" s="29">
        <v>17.352799999999998</v>
      </c>
      <c r="Y23" s="43">
        <f t="shared" si="16"/>
        <v>-1.20000000000076</v>
      </c>
      <c r="Z23" s="44">
        <f t="shared" si="17"/>
        <v>-1.4000000000002899</v>
      </c>
      <c r="AA23" s="45">
        <f t="shared" si="18"/>
        <v>-0.60000000000037801</v>
      </c>
      <c r="AB23" s="49">
        <v>9.7859000000000105</v>
      </c>
      <c r="AC23" s="43">
        <f t="shared" si="19"/>
        <v>-0.29999999998864302</v>
      </c>
      <c r="AD23" s="44">
        <f t="shared" si="20"/>
        <v>-2.99999999998946</v>
      </c>
      <c r="AE23" s="45">
        <f t="shared" si="21"/>
        <v>-0.14999999999432101</v>
      </c>
      <c r="AF23" s="50">
        <v>79267.200000000099</v>
      </c>
      <c r="AG23" s="58">
        <f t="shared" si="22"/>
        <v>65.200000000098996</v>
      </c>
      <c r="AH23" s="61"/>
      <c r="AI23" s="52"/>
      <c r="AJ23" s="52"/>
      <c r="AK23" s="52"/>
      <c r="AL23" s="52"/>
      <c r="AM23" s="52"/>
    </row>
    <row r="24" spans="1:39">
      <c r="A24" s="21">
        <v>44543</v>
      </c>
      <c r="B24" s="22">
        <v>789.95809999999994</v>
      </c>
      <c r="C24" s="27">
        <v>7.4962</v>
      </c>
      <c r="D24" s="23">
        <f t="shared" si="0"/>
        <v>797.45429999999999</v>
      </c>
      <c r="E24" s="24">
        <f t="shared" si="4"/>
        <v>1.1000000000649399</v>
      </c>
      <c r="F24" s="25">
        <f t="shared" si="5"/>
        <v>-2.2999999999910901</v>
      </c>
      <c r="G24" s="26">
        <f t="shared" si="6"/>
        <v>0.55000000003246896</v>
      </c>
      <c r="H24" s="6">
        <v>8.1949999999999807</v>
      </c>
      <c r="I24" s="35">
        <f t="shared" si="1"/>
        <v>798.15309999999999</v>
      </c>
      <c r="J24" s="24">
        <f t="shared" si="7"/>
        <v>-0.50000000010186296</v>
      </c>
      <c r="K24" s="25">
        <f t="shared" si="8"/>
        <v>-3.30000000008113</v>
      </c>
      <c r="L24" s="26">
        <f t="shared" si="9"/>
        <v>-0.25000000005093198</v>
      </c>
      <c r="M24" s="6">
        <v>6.8431999999999897</v>
      </c>
      <c r="N24" s="35">
        <f t="shared" si="2"/>
        <v>796.80129999999997</v>
      </c>
      <c r="O24" s="24">
        <f t="shared" si="10"/>
        <v>-0.199999999949796</v>
      </c>
      <c r="P24" s="25">
        <f t="shared" si="11"/>
        <v>-3.3999999999423398</v>
      </c>
      <c r="Q24" s="26">
        <f t="shared" si="12"/>
        <v>-9.9999999974897905E-2</v>
      </c>
      <c r="S24" s="21">
        <f t="shared" si="3"/>
        <v>44543</v>
      </c>
      <c r="T24" s="42">
        <v>10.3378</v>
      </c>
      <c r="U24" s="43">
        <f t="shared" si="13"/>
        <v>-0.19999999999953399</v>
      </c>
      <c r="V24" s="44">
        <f t="shared" si="14"/>
        <v>-3.40000000000096</v>
      </c>
      <c r="W24" s="45">
        <f t="shared" si="15"/>
        <v>9.99999999997669E-2</v>
      </c>
      <c r="X24" s="29">
        <v>17.352599999999999</v>
      </c>
      <c r="Y24" s="43">
        <f t="shared" si="16"/>
        <v>-0.19999999999953399</v>
      </c>
      <c r="Z24" s="44">
        <f t="shared" si="17"/>
        <v>-1.59999999999982</v>
      </c>
      <c r="AA24" s="45">
        <f t="shared" si="18"/>
        <v>-9.99999999997669E-2</v>
      </c>
      <c r="AB24" s="49">
        <v>9.7857000000000092</v>
      </c>
      <c r="AC24" s="43">
        <f t="shared" si="19"/>
        <v>-0.20000000000130999</v>
      </c>
      <c r="AD24" s="44">
        <f t="shared" si="20"/>
        <v>-3.1999999999907698</v>
      </c>
      <c r="AE24" s="45">
        <f t="shared" si="21"/>
        <v>-0.100000000000655</v>
      </c>
      <c r="AF24" s="50">
        <v>79270.800000000105</v>
      </c>
      <c r="AG24" s="58">
        <f t="shared" si="22"/>
        <v>68.800000000104802</v>
      </c>
      <c r="AH24" s="61"/>
      <c r="AI24" s="52"/>
      <c r="AJ24" s="52"/>
      <c r="AK24" s="52"/>
      <c r="AL24" s="52"/>
      <c r="AM24" s="52"/>
    </row>
    <row r="25" spans="1:39">
      <c r="A25" s="21">
        <v>44545</v>
      </c>
      <c r="B25" s="22">
        <v>789.95809999999994</v>
      </c>
      <c r="C25" s="27">
        <v>7.4962999999999997</v>
      </c>
      <c r="D25" s="23">
        <f t="shared" si="0"/>
        <v>797.45439999999996</v>
      </c>
      <c r="E25" s="24">
        <f t="shared" si="4"/>
        <v>9.9999999974897905E-2</v>
      </c>
      <c r="F25" s="25">
        <f t="shared" si="5"/>
        <v>-2.2000000000161899</v>
      </c>
      <c r="G25" s="26">
        <f t="shared" si="6"/>
        <v>4.9999999987449001E-2</v>
      </c>
      <c r="H25" s="6">
        <v>8.1947999999999794</v>
      </c>
      <c r="I25" s="35">
        <f t="shared" si="1"/>
        <v>798.15290000000005</v>
      </c>
      <c r="J25" s="24">
        <f t="shared" si="7"/>
        <v>-0.199999999949796</v>
      </c>
      <c r="K25" s="25">
        <f t="shared" si="8"/>
        <v>-3.5000000000309202</v>
      </c>
      <c r="L25" s="26">
        <f t="shared" si="9"/>
        <v>-9.9999999974897905E-2</v>
      </c>
      <c r="M25" s="6">
        <v>6.8432000000000004</v>
      </c>
      <c r="N25" s="35">
        <f t="shared" si="2"/>
        <v>796.80129999999997</v>
      </c>
      <c r="O25" s="24">
        <f t="shared" si="10"/>
        <v>0</v>
      </c>
      <c r="P25" s="25">
        <f t="shared" si="11"/>
        <v>-3.3999999999423398</v>
      </c>
      <c r="Q25" s="26">
        <f t="shared" si="12"/>
        <v>0</v>
      </c>
      <c r="R25" s="41"/>
      <c r="S25" s="21">
        <f t="shared" si="3"/>
        <v>44545</v>
      </c>
      <c r="T25" s="42">
        <v>10.3385</v>
      </c>
      <c r="U25" s="43">
        <f t="shared" si="13"/>
        <v>0.70000000000014495</v>
      </c>
      <c r="V25" s="44">
        <f t="shared" si="14"/>
        <v>-2.7000000000008102</v>
      </c>
      <c r="W25" s="45">
        <f t="shared" si="15"/>
        <v>-0.35000000000007198</v>
      </c>
      <c r="X25" s="29">
        <v>17.3523</v>
      </c>
      <c r="Y25" s="43">
        <f t="shared" si="16"/>
        <v>-0.29999999999930099</v>
      </c>
      <c r="Z25" s="44">
        <f t="shared" si="17"/>
        <v>-1.8999999999991199</v>
      </c>
      <c r="AA25" s="45">
        <f t="shared" si="18"/>
        <v>-0.14999999999965</v>
      </c>
      <c r="AB25" s="49">
        <v>9.7855000000000008</v>
      </c>
      <c r="AC25" s="43">
        <f t="shared" si="19"/>
        <v>-0.200000000008416</v>
      </c>
      <c r="AD25" s="44">
        <f t="shared" si="20"/>
        <v>-3.3999999999991801</v>
      </c>
      <c r="AE25" s="45">
        <f t="shared" si="21"/>
        <v>-0.100000000004208</v>
      </c>
      <c r="AF25" s="50">
        <v>79274.400000000096</v>
      </c>
      <c r="AG25" s="58">
        <f t="shared" si="22"/>
        <v>72.400000000096</v>
      </c>
      <c r="AH25" s="61"/>
      <c r="AI25" s="52"/>
      <c r="AJ25" s="52"/>
      <c r="AK25" s="52"/>
      <c r="AL25" s="52"/>
      <c r="AM25" s="52"/>
    </row>
    <row r="26" spans="1:39">
      <c r="A26" s="21">
        <v>44547</v>
      </c>
      <c r="B26" s="22">
        <v>789.95809999999994</v>
      </c>
      <c r="C26" s="27">
        <v>7.4951999999999996</v>
      </c>
      <c r="D26" s="23">
        <f t="shared" si="0"/>
        <v>797.45330000000001</v>
      </c>
      <c r="E26" s="24">
        <f t="shared" si="4"/>
        <v>-1.1000000000649399</v>
      </c>
      <c r="F26" s="25">
        <f t="shared" si="5"/>
        <v>-3.30000000008113</v>
      </c>
      <c r="G26" s="26">
        <f t="shared" si="6"/>
        <v>-0.55000000003246896</v>
      </c>
      <c r="H26" s="6">
        <v>8.1951000000000001</v>
      </c>
      <c r="I26" s="35">
        <f t="shared" si="1"/>
        <v>798.15319999999997</v>
      </c>
      <c r="J26" s="24">
        <f t="shared" si="7"/>
        <v>0.30000000003838101</v>
      </c>
      <c r="K26" s="25">
        <f t="shared" si="8"/>
        <v>-3.1999999999925399</v>
      </c>
      <c r="L26" s="26">
        <f t="shared" si="9"/>
        <v>0.15000000001919001</v>
      </c>
      <c r="M26" s="6">
        <v>6.8427999999999898</v>
      </c>
      <c r="N26" s="35">
        <f t="shared" si="2"/>
        <v>796.80089999999996</v>
      </c>
      <c r="O26" s="24">
        <f t="shared" si="10"/>
        <v>-0.40000000001327901</v>
      </c>
      <c r="P26" s="25">
        <f t="shared" si="11"/>
        <v>-3.7999999999556202</v>
      </c>
      <c r="Q26" s="26">
        <f t="shared" si="12"/>
        <v>-0.20000000000663901</v>
      </c>
      <c r="R26" s="41"/>
      <c r="S26" s="21">
        <f t="shared" si="3"/>
        <v>44547</v>
      </c>
      <c r="T26" s="42">
        <v>10.3386</v>
      </c>
      <c r="U26" s="43">
        <f t="shared" si="13"/>
        <v>9.99999999997669E-2</v>
      </c>
      <c r="V26" s="44">
        <f t="shared" si="14"/>
        <v>-2.6000000000010499</v>
      </c>
      <c r="W26" s="45">
        <f t="shared" si="15"/>
        <v>-4.9999999999883499E-2</v>
      </c>
      <c r="X26" s="29">
        <v>17.3522</v>
      </c>
      <c r="Y26" s="43">
        <f t="shared" si="16"/>
        <v>-9.99999999997669E-2</v>
      </c>
      <c r="Z26" s="44">
        <f t="shared" si="17"/>
        <v>-1.99999999999889</v>
      </c>
      <c r="AA26" s="45">
        <f t="shared" si="18"/>
        <v>-4.9999999999883499E-2</v>
      </c>
      <c r="AB26" s="49">
        <v>9.7856000000000005</v>
      </c>
      <c r="AC26" s="43">
        <f t="shared" si="19"/>
        <v>9.99999999997669E-2</v>
      </c>
      <c r="AD26" s="44">
        <f t="shared" si="20"/>
        <v>-3.2999999999994101</v>
      </c>
      <c r="AE26" s="45">
        <f t="shared" si="21"/>
        <v>4.9999999999883499E-2</v>
      </c>
      <c r="AF26" s="50">
        <v>79278.000000000102</v>
      </c>
      <c r="AG26" s="58">
        <f t="shared" si="22"/>
        <v>76.000000000101906</v>
      </c>
      <c r="AH26" s="61"/>
      <c r="AI26" s="60"/>
      <c r="AJ26" s="61"/>
      <c r="AK26" s="62"/>
      <c r="AL26" s="60"/>
      <c r="AM26" s="64"/>
    </row>
    <row r="27" spans="1:39">
      <c r="A27" s="21">
        <v>44549</v>
      </c>
      <c r="B27" s="22">
        <v>789.95809999999994</v>
      </c>
      <c r="C27" s="27">
        <v>7.4954999999999998</v>
      </c>
      <c r="D27" s="23">
        <f t="shared" si="0"/>
        <v>797.45360000000005</v>
      </c>
      <c r="E27" s="24">
        <f t="shared" si="4"/>
        <v>0.30000000003838101</v>
      </c>
      <c r="F27" s="25">
        <f t="shared" si="5"/>
        <v>-3.0000000000427498</v>
      </c>
      <c r="G27" s="26">
        <f t="shared" si="6"/>
        <v>0.15000000001919001</v>
      </c>
      <c r="H27" s="6">
        <v>8.1952999999999996</v>
      </c>
      <c r="I27" s="35">
        <f t="shared" si="1"/>
        <v>798.15340000000003</v>
      </c>
      <c r="J27" s="24">
        <f t="shared" si="7"/>
        <v>0.199999999949796</v>
      </c>
      <c r="K27" s="25">
        <f t="shared" si="8"/>
        <v>-3.0000000000427498</v>
      </c>
      <c r="L27" s="26">
        <f t="shared" si="9"/>
        <v>9.9999999974897905E-2</v>
      </c>
      <c r="M27" s="6">
        <v>6.8434999999999997</v>
      </c>
      <c r="N27" s="35">
        <f t="shared" si="2"/>
        <v>796.80160000000001</v>
      </c>
      <c r="O27" s="24">
        <f t="shared" si="10"/>
        <v>0.69999999993797202</v>
      </c>
      <c r="P27" s="25">
        <f t="shared" si="11"/>
        <v>-3.1000000000176402</v>
      </c>
      <c r="Q27" s="26">
        <f t="shared" si="12"/>
        <v>0.34999999996898601</v>
      </c>
      <c r="R27" s="41"/>
      <c r="S27" s="21">
        <f t="shared" si="3"/>
        <v>44549</v>
      </c>
      <c r="T27" s="42">
        <v>10.3384</v>
      </c>
      <c r="U27" s="43">
        <f t="shared" si="13"/>
        <v>-0.19999999999953399</v>
      </c>
      <c r="V27" s="44">
        <f t="shared" si="14"/>
        <v>-2.8000000000005798</v>
      </c>
      <c r="W27" s="45">
        <f t="shared" si="15"/>
        <v>9.99999999997669E-2</v>
      </c>
      <c r="X27" s="29">
        <v>17.3521</v>
      </c>
      <c r="Y27" s="43">
        <f t="shared" si="16"/>
        <v>-9.99999999997669E-2</v>
      </c>
      <c r="Z27" s="44">
        <f t="shared" si="17"/>
        <v>-2.0999999999986598</v>
      </c>
      <c r="AA27" s="45">
        <f t="shared" si="18"/>
        <v>-4.9999999999883499E-2</v>
      </c>
      <c r="AB27" s="49">
        <v>9.7858000000000001</v>
      </c>
      <c r="AC27" s="43">
        <f t="shared" si="19"/>
        <v>0.19999999999953399</v>
      </c>
      <c r="AD27" s="44">
        <f t="shared" si="20"/>
        <v>-3.0999999999998802</v>
      </c>
      <c r="AE27" s="45">
        <f t="shared" si="21"/>
        <v>9.99999999997669E-2</v>
      </c>
      <c r="AF27" s="50">
        <v>79281.600000000093</v>
      </c>
      <c r="AG27" s="58">
        <f t="shared" si="22"/>
        <v>79.600000000093104</v>
      </c>
      <c r="AH27" s="61"/>
      <c r="AI27" s="60"/>
      <c r="AJ27" s="61"/>
      <c r="AK27" s="62"/>
      <c r="AL27" s="60"/>
      <c r="AM27" s="64"/>
    </row>
    <row r="28" spans="1:39">
      <c r="A28" s="21">
        <v>44556</v>
      </c>
      <c r="B28" s="22">
        <v>789.95809999999994</v>
      </c>
      <c r="C28" s="27">
        <v>7.4958</v>
      </c>
      <c r="D28" s="23">
        <f t="shared" si="0"/>
        <v>797.45389999999998</v>
      </c>
      <c r="E28" s="24">
        <f t="shared" si="4"/>
        <v>0.30000000003838101</v>
      </c>
      <c r="F28" s="25">
        <f t="shared" si="5"/>
        <v>-2.70000000000437</v>
      </c>
      <c r="G28" s="26">
        <f t="shared" si="6"/>
        <v>4.2857142862625798E-2</v>
      </c>
      <c r="H28" s="6">
        <v>8.1954999999999991</v>
      </c>
      <c r="I28" s="35">
        <f t="shared" si="1"/>
        <v>798.15359999999998</v>
      </c>
      <c r="J28" s="24">
        <f t="shared" si="7"/>
        <v>0.20000000006348301</v>
      </c>
      <c r="K28" s="25">
        <f t="shared" si="8"/>
        <v>-2.79999999997926</v>
      </c>
      <c r="L28" s="26">
        <f t="shared" si="9"/>
        <v>2.85714285804975E-2</v>
      </c>
      <c r="M28" s="6">
        <v>6.8442000000000096</v>
      </c>
      <c r="N28" s="35">
        <f t="shared" si="2"/>
        <v>796.80229999999995</v>
      </c>
      <c r="O28" s="24">
        <f t="shared" si="10"/>
        <v>0.70000000005165897</v>
      </c>
      <c r="P28" s="25">
        <f t="shared" si="11"/>
        <v>-2.39999999996598</v>
      </c>
      <c r="Q28" s="26">
        <f t="shared" si="12"/>
        <v>0.10000000000738</v>
      </c>
      <c r="R28" s="41"/>
      <c r="S28" s="21">
        <f t="shared" si="3"/>
        <v>44556</v>
      </c>
      <c r="T28" s="42">
        <v>10.338200000000001</v>
      </c>
      <c r="U28" s="43">
        <f t="shared" si="13"/>
        <v>-0.19999999999953399</v>
      </c>
      <c r="V28" s="44">
        <f t="shared" si="14"/>
        <v>-3.0000000000001101</v>
      </c>
      <c r="W28" s="45">
        <f t="shared" si="15"/>
        <v>2.8571428571361999E-2</v>
      </c>
      <c r="X28" s="29">
        <v>17.352</v>
      </c>
      <c r="Y28" s="43">
        <f t="shared" si="16"/>
        <v>-9.99999999997669E-2</v>
      </c>
      <c r="Z28" s="44">
        <f t="shared" si="17"/>
        <v>-2.1999999999984299</v>
      </c>
      <c r="AA28" s="45">
        <f t="shared" si="18"/>
        <v>-1.4285714285680999E-2</v>
      </c>
      <c r="AB28" s="49">
        <v>9.7859999999999996</v>
      </c>
      <c r="AC28" s="43">
        <f t="shared" si="19"/>
        <v>0.19999999999953399</v>
      </c>
      <c r="AD28" s="44">
        <f t="shared" si="20"/>
        <v>-2.9000000000003499</v>
      </c>
      <c r="AE28" s="45">
        <f t="shared" si="21"/>
        <v>2.8571428571361999E-2</v>
      </c>
      <c r="AF28" s="50">
        <v>79285.200000000099</v>
      </c>
      <c r="AG28" s="58">
        <f t="shared" si="22"/>
        <v>83.200000000098996</v>
      </c>
      <c r="AH28" s="61"/>
      <c r="AI28" s="60"/>
      <c r="AJ28" s="61"/>
      <c r="AK28" s="62"/>
      <c r="AL28" s="60"/>
      <c r="AM28" s="64"/>
    </row>
    <row r="29" spans="1:39">
      <c r="A29" s="21">
        <v>44563</v>
      </c>
      <c r="B29" s="22">
        <v>789.95809999999994</v>
      </c>
      <c r="C29" s="27">
        <v>7.4961000000000002</v>
      </c>
      <c r="D29" s="23">
        <f t="shared" si="0"/>
        <v>797.45420000000001</v>
      </c>
      <c r="E29" s="24">
        <f t="shared" si="4"/>
        <v>0.29999999992469401</v>
      </c>
      <c r="F29" s="25">
        <f t="shared" si="5"/>
        <v>-2.40000000007967</v>
      </c>
      <c r="G29" s="26">
        <f t="shared" si="6"/>
        <v>4.2857142846384803E-2</v>
      </c>
      <c r="H29" s="6">
        <v>8.1957000000000004</v>
      </c>
      <c r="I29" s="35">
        <f t="shared" si="1"/>
        <v>798.15380000000005</v>
      </c>
      <c r="J29" s="24">
        <f t="shared" si="7"/>
        <v>0.199999999949796</v>
      </c>
      <c r="K29" s="25">
        <f t="shared" si="8"/>
        <v>-2.6000000000294698</v>
      </c>
      <c r="L29" s="26">
        <f t="shared" si="9"/>
        <v>2.8571428564256599E-2</v>
      </c>
      <c r="M29" s="6">
        <v>6.8449000000000204</v>
      </c>
      <c r="N29" s="35">
        <f t="shared" si="2"/>
        <v>796.803</v>
      </c>
      <c r="O29" s="24">
        <f t="shared" si="10"/>
        <v>0.70000000005165897</v>
      </c>
      <c r="P29" s="25">
        <f t="shared" si="11"/>
        <v>-1.69999999991433</v>
      </c>
      <c r="Q29" s="26">
        <f t="shared" si="12"/>
        <v>0.10000000000738</v>
      </c>
      <c r="R29" s="41"/>
      <c r="S29" s="21">
        <v>44563</v>
      </c>
      <c r="T29" s="42">
        <v>10.337999999999999</v>
      </c>
      <c r="U29" s="43">
        <f t="shared" si="13"/>
        <v>-0.20000000000130999</v>
      </c>
      <c r="V29" s="44">
        <f t="shared" si="14"/>
        <v>-3.2000000000014199</v>
      </c>
      <c r="W29" s="45">
        <f t="shared" si="15"/>
        <v>2.8571428571615699E-2</v>
      </c>
      <c r="X29" s="29">
        <v>17.351900000000001</v>
      </c>
      <c r="Y29" s="43">
        <f t="shared" si="16"/>
        <v>-9.99999999997669E-2</v>
      </c>
      <c r="Z29" s="44">
        <f t="shared" si="17"/>
        <v>-2.2999999999981902</v>
      </c>
      <c r="AA29" s="45">
        <f t="shared" si="18"/>
        <v>-1.4285714285680999E-2</v>
      </c>
      <c r="AB29" s="49">
        <v>9.7861999999999991</v>
      </c>
      <c r="AC29" s="43">
        <f t="shared" si="19"/>
        <v>0.19999999999953399</v>
      </c>
      <c r="AD29" s="44">
        <f t="shared" si="20"/>
        <v>-2.7000000000008102</v>
      </c>
      <c r="AE29" s="45">
        <f t="shared" si="21"/>
        <v>2.8571428571361999E-2</v>
      </c>
      <c r="AF29" s="50">
        <v>79309</v>
      </c>
      <c r="AG29" s="58">
        <f t="shared" si="22"/>
        <v>107</v>
      </c>
      <c r="AH29" s="61"/>
      <c r="AI29" s="60"/>
      <c r="AJ29"/>
      <c r="AK29"/>
      <c r="AL29"/>
      <c r="AM29"/>
    </row>
    <row r="30" spans="1:39">
      <c r="A30" s="21">
        <v>44581</v>
      </c>
      <c r="B30" s="22">
        <v>789.95809999999994</v>
      </c>
      <c r="C30" s="27">
        <v>7.4962</v>
      </c>
      <c r="D30" s="23">
        <f t="shared" si="0"/>
        <v>797.45429999999999</v>
      </c>
      <c r="E30" s="24">
        <f t="shared" si="4"/>
        <v>0.10000000008858501</v>
      </c>
      <c r="F30" s="25">
        <f t="shared" si="5"/>
        <v>-2.2999999999910901</v>
      </c>
      <c r="G30" s="26">
        <f t="shared" si="6"/>
        <v>5.5555555604769298E-3</v>
      </c>
      <c r="H30" s="6">
        <v>8.1954999999999991</v>
      </c>
      <c r="I30" s="35">
        <f t="shared" si="1"/>
        <v>798.15359999999998</v>
      </c>
      <c r="J30" s="24">
        <f t="shared" si="7"/>
        <v>-0.199999999949796</v>
      </c>
      <c r="K30" s="25">
        <f t="shared" si="8"/>
        <v>-2.79999999997926</v>
      </c>
      <c r="L30" s="26">
        <f t="shared" si="9"/>
        <v>-1.1111111108322001E-2</v>
      </c>
      <c r="M30" s="6">
        <v>6.8440000000000003</v>
      </c>
      <c r="N30" s="35">
        <f t="shared" si="2"/>
        <v>796.8021</v>
      </c>
      <c r="O30" s="24">
        <f t="shared" si="10"/>
        <v>-0.90000000000145497</v>
      </c>
      <c r="P30" s="25">
        <f t="shared" si="11"/>
        <v>-2.5999999999157799</v>
      </c>
      <c r="Q30" s="26">
        <f t="shared" si="12"/>
        <v>-5.0000000000080799E-2</v>
      </c>
      <c r="R30" s="41"/>
      <c r="S30" s="21">
        <f>A30</f>
        <v>44581</v>
      </c>
      <c r="T30" s="42">
        <v>10.338100000000001</v>
      </c>
      <c r="U30" s="43">
        <f t="shared" si="13"/>
        <v>0.10000000000154299</v>
      </c>
      <c r="V30" s="44">
        <f t="shared" si="14"/>
        <v>-3.0999999999998802</v>
      </c>
      <c r="W30" s="45">
        <f t="shared" si="15"/>
        <v>-5.5555555556412901E-3</v>
      </c>
      <c r="X30" s="29">
        <v>17.351600000000001</v>
      </c>
      <c r="Y30" s="43">
        <f t="shared" si="16"/>
        <v>-0.29999999999930099</v>
      </c>
      <c r="Z30" s="44">
        <f t="shared" si="17"/>
        <v>-2.5999999999974901</v>
      </c>
      <c r="AA30" s="45">
        <f t="shared" si="18"/>
        <v>-1.6666666666627802E-2</v>
      </c>
      <c r="AB30" s="49">
        <v>9.7859999999999996</v>
      </c>
      <c r="AC30" s="43">
        <f t="shared" si="19"/>
        <v>-0.19999999999953399</v>
      </c>
      <c r="AD30" s="44">
        <f t="shared" si="20"/>
        <v>-2.9000000000003499</v>
      </c>
      <c r="AE30" s="45">
        <f t="shared" si="21"/>
        <v>-1.11111111110852E-2</v>
      </c>
      <c r="AF30" s="50">
        <v>79332.799999999901</v>
      </c>
      <c r="AG30" s="58">
        <f t="shared" si="22"/>
        <v>130.79999999990099</v>
      </c>
      <c r="AH30" s="61"/>
      <c r="AI30" s="60"/>
      <c r="AJ30"/>
      <c r="AK30"/>
      <c r="AL30"/>
      <c r="AM30"/>
    </row>
    <row r="31" spans="1:39">
      <c r="A31" s="21">
        <v>44602</v>
      </c>
      <c r="B31" s="22">
        <v>789.95809999999994</v>
      </c>
      <c r="C31" s="27">
        <v>7.4960000000000004</v>
      </c>
      <c r="D31" s="23">
        <f t="shared" si="0"/>
        <v>797.45410000000004</v>
      </c>
      <c r="E31" s="24">
        <f t="shared" si="4"/>
        <v>-0.20000000006348301</v>
      </c>
      <c r="F31" s="25">
        <f t="shared" si="5"/>
        <v>-2.5000000000545701</v>
      </c>
      <c r="G31" s="26">
        <f t="shared" si="6"/>
        <v>-9.5238095268325093E-3</v>
      </c>
      <c r="H31" s="6">
        <v>8.1952999999999996</v>
      </c>
      <c r="I31" s="35">
        <f t="shared" si="1"/>
        <v>798.15340000000003</v>
      </c>
      <c r="J31" s="24">
        <f t="shared" si="7"/>
        <v>-0.20000000006348301</v>
      </c>
      <c r="K31" s="25">
        <f t="shared" si="8"/>
        <v>-3.0000000000427498</v>
      </c>
      <c r="L31" s="26">
        <f t="shared" si="9"/>
        <v>-9.5238095268325093E-3</v>
      </c>
      <c r="M31" s="6">
        <v>6.8437999999999999</v>
      </c>
      <c r="N31" s="35">
        <f t="shared" si="2"/>
        <v>796.80190000000005</v>
      </c>
      <c r="O31" s="24">
        <f t="shared" si="10"/>
        <v>-0.20000000006348301</v>
      </c>
      <c r="P31" s="25">
        <f t="shared" si="11"/>
        <v>-2.79999999997926</v>
      </c>
      <c r="Q31" s="26">
        <f t="shared" si="12"/>
        <v>-9.5238095268325093E-3</v>
      </c>
      <c r="R31" s="41"/>
      <c r="S31" s="21">
        <v>44602</v>
      </c>
      <c r="T31" s="42">
        <v>10.338200000000001</v>
      </c>
      <c r="U31" s="43">
        <f t="shared" si="13"/>
        <v>9.99999999997669E-2</v>
      </c>
      <c r="V31" s="44">
        <f t="shared" si="14"/>
        <v>-3.0000000000001101</v>
      </c>
      <c r="W31" s="45">
        <f t="shared" si="15"/>
        <v>-4.7619047618936601E-3</v>
      </c>
      <c r="X31" s="29">
        <v>17.351700000000001</v>
      </c>
      <c r="Y31" s="43">
        <f t="shared" si="16"/>
        <v>9.99999999997669E-2</v>
      </c>
      <c r="Z31" s="44">
        <f t="shared" si="17"/>
        <v>-2.4999999999977298</v>
      </c>
      <c r="AA31" s="45">
        <f t="shared" si="18"/>
        <v>4.7619047618936601E-3</v>
      </c>
      <c r="AB31" s="49">
        <v>9.7861999999999991</v>
      </c>
      <c r="AC31" s="43">
        <f t="shared" si="19"/>
        <v>0.19999999999953399</v>
      </c>
      <c r="AD31" s="44">
        <f t="shared" si="20"/>
        <v>-2.7000000000008102</v>
      </c>
      <c r="AE31" s="45">
        <f t="shared" si="21"/>
        <v>9.5238095237873306E-3</v>
      </c>
      <c r="AF31" s="50">
        <v>79356.599999999802</v>
      </c>
      <c r="AG31" s="58">
        <f t="shared" si="22"/>
        <v>154.59999999980201</v>
      </c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65">
        <f>F31-F30</f>
        <v>-0.20000000006348301</v>
      </c>
      <c r="F33" s="33">
        <f>K31-K30</f>
        <v>-0.20000000006348301</v>
      </c>
      <c r="G33" s="33">
        <f>P31-P30</f>
        <v>-0.20000000006348301</v>
      </c>
      <c r="H33" s="68">
        <f>F31</f>
        <v>-2.5000000000545701</v>
      </c>
      <c r="I33" s="69">
        <f>K31</f>
        <v>-3.0000000000427498</v>
      </c>
      <c r="J33" s="65">
        <f>P31</f>
        <v>-2.79999999997926</v>
      </c>
      <c r="K33" s="33">
        <f>(K31-K30)/30</f>
        <v>-6.66666666878276E-3</v>
      </c>
      <c r="L33" s="26"/>
      <c r="N33" s="35"/>
      <c r="O33" s="24"/>
      <c r="P33" s="25"/>
      <c r="Q33" s="26"/>
      <c r="R33" s="41"/>
      <c r="S33" s="21"/>
      <c r="T33" s="42"/>
      <c r="U33" s="65">
        <f>V31-V30</f>
        <v>9.99999999997669E-2</v>
      </c>
      <c r="V33" s="33">
        <f>Z31-Z30</f>
        <v>9.99999999997669E-2</v>
      </c>
      <c r="W33" s="33">
        <f>AD31-AD30</f>
        <v>0.19999999999953399</v>
      </c>
      <c r="X33" s="33">
        <f>V31</f>
        <v>-3.0000000000001101</v>
      </c>
      <c r="Y33" s="65">
        <f>Z31</f>
        <v>-2.4999999999977298</v>
      </c>
      <c r="Z33" s="33">
        <f>AD31</f>
        <v>-2.7000000000008102</v>
      </c>
      <c r="AA33" s="33">
        <f>(AD31-AD30)/30</f>
        <v>6.66666666665113E-3</v>
      </c>
      <c r="AB33" s="49"/>
      <c r="AC33" s="43"/>
      <c r="AD33" s="44"/>
      <c r="AE33" s="45"/>
      <c r="AF33" s="50"/>
      <c r="AG33" s="58"/>
      <c r="AH33" s="61"/>
      <c r="AI33" s="60"/>
      <c r="AJ33"/>
      <c r="AK33"/>
      <c r="AL33"/>
      <c r="AM33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3"/>
  <sheetViews>
    <sheetView topLeftCell="P23" workbookViewId="0">
      <selection activeCell="U32" sqref="U32:AA32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44530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44530</v>
      </c>
      <c r="B6" s="22">
        <v>789.95809999999994</v>
      </c>
      <c r="C6" s="27">
        <v>7.7484999999999999</v>
      </c>
      <c r="D6" s="23">
        <f t="shared" ref="D6:D30" si="0">C6+B6</f>
        <v>797.70659999999998</v>
      </c>
      <c r="E6" s="24">
        <v>0</v>
      </c>
      <c r="F6" s="25">
        <v>0</v>
      </c>
      <c r="G6" s="26">
        <v>0</v>
      </c>
      <c r="H6" s="6">
        <v>8.1213999999999995</v>
      </c>
      <c r="I6" s="35">
        <f t="shared" ref="I6:I30" si="1">H6+B6</f>
        <v>798.07950000000005</v>
      </c>
      <c r="J6" s="24">
        <v>0</v>
      </c>
      <c r="K6" s="25">
        <v>0</v>
      </c>
      <c r="L6" s="26">
        <v>0</v>
      </c>
      <c r="M6" s="6">
        <v>6.8983999999999996</v>
      </c>
      <c r="N6" s="35">
        <f t="shared" ref="N6:N30" si="2">M6+B6</f>
        <v>796.85649999999998</v>
      </c>
      <c r="O6" s="24">
        <v>0</v>
      </c>
      <c r="P6" s="25">
        <v>0</v>
      </c>
      <c r="Q6" s="26">
        <v>0</v>
      </c>
      <c r="R6" s="41"/>
      <c r="S6" s="21">
        <f t="shared" ref="S6:S30" si="3">A6</f>
        <v>44530</v>
      </c>
      <c r="T6" s="42">
        <v>10.3788</v>
      </c>
      <c r="U6" s="43">
        <v>0</v>
      </c>
      <c r="V6" s="44">
        <v>0</v>
      </c>
      <c r="W6" s="45">
        <f>U6/(S6-S11)</f>
        <v>0</v>
      </c>
      <c r="X6" s="29">
        <v>17.414200000000001</v>
      </c>
      <c r="Y6" s="43">
        <v>0</v>
      </c>
      <c r="Z6" s="44">
        <v>0</v>
      </c>
      <c r="AA6" s="45">
        <v>0</v>
      </c>
      <c r="AB6" s="49">
        <v>9.7222000000000008</v>
      </c>
      <c r="AC6" s="43">
        <v>0</v>
      </c>
      <c r="AD6" s="44">
        <v>0</v>
      </c>
      <c r="AE6" s="45">
        <v>0</v>
      </c>
      <c r="AF6" s="50">
        <v>79220</v>
      </c>
      <c r="AG6" s="58">
        <f>AF6-79215</f>
        <v>5</v>
      </c>
      <c r="AH6" s="59"/>
      <c r="AI6" s="60"/>
      <c r="AJ6" s="61"/>
      <c r="AK6" s="62"/>
      <c r="AL6" s="52"/>
      <c r="AM6" s="52"/>
    </row>
    <row r="7" spans="1:39">
      <c r="A7" s="21">
        <v>44531</v>
      </c>
      <c r="B7" s="22">
        <v>789.95809999999994</v>
      </c>
      <c r="C7" s="27">
        <v>7.7485999999999997</v>
      </c>
      <c r="D7" s="23">
        <f t="shared" si="0"/>
        <v>797.70669999999996</v>
      </c>
      <c r="E7" s="24">
        <f t="shared" ref="E7:E28" si="4">(D7-D6)*1000</f>
        <v>9.9999999974897905E-2</v>
      </c>
      <c r="F7" s="25">
        <f t="shared" ref="F7:F28" si="5">F6+E7</f>
        <v>9.9999999974897905E-2</v>
      </c>
      <c r="G7" s="26">
        <f t="shared" ref="G7:G28" si="6">E7/(A7-A6)</f>
        <v>9.9999999974897905E-2</v>
      </c>
      <c r="H7" s="6">
        <v>8.1210000000000004</v>
      </c>
      <c r="I7" s="35">
        <f t="shared" si="1"/>
        <v>798.07910000000004</v>
      </c>
      <c r="J7" s="24">
        <f t="shared" ref="J7:J28" si="7">(I7-I6)*1000</f>
        <v>-0.40000000001327901</v>
      </c>
      <c r="K7" s="25">
        <f t="shared" ref="K7:K28" si="8">K6+J7</f>
        <v>-0.40000000001327901</v>
      </c>
      <c r="L7" s="26">
        <f t="shared" ref="L7:L28" si="9">J7/(A7-A6)</f>
        <v>-0.40000000001327901</v>
      </c>
      <c r="M7" s="6">
        <v>6.8989000000000003</v>
      </c>
      <c r="N7" s="35">
        <f t="shared" si="2"/>
        <v>796.85699999999997</v>
      </c>
      <c r="O7" s="24">
        <f t="shared" ref="O7:O28" si="10">(N7-N6)*1000</f>
        <v>0.49999999998817701</v>
      </c>
      <c r="P7" s="25">
        <f t="shared" ref="P7:P28" si="11">P6+O7</f>
        <v>0.49999999998817701</v>
      </c>
      <c r="Q7" s="26">
        <f t="shared" ref="Q7:Q28" si="12">O7/(A7-A6)</f>
        <v>0.49999999998817701</v>
      </c>
      <c r="R7" s="41"/>
      <c r="S7" s="21">
        <f t="shared" si="3"/>
        <v>44531</v>
      </c>
      <c r="T7" s="42">
        <v>10.3786</v>
      </c>
      <c r="U7" s="43">
        <f t="shared" ref="U7:U28" si="13">(T7-T6)*1000</f>
        <v>-0.19999999999953399</v>
      </c>
      <c r="V7" s="44">
        <f t="shared" ref="V7:V28" si="14">V6+U7</f>
        <v>-0.19999999999953399</v>
      </c>
      <c r="W7" s="45">
        <f t="shared" ref="W7:W28" si="15">U7/(S6-S7)</f>
        <v>0.19999999999953399</v>
      </c>
      <c r="X7" s="29">
        <v>17.414000000000001</v>
      </c>
      <c r="Y7" s="43">
        <f t="shared" ref="Y7:Y28" si="16">(X7-X6)*1000</f>
        <v>-0.19999999999953399</v>
      </c>
      <c r="Z7" s="44">
        <f t="shared" ref="Z7:Z28" si="17">Z6+Y7</f>
        <v>-0.19999999999953399</v>
      </c>
      <c r="AA7" s="45">
        <f t="shared" ref="AA7:AA28" si="18">Y7/(S7-S6)</f>
        <v>-0.19999999999953399</v>
      </c>
      <c r="AB7" s="49">
        <v>9.7227999999999994</v>
      </c>
      <c r="AC7" s="43">
        <f t="shared" ref="AC7:AC28" si="19">(AB7-AB6)*1000</f>
        <v>0.59999999999860198</v>
      </c>
      <c r="AD7" s="44">
        <f t="shared" ref="AD7:AD28" si="20">AD6+AC7</f>
        <v>0.59999999999860198</v>
      </c>
      <c r="AE7" s="45">
        <f t="shared" ref="AE7:AE28" si="21">AC7/(S7-S6)</f>
        <v>0.59999999999860198</v>
      </c>
      <c r="AF7" s="50">
        <v>79222</v>
      </c>
      <c r="AG7" s="58">
        <f t="shared" ref="AG7:AG30" si="22">AF7-79215</f>
        <v>7</v>
      </c>
      <c r="AH7" s="59"/>
      <c r="AI7" s="60"/>
      <c r="AJ7" s="61"/>
      <c r="AK7" s="62"/>
      <c r="AL7" s="52"/>
      <c r="AM7" s="52"/>
    </row>
    <row r="8" spans="1:39">
      <c r="A8" s="21">
        <v>44532</v>
      </c>
      <c r="B8" s="22">
        <v>789.95809999999994</v>
      </c>
      <c r="C8" s="27">
        <v>7.7484000000000002</v>
      </c>
      <c r="D8" s="23">
        <f t="shared" si="0"/>
        <v>797.70650000000001</v>
      </c>
      <c r="E8" s="24">
        <f t="shared" si="4"/>
        <v>-0.20000000006348301</v>
      </c>
      <c r="F8" s="25">
        <f t="shared" si="5"/>
        <v>-0.10000000008858501</v>
      </c>
      <c r="G8" s="26">
        <f t="shared" si="6"/>
        <v>-0.20000000006348301</v>
      </c>
      <c r="H8" s="6">
        <v>8.1211000000000002</v>
      </c>
      <c r="I8" s="35">
        <f t="shared" si="1"/>
        <v>798.07920000000001</v>
      </c>
      <c r="J8" s="24">
        <f t="shared" si="7"/>
        <v>9.9999999974897905E-2</v>
      </c>
      <c r="K8" s="25">
        <f t="shared" si="8"/>
        <v>-0.30000000003838101</v>
      </c>
      <c r="L8" s="26">
        <f t="shared" si="9"/>
        <v>9.9999999974897905E-2</v>
      </c>
      <c r="M8" s="6">
        <v>6.8982000000000001</v>
      </c>
      <c r="N8" s="35">
        <f t="shared" si="2"/>
        <v>796.85630000000003</v>
      </c>
      <c r="O8" s="24">
        <f t="shared" si="10"/>
        <v>-0.70000000005165897</v>
      </c>
      <c r="P8" s="25">
        <f t="shared" si="11"/>
        <v>-0.20000000006348301</v>
      </c>
      <c r="Q8" s="26">
        <f t="shared" si="12"/>
        <v>-0.70000000005165897</v>
      </c>
      <c r="R8" s="41"/>
      <c r="S8" s="21">
        <f t="shared" si="3"/>
        <v>44532</v>
      </c>
      <c r="T8" s="42">
        <v>10.3782</v>
      </c>
      <c r="U8" s="43">
        <f t="shared" si="13"/>
        <v>-0.40000000000084401</v>
      </c>
      <c r="V8" s="44">
        <f t="shared" si="14"/>
        <v>-0.60000000000037801</v>
      </c>
      <c r="W8" s="45">
        <f t="shared" si="15"/>
        <v>0.40000000000084401</v>
      </c>
      <c r="X8" s="29">
        <v>17.414999999999999</v>
      </c>
      <c r="Y8" s="43">
        <f t="shared" si="16"/>
        <v>0.99999999999766898</v>
      </c>
      <c r="Z8" s="44">
        <f t="shared" si="17"/>
        <v>0.79999999999813598</v>
      </c>
      <c r="AA8" s="45">
        <f t="shared" si="18"/>
        <v>0.99999999999766898</v>
      </c>
      <c r="AB8" s="49">
        <v>9.7225000000000001</v>
      </c>
      <c r="AC8" s="43">
        <f t="shared" si="19"/>
        <v>-0.29999999999930099</v>
      </c>
      <c r="AD8" s="44">
        <f t="shared" si="20"/>
        <v>0.29999999999930099</v>
      </c>
      <c r="AE8" s="45">
        <f t="shared" si="21"/>
        <v>-0.29999999999930099</v>
      </c>
      <c r="AF8" s="50">
        <v>79224</v>
      </c>
      <c r="AG8" s="58">
        <f t="shared" si="22"/>
        <v>9</v>
      </c>
      <c r="AH8" s="59"/>
      <c r="AI8" s="60"/>
      <c r="AJ8" s="61"/>
      <c r="AK8" s="62"/>
      <c r="AL8" s="52"/>
      <c r="AM8" s="52"/>
    </row>
    <row r="9" spans="1:39">
      <c r="A9" s="21">
        <v>44533</v>
      </c>
      <c r="B9" s="22">
        <v>789.95809999999994</v>
      </c>
      <c r="C9" s="27">
        <v>7.7485999999999997</v>
      </c>
      <c r="D9" s="23">
        <f t="shared" si="0"/>
        <v>797.70669999999996</v>
      </c>
      <c r="E9" s="24">
        <f t="shared" si="4"/>
        <v>0.20000000006348301</v>
      </c>
      <c r="F9" s="25">
        <f t="shared" si="5"/>
        <v>9.9999999974897905E-2</v>
      </c>
      <c r="G9" s="26">
        <f t="shared" si="6"/>
        <v>0.20000000006348301</v>
      </c>
      <c r="H9" s="6">
        <v>8.1209000000000007</v>
      </c>
      <c r="I9" s="35">
        <f t="shared" si="1"/>
        <v>798.07899999999995</v>
      </c>
      <c r="J9" s="24">
        <f t="shared" si="7"/>
        <v>-0.199999999949796</v>
      </c>
      <c r="K9" s="25">
        <f t="shared" si="8"/>
        <v>-0.49999999998817701</v>
      </c>
      <c r="L9" s="26">
        <f t="shared" si="9"/>
        <v>-0.199999999949796</v>
      </c>
      <c r="M9" s="6">
        <v>6.8985000000000003</v>
      </c>
      <c r="N9" s="35">
        <f t="shared" si="2"/>
        <v>796.85659999999996</v>
      </c>
      <c r="O9" s="24">
        <f t="shared" si="10"/>
        <v>0.30000000003838101</v>
      </c>
      <c r="P9" s="25">
        <f t="shared" si="11"/>
        <v>9.9999999974897905E-2</v>
      </c>
      <c r="Q9" s="26">
        <f t="shared" si="12"/>
        <v>0.30000000003838101</v>
      </c>
      <c r="R9" s="41"/>
      <c r="S9" s="21">
        <f t="shared" si="3"/>
        <v>44533</v>
      </c>
      <c r="T9" s="42">
        <v>10.3789</v>
      </c>
      <c r="U9" s="43">
        <f t="shared" si="13"/>
        <v>0.70000000000014495</v>
      </c>
      <c r="V9" s="44">
        <f t="shared" si="14"/>
        <v>9.99999999997669E-2</v>
      </c>
      <c r="W9" s="45">
        <f t="shared" si="15"/>
        <v>-0.70000000000014495</v>
      </c>
      <c r="X9" s="29">
        <v>17.413599999999999</v>
      </c>
      <c r="Y9" s="43">
        <f t="shared" si="16"/>
        <v>-1.4000000000002899</v>
      </c>
      <c r="Z9" s="44">
        <f t="shared" si="17"/>
        <v>-0.60000000000215403</v>
      </c>
      <c r="AA9" s="45">
        <f t="shared" si="18"/>
        <v>-1.4000000000002899</v>
      </c>
      <c r="AB9" s="49">
        <v>9.7223000000000006</v>
      </c>
      <c r="AC9" s="43">
        <f t="shared" si="19"/>
        <v>-0.19999999999953399</v>
      </c>
      <c r="AD9" s="44">
        <f t="shared" si="20"/>
        <v>9.99999999997669E-2</v>
      </c>
      <c r="AE9" s="45">
        <f t="shared" si="21"/>
        <v>-0.19999999999953399</v>
      </c>
      <c r="AF9" s="50">
        <v>79226</v>
      </c>
      <c r="AG9" s="58">
        <f t="shared" si="22"/>
        <v>11</v>
      </c>
      <c r="AH9" s="59"/>
      <c r="AI9" s="60"/>
      <c r="AJ9" s="61"/>
      <c r="AK9" s="62"/>
      <c r="AL9" s="52"/>
      <c r="AM9" s="52"/>
    </row>
    <row r="10" spans="1:39">
      <c r="A10" s="21">
        <v>44534</v>
      </c>
      <c r="B10" s="22">
        <v>789.95809999999994</v>
      </c>
      <c r="C10" s="27">
        <v>7.7480000000000002</v>
      </c>
      <c r="D10" s="23">
        <f t="shared" si="0"/>
        <v>797.70609999999999</v>
      </c>
      <c r="E10" s="24">
        <f t="shared" si="4"/>
        <v>-0.59999999996307496</v>
      </c>
      <c r="F10" s="25">
        <f t="shared" si="5"/>
        <v>-0.49999999998817701</v>
      </c>
      <c r="G10" s="26">
        <f t="shared" si="6"/>
        <v>-0.59999999996307496</v>
      </c>
      <c r="H10" s="6">
        <v>8.1204999999999998</v>
      </c>
      <c r="I10" s="35">
        <f t="shared" si="1"/>
        <v>798.07860000000005</v>
      </c>
      <c r="J10" s="24">
        <f t="shared" si="7"/>
        <v>-0.40000000001327901</v>
      </c>
      <c r="K10" s="25">
        <f t="shared" si="8"/>
        <v>-0.90000000000145497</v>
      </c>
      <c r="L10" s="26">
        <f t="shared" si="9"/>
        <v>-0.40000000001327901</v>
      </c>
      <c r="M10" s="6">
        <v>6.8981000000000003</v>
      </c>
      <c r="N10" s="35">
        <f t="shared" si="2"/>
        <v>796.85619999999994</v>
      </c>
      <c r="O10" s="24">
        <f t="shared" si="10"/>
        <v>-0.40000000001327901</v>
      </c>
      <c r="P10" s="25">
        <f t="shared" si="11"/>
        <v>-0.30000000003838101</v>
      </c>
      <c r="Q10" s="26">
        <f t="shared" si="12"/>
        <v>-0.40000000001327901</v>
      </c>
      <c r="R10" s="41"/>
      <c r="S10" s="21">
        <f t="shared" si="3"/>
        <v>44534</v>
      </c>
      <c r="T10" s="42">
        <v>10.378500000000001</v>
      </c>
      <c r="U10" s="43">
        <f t="shared" si="13"/>
        <v>-0.39999999999906799</v>
      </c>
      <c r="V10" s="44">
        <f t="shared" si="14"/>
        <v>-0.29999999999930099</v>
      </c>
      <c r="W10" s="45">
        <f t="shared" si="15"/>
        <v>0.39999999999906799</v>
      </c>
      <c r="X10" s="29">
        <v>17.413399999999999</v>
      </c>
      <c r="Y10" s="43">
        <f t="shared" si="16"/>
        <v>-0.19999999999953399</v>
      </c>
      <c r="Z10" s="44">
        <f t="shared" si="17"/>
        <v>-0.80000000000168803</v>
      </c>
      <c r="AA10" s="45">
        <f t="shared" si="18"/>
        <v>-0.19999999999953399</v>
      </c>
      <c r="AB10" s="49">
        <v>9.7220999999999993</v>
      </c>
      <c r="AC10" s="43">
        <f t="shared" si="19"/>
        <v>-0.20000000000130999</v>
      </c>
      <c r="AD10" s="44">
        <f t="shared" si="20"/>
        <v>-0.10000000000154299</v>
      </c>
      <c r="AE10" s="45">
        <f t="shared" si="21"/>
        <v>-0.20000000000130999</v>
      </c>
      <c r="AF10" s="50">
        <v>79228</v>
      </c>
      <c r="AG10" s="58">
        <f t="shared" si="22"/>
        <v>13</v>
      </c>
      <c r="AH10" s="59"/>
      <c r="AI10" s="60"/>
      <c r="AJ10" s="61"/>
      <c r="AK10" s="62"/>
      <c r="AL10" s="52"/>
      <c r="AM10" s="52"/>
    </row>
    <row r="11" spans="1:39">
      <c r="A11" s="21">
        <v>44535</v>
      </c>
      <c r="B11" s="22">
        <v>789.95809999999994</v>
      </c>
      <c r="C11" s="27">
        <v>7.7477999999999998</v>
      </c>
      <c r="D11" s="23">
        <f t="shared" si="0"/>
        <v>797.70590000000004</v>
      </c>
      <c r="E11" s="24">
        <f t="shared" si="4"/>
        <v>-0.20000000006348301</v>
      </c>
      <c r="F11" s="25">
        <f t="shared" si="5"/>
        <v>-0.70000000005165897</v>
      </c>
      <c r="G11" s="26">
        <f t="shared" si="6"/>
        <v>-0.20000000006348301</v>
      </c>
      <c r="H11" s="6">
        <v>8.1204999999999998</v>
      </c>
      <c r="I11" s="35">
        <f t="shared" si="1"/>
        <v>798.07860000000005</v>
      </c>
      <c r="J11" s="24">
        <f t="shared" si="7"/>
        <v>0</v>
      </c>
      <c r="K11" s="25">
        <f t="shared" si="8"/>
        <v>-0.90000000000145497</v>
      </c>
      <c r="L11" s="26">
        <f t="shared" si="9"/>
        <v>0</v>
      </c>
      <c r="M11" s="6">
        <v>6.8978999999999999</v>
      </c>
      <c r="N11" s="35">
        <f t="shared" si="2"/>
        <v>796.85599999999999</v>
      </c>
      <c r="O11" s="24">
        <f t="shared" si="10"/>
        <v>-0.199999999949796</v>
      </c>
      <c r="P11" s="25">
        <f t="shared" si="11"/>
        <v>-0.49999999998817701</v>
      </c>
      <c r="Q11" s="26">
        <f t="shared" si="12"/>
        <v>-0.199999999949796</v>
      </c>
      <c r="R11" s="41"/>
      <c r="S11" s="21">
        <f t="shared" si="3"/>
        <v>44535</v>
      </c>
      <c r="T11" s="42">
        <v>10.378299999999999</v>
      </c>
      <c r="U11" s="43">
        <f t="shared" si="13"/>
        <v>-0.20000000000130999</v>
      </c>
      <c r="V11" s="44">
        <f t="shared" si="14"/>
        <v>-0.50000000000061096</v>
      </c>
      <c r="W11" s="45">
        <f t="shared" si="15"/>
        <v>0.20000000000130999</v>
      </c>
      <c r="X11" s="29">
        <v>17.4148</v>
      </c>
      <c r="Y11" s="43">
        <f t="shared" si="16"/>
        <v>1.4000000000002899</v>
      </c>
      <c r="Z11" s="44">
        <f t="shared" si="17"/>
        <v>0.59999999999860198</v>
      </c>
      <c r="AA11" s="45">
        <f t="shared" si="18"/>
        <v>1.4000000000002899</v>
      </c>
      <c r="AB11" s="49">
        <v>9.7219999999999995</v>
      </c>
      <c r="AC11" s="43">
        <f t="shared" si="19"/>
        <v>-9.99999999997669E-2</v>
      </c>
      <c r="AD11" s="44">
        <f t="shared" si="20"/>
        <v>-0.20000000000130999</v>
      </c>
      <c r="AE11" s="45">
        <f t="shared" si="21"/>
        <v>-9.99999999997669E-2</v>
      </c>
      <c r="AF11" s="50">
        <v>79230</v>
      </c>
      <c r="AG11" s="58">
        <f t="shared" si="22"/>
        <v>15</v>
      </c>
      <c r="AH11" s="61"/>
      <c r="AI11" s="60"/>
      <c r="AJ11" s="52"/>
      <c r="AK11" s="52"/>
      <c r="AL11" s="52"/>
      <c r="AM11" s="52"/>
    </row>
    <row r="12" spans="1:39">
      <c r="A12" s="21">
        <v>44536</v>
      </c>
      <c r="B12" s="22">
        <v>789.95809999999994</v>
      </c>
      <c r="C12" s="27">
        <v>7.7472000000000003</v>
      </c>
      <c r="D12" s="23">
        <f t="shared" si="0"/>
        <v>797.70529999999997</v>
      </c>
      <c r="E12" s="24">
        <f t="shared" si="4"/>
        <v>-0.59999999996307496</v>
      </c>
      <c r="F12" s="25">
        <f t="shared" si="5"/>
        <v>-1.30000000001473</v>
      </c>
      <c r="G12" s="26">
        <f t="shared" si="6"/>
        <v>-0.59999999996307496</v>
      </c>
      <c r="H12" s="6">
        <v>8.1203000000000003</v>
      </c>
      <c r="I12" s="35">
        <f t="shared" si="1"/>
        <v>798.07839999999999</v>
      </c>
      <c r="J12" s="24">
        <f t="shared" si="7"/>
        <v>-0.199999999949796</v>
      </c>
      <c r="K12" s="25">
        <f t="shared" si="8"/>
        <v>-1.09999999995125</v>
      </c>
      <c r="L12" s="26">
        <f t="shared" si="9"/>
        <v>-0.199999999949796</v>
      </c>
      <c r="M12" s="6">
        <v>6.8975</v>
      </c>
      <c r="N12" s="35">
        <f t="shared" si="2"/>
        <v>796.85559999999998</v>
      </c>
      <c r="O12" s="24">
        <f t="shared" si="10"/>
        <v>-0.40000000001327901</v>
      </c>
      <c r="P12" s="25">
        <f t="shared" si="11"/>
        <v>-0.90000000000145497</v>
      </c>
      <c r="Q12" s="26">
        <f t="shared" si="12"/>
        <v>-0.40000000001327901</v>
      </c>
      <c r="R12" s="41"/>
      <c r="S12" s="21">
        <f t="shared" si="3"/>
        <v>44536</v>
      </c>
      <c r="T12" s="42">
        <v>10.3781</v>
      </c>
      <c r="U12" s="43">
        <f t="shared" si="13"/>
        <v>-0.19999999999953399</v>
      </c>
      <c r="V12" s="44">
        <f t="shared" si="14"/>
        <v>-0.70000000000014495</v>
      </c>
      <c r="W12" s="45">
        <f t="shared" si="15"/>
        <v>0.19999999999953399</v>
      </c>
      <c r="X12" s="29">
        <v>17.413</v>
      </c>
      <c r="Y12" s="43">
        <f t="shared" si="16"/>
        <v>-1.7999999999993599</v>
      </c>
      <c r="Z12" s="44">
        <f t="shared" si="17"/>
        <v>-1.20000000000076</v>
      </c>
      <c r="AA12" s="45">
        <f t="shared" si="18"/>
        <v>-1.7999999999993599</v>
      </c>
      <c r="AB12" s="49">
        <v>9.7217000000000002</v>
      </c>
      <c r="AC12" s="43">
        <f t="shared" si="19"/>
        <v>-0.29999999999930099</v>
      </c>
      <c r="AD12" s="44">
        <f t="shared" si="20"/>
        <v>-0.50000000000061096</v>
      </c>
      <c r="AE12" s="45">
        <f t="shared" si="21"/>
        <v>-0.29999999999930099</v>
      </c>
      <c r="AF12" s="50">
        <v>79232</v>
      </c>
      <c r="AG12" s="58">
        <f t="shared" si="22"/>
        <v>17</v>
      </c>
      <c r="AH12" s="61"/>
      <c r="AI12" s="60"/>
      <c r="AJ12" s="52"/>
      <c r="AK12" s="52"/>
      <c r="AL12" s="52"/>
      <c r="AM12" s="52"/>
    </row>
    <row r="13" spans="1:39">
      <c r="A13" s="21">
        <v>44537</v>
      </c>
      <c r="B13" s="22">
        <v>789.95809999999994</v>
      </c>
      <c r="C13" s="27">
        <v>7.7473999999999998</v>
      </c>
      <c r="D13" s="23">
        <f t="shared" si="0"/>
        <v>797.70550000000003</v>
      </c>
      <c r="E13" s="24">
        <f t="shared" si="4"/>
        <v>0.199999999949796</v>
      </c>
      <c r="F13" s="25">
        <f t="shared" si="5"/>
        <v>-1.1000000000649399</v>
      </c>
      <c r="G13" s="26">
        <f t="shared" si="6"/>
        <v>0.199999999949796</v>
      </c>
      <c r="H13" s="6">
        <v>8.1205999999999996</v>
      </c>
      <c r="I13" s="35">
        <f t="shared" si="1"/>
        <v>798.07870000000003</v>
      </c>
      <c r="J13" s="24">
        <f t="shared" si="7"/>
        <v>0.29999999992469401</v>
      </c>
      <c r="K13" s="25">
        <f t="shared" si="8"/>
        <v>-0.80000000002655702</v>
      </c>
      <c r="L13" s="26">
        <f t="shared" si="9"/>
        <v>0.29999999992469401</v>
      </c>
      <c r="M13" s="6">
        <v>6.8975</v>
      </c>
      <c r="N13" s="35">
        <f t="shared" si="2"/>
        <v>796.85559999999998</v>
      </c>
      <c r="O13" s="24">
        <f t="shared" si="10"/>
        <v>0</v>
      </c>
      <c r="P13" s="25">
        <f t="shared" si="11"/>
        <v>-0.90000000000145497</v>
      </c>
      <c r="Q13" s="26">
        <f t="shared" si="12"/>
        <v>0</v>
      </c>
      <c r="R13" s="41"/>
      <c r="S13" s="21">
        <f t="shared" si="3"/>
        <v>44537</v>
      </c>
      <c r="T13" s="42">
        <v>10.3782</v>
      </c>
      <c r="U13" s="43">
        <f t="shared" si="13"/>
        <v>9.99999999997669E-2</v>
      </c>
      <c r="V13" s="44">
        <f t="shared" si="14"/>
        <v>-0.60000000000037801</v>
      </c>
      <c r="W13" s="45">
        <f t="shared" si="15"/>
        <v>-9.99999999997669E-2</v>
      </c>
      <c r="X13" s="29">
        <v>17.412800000000001</v>
      </c>
      <c r="Y13" s="43">
        <f t="shared" si="16"/>
        <v>-0.19999999999953399</v>
      </c>
      <c r="Z13" s="44">
        <f t="shared" si="17"/>
        <v>-1.4000000000002899</v>
      </c>
      <c r="AA13" s="45">
        <f t="shared" si="18"/>
        <v>-0.19999999999953399</v>
      </c>
      <c r="AB13" s="49">
        <v>9.7215000000000007</v>
      </c>
      <c r="AC13" s="43">
        <f t="shared" si="19"/>
        <v>-0.19999999999953399</v>
      </c>
      <c r="AD13" s="44">
        <f t="shared" si="20"/>
        <v>-0.70000000000014495</v>
      </c>
      <c r="AE13" s="45">
        <f t="shared" si="21"/>
        <v>-0.19999999999953399</v>
      </c>
      <c r="AF13" s="50">
        <v>79234</v>
      </c>
      <c r="AG13" s="58">
        <f t="shared" si="22"/>
        <v>19</v>
      </c>
      <c r="AH13" s="61"/>
      <c r="AI13" s="60"/>
      <c r="AJ13"/>
      <c r="AK13"/>
      <c r="AL13"/>
      <c r="AM13"/>
    </row>
    <row r="14" spans="1:39">
      <c r="A14" s="21">
        <v>44538</v>
      </c>
      <c r="B14" s="22">
        <v>789.95809999999994</v>
      </c>
      <c r="C14" s="27">
        <v>7.7472000000000003</v>
      </c>
      <c r="D14" s="23">
        <f t="shared" si="0"/>
        <v>797.70529999999997</v>
      </c>
      <c r="E14" s="24">
        <f t="shared" si="4"/>
        <v>-0.199999999949796</v>
      </c>
      <c r="F14" s="25">
        <f t="shared" si="5"/>
        <v>-1.30000000001473</v>
      </c>
      <c r="G14" s="26">
        <f t="shared" si="6"/>
        <v>-0.199999999949796</v>
      </c>
      <c r="H14" s="6">
        <v>8.1198999999999995</v>
      </c>
      <c r="I14" s="35">
        <f t="shared" si="1"/>
        <v>798.07799999999997</v>
      </c>
      <c r="J14" s="24">
        <f t="shared" si="7"/>
        <v>-0.69999999993797202</v>
      </c>
      <c r="K14" s="25">
        <f t="shared" si="8"/>
        <v>-1.4999999999645299</v>
      </c>
      <c r="L14" s="26">
        <f t="shared" si="9"/>
        <v>-0.69999999993797202</v>
      </c>
      <c r="M14" s="6">
        <v>6.8973000000000004</v>
      </c>
      <c r="N14" s="35">
        <f t="shared" si="2"/>
        <v>796.85540000000003</v>
      </c>
      <c r="O14" s="24">
        <f t="shared" si="10"/>
        <v>-0.20000000006348301</v>
      </c>
      <c r="P14" s="25">
        <f t="shared" si="11"/>
        <v>-1.1000000000649399</v>
      </c>
      <c r="Q14" s="26">
        <f t="shared" si="12"/>
        <v>-0.20000000006348301</v>
      </c>
      <c r="R14" s="41"/>
      <c r="S14" s="21">
        <f t="shared" si="3"/>
        <v>44538</v>
      </c>
      <c r="T14" s="42">
        <v>10.377700000000001</v>
      </c>
      <c r="U14" s="43">
        <f t="shared" si="13"/>
        <v>-0.49999999999883499</v>
      </c>
      <c r="V14" s="44">
        <f t="shared" si="14"/>
        <v>-1.0999999999992101</v>
      </c>
      <c r="W14" s="45">
        <f t="shared" si="15"/>
        <v>0.49999999999883499</v>
      </c>
      <c r="X14" s="29">
        <v>17.412299999999998</v>
      </c>
      <c r="Y14" s="43">
        <f t="shared" si="16"/>
        <v>-0.50000000000238698</v>
      </c>
      <c r="Z14" s="44">
        <f t="shared" si="17"/>
        <v>-1.90000000000268</v>
      </c>
      <c r="AA14" s="45">
        <f t="shared" si="18"/>
        <v>-0.50000000000238698</v>
      </c>
      <c r="AB14" s="49">
        <v>9.7218</v>
      </c>
      <c r="AC14" s="43">
        <f t="shared" si="19"/>
        <v>0.29999999999930099</v>
      </c>
      <c r="AD14" s="44">
        <f t="shared" si="20"/>
        <v>-0.40000000000084401</v>
      </c>
      <c r="AE14" s="45">
        <f t="shared" si="21"/>
        <v>0.29999999999930099</v>
      </c>
      <c r="AF14" s="50">
        <v>79236</v>
      </c>
      <c r="AG14" s="58">
        <f t="shared" si="22"/>
        <v>21</v>
      </c>
      <c r="AH14" s="61"/>
      <c r="AI14" s="60"/>
      <c r="AJ14" s="52"/>
      <c r="AK14" s="52"/>
      <c r="AL14" s="52"/>
      <c r="AM14" s="52"/>
    </row>
    <row r="15" spans="1:39">
      <c r="A15" s="21">
        <v>44539</v>
      </c>
      <c r="B15" s="22">
        <v>789.95809999999994</v>
      </c>
      <c r="C15" s="27">
        <v>7.7469999999999999</v>
      </c>
      <c r="D15" s="23">
        <f t="shared" si="0"/>
        <v>797.70510000000002</v>
      </c>
      <c r="E15" s="24">
        <f t="shared" si="4"/>
        <v>-0.20000000006348301</v>
      </c>
      <c r="F15" s="25">
        <f t="shared" si="5"/>
        <v>-1.5000000000782201</v>
      </c>
      <c r="G15" s="26">
        <f t="shared" si="6"/>
        <v>-0.20000000006348301</v>
      </c>
      <c r="H15" s="6">
        <v>8.1196999999999999</v>
      </c>
      <c r="I15" s="35">
        <f t="shared" si="1"/>
        <v>798.07780000000002</v>
      </c>
      <c r="J15" s="24">
        <f t="shared" si="7"/>
        <v>-0.20000000006348301</v>
      </c>
      <c r="K15" s="25">
        <f t="shared" si="8"/>
        <v>-1.70000000002801</v>
      </c>
      <c r="L15" s="26">
        <f t="shared" si="9"/>
        <v>-0.20000000006348301</v>
      </c>
      <c r="M15" s="6">
        <v>6.8975</v>
      </c>
      <c r="N15" s="35">
        <f t="shared" si="2"/>
        <v>796.85559999999998</v>
      </c>
      <c r="O15" s="24">
        <f t="shared" si="10"/>
        <v>0.20000000006348301</v>
      </c>
      <c r="P15" s="25">
        <f t="shared" si="11"/>
        <v>-0.90000000000145497</v>
      </c>
      <c r="Q15" s="26">
        <f t="shared" si="12"/>
        <v>0.20000000006348301</v>
      </c>
      <c r="R15" s="41"/>
      <c r="S15" s="21">
        <f t="shared" si="3"/>
        <v>44539</v>
      </c>
      <c r="T15" s="42">
        <v>10.3775</v>
      </c>
      <c r="U15" s="43">
        <f t="shared" si="13"/>
        <v>-0.20000000000130999</v>
      </c>
      <c r="V15" s="44">
        <f t="shared" si="14"/>
        <v>-1.3000000000005201</v>
      </c>
      <c r="W15" s="45">
        <f t="shared" si="15"/>
        <v>0.20000000000130999</v>
      </c>
      <c r="X15" s="29">
        <v>17.412400000000002</v>
      </c>
      <c r="Y15" s="43">
        <f t="shared" si="16"/>
        <v>0.10000000000332</v>
      </c>
      <c r="Z15" s="44">
        <f t="shared" si="17"/>
        <v>-1.7999999999993599</v>
      </c>
      <c r="AA15" s="45">
        <f t="shared" si="18"/>
        <v>0.10000000000332</v>
      </c>
      <c r="AB15" s="49">
        <v>9.7210999999999999</v>
      </c>
      <c r="AC15" s="43">
        <f t="shared" si="19"/>
        <v>-0.70000000000014495</v>
      </c>
      <c r="AD15" s="44">
        <f t="shared" si="20"/>
        <v>-1.10000000000099</v>
      </c>
      <c r="AE15" s="45">
        <f t="shared" si="21"/>
        <v>-0.70000000000014495</v>
      </c>
      <c r="AF15" s="50">
        <v>79238</v>
      </c>
      <c r="AG15" s="58">
        <f t="shared" si="22"/>
        <v>23</v>
      </c>
      <c r="AH15" s="61"/>
      <c r="AI15" s="60"/>
      <c r="AJ15" s="52"/>
      <c r="AK15" s="52"/>
      <c r="AL15" s="52"/>
      <c r="AM15" s="52"/>
    </row>
    <row r="16" spans="1:39">
      <c r="A16" s="21">
        <v>44540</v>
      </c>
      <c r="B16" s="22">
        <v>789.95809999999994</v>
      </c>
      <c r="C16" s="27">
        <v>7.7470999999999997</v>
      </c>
      <c r="D16" s="23">
        <f t="shared" si="0"/>
        <v>797.70519999999999</v>
      </c>
      <c r="E16" s="24">
        <f t="shared" si="4"/>
        <v>0.10000000008858501</v>
      </c>
      <c r="F16" s="25">
        <f t="shared" si="5"/>
        <v>-1.39999999998963</v>
      </c>
      <c r="G16" s="26">
        <f t="shared" si="6"/>
        <v>0.10000000008858501</v>
      </c>
      <c r="H16" s="6">
        <v>8.1203000000000003</v>
      </c>
      <c r="I16" s="35">
        <f t="shared" si="1"/>
        <v>798.07839999999999</v>
      </c>
      <c r="J16" s="24">
        <f t="shared" si="7"/>
        <v>0.60000000007676102</v>
      </c>
      <c r="K16" s="25">
        <f t="shared" si="8"/>
        <v>-1.09999999995125</v>
      </c>
      <c r="L16" s="26">
        <f t="shared" si="9"/>
        <v>0.60000000007676102</v>
      </c>
      <c r="M16" s="6">
        <v>6.8968999999999996</v>
      </c>
      <c r="N16" s="35">
        <f t="shared" si="2"/>
        <v>796.85500000000002</v>
      </c>
      <c r="O16" s="24">
        <f t="shared" si="10"/>
        <v>-0.60000000007676102</v>
      </c>
      <c r="P16" s="25">
        <f t="shared" si="11"/>
        <v>-1.5000000000782201</v>
      </c>
      <c r="Q16" s="26">
        <f t="shared" si="12"/>
        <v>-0.60000000007676102</v>
      </c>
      <c r="R16" s="41"/>
      <c r="S16" s="21">
        <f t="shared" si="3"/>
        <v>44540</v>
      </c>
      <c r="T16" s="42">
        <v>10.377800000000001</v>
      </c>
      <c r="U16" s="43">
        <f t="shared" si="13"/>
        <v>0.30000000000107702</v>
      </c>
      <c r="V16" s="44">
        <f t="shared" si="14"/>
        <v>-0.999999999999446</v>
      </c>
      <c r="W16" s="45">
        <f t="shared" si="15"/>
        <v>-0.30000000000107702</v>
      </c>
      <c r="X16" s="29">
        <v>17.412199999999999</v>
      </c>
      <c r="Y16" s="43">
        <f t="shared" si="16"/>
        <v>-0.20000000000308699</v>
      </c>
      <c r="Z16" s="44">
        <f t="shared" si="17"/>
        <v>-2.0000000000024398</v>
      </c>
      <c r="AA16" s="45">
        <f t="shared" si="18"/>
        <v>-0.20000000000308699</v>
      </c>
      <c r="AB16" s="49">
        <v>9.7209000000000003</v>
      </c>
      <c r="AC16" s="43">
        <f t="shared" si="19"/>
        <v>-0.19999999999953399</v>
      </c>
      <c r="AD16" s="44">
        <f t="shared" si="20"/>
        <v>-1.3000000000005201</v>
      </c>
      <c r="AE16" s="45">
        <f t="shared" si="21"/>
        <v>-0.19999999999953399</v>
      </c>
      <c r="AF16" s="50">
        <v>79240</v>
      </c>
      <c r="AG16" s="58">
        <f t="shared" si="22"/>
        <v>25</v>
      </c>
      <c r="AH16" s="61"/>
      <c r="AI16" s="60"/>
      <c r="AJ16" s="52"/>
      <c r="AK16" s="52"/>
      <c r="AL16" s="52"/>
      <c r="AM16" s="52"/>
    </row>
    <row r="17" spans="1:39">
      <c r="A17" s="21">
        <v>44541</v>
      </c>
      <c r="B17" s="22">
        <v>789.95809999999994</v>
      </c>
      <c r="C17" s="27">
        <v>7.7465999999999999</v>
      </c>
      <c r="D17" s="23">
        <f t="shared" si="0"/>
        <v>797.7047</v>
      </c>
      <c r="E17" s="24">
        <f t="shared" si="4"/>
        <v>-0.50000000010186296</v>
      </c>
      <c r="F17" s="25">
        <f t="shared" si="5"/>
        <v>-1.9000000000915001</v>
      </c>
      <c r="G17" s="26">
        <f t="shared" si="6"/>
        <v>-0.50000000010186296</v>
      </c>
      <c r="H17" s="6">
        <v>8.1193000000000008</v>
      </c>
      <c r="I17" s="35">
        <f t="shared" si="1"/>
        <v>798.07740000000001</v>
      </c>
      <c r="J17" s="24">
        <f t="shared" si="7"/>
        <v>-1.00000000009004</v>
      </c>
      <c r="K17" s="25">
        <f t="shared" si="8"/>
        <v>-2.1000000000412902</v>
      </c>
      <c r="L17" s="26">
        <f t="shared" si="9"/>
        <v>-1.00000000009004</v>
      </c>
      <c r="M17" s="6">
        <v>6.8967000000000001</v>
      </c>
      <c r="N17" s="35">
        <f t="shared" si="2"/>
        <v>796.85479999999995</v>
      </c>
      <c r="O17" s="24">
        <f t="shared" si="10"/>
        <v>-0.199999999949796</v>
      </c>
      <c r="P17" s="25">
        <f t="shared" si="11"/>
        <v>-1.70000000002801</v>
      </c>
      <c r="Q17" s="26">
        <f t="shared" si="12"/>
        <v>-0.199999999949796</v>
      </c>
      <c r="R17" s="41"/>
      <c r="S17" s="21">
        <f t="shared" si="3"/>
        <v>44541</v>
      </c>
      <c r="T17" s="42">
        <v>10.3771</v>
      </c>
      <c r="U17" s="43">
        <f t="shared" si="13"/>
        <v>-0.70000000000014495</v>
      </c>
      <c r="V17" s="44">
        <f t="shared" si="14"/>
        <v>-1.6999999999995901</v>
      </c>
      <c r="W17" s="45">
        <f t="shared" si="15"/>
        <v>0.70000000000014495</v>
      </c>
      <c r="X17" s="29">
        <v>17.412299999999998</v>
      </c>
      <c r="Y17" s="43">
        <f t="shared" si="16"/>
        <v>9.99999999997669E-2</v>
      </c>
      <c r="Z17" s="44">
        <f t="shared" si="17"/>
        <v>-1.90000000000268</v>
      </c>
      <c r="AA17" s="45">
        <f t="shared" si="18"/>
        <v>9.99999999997669E-2</v>
      </c>
      <c r="AB17" s="49">
        <v>9.7205999999999992</v>
      </c>
      <c r="AC17" s="43">
        <f t="shared" si="19"/>
        <v>-0.30000000000107702</v>
      </c>
      <c r="AD17" s="44">
        <f t="shared" si="20"/>
        <v>-1.6000000000015999</v>
      </c>
      <c r="AE17" s="45">
        <f t="shared" si="21"/>
        <v>-0.30000000000107702</v>
      </c>
      <c r="AF17" s="50">
        <v>79242</v>
      </c>
      <c r="AG17" s="58">
        <f t="shared" si="22"/>
        <v>27</v>
      </c>
      <c r="AH17" s="61"/>
      <c r="AI17" s="52"/>
      <c r="AJ17" s="52"/>
      <c r="AK17" s="52"/>
      <c r="AL17" s="52"/>
      <c r="AM17" s="52"/>
    </row>
    <row r="18" spans="1:39">
      <c r="A18" s="21">
        <v>44542</v>
      </c>
      <c r="B18" s="22">
        <v>789.95809999999994</v>
      </c>
      <c r="C18" s="27">
        <v>7.7464000000000004</v>
      </c>
      <c r="D18" s="23">
        <f t="shared" si="0"/>
        <v>797.70450000000005</v>
      </c>
      <c r="E18" s="24">
        <f t="shared" si="4"/>
        <v>-0.199999999949796</v>
      </c>
      <c r="F18" s="25">
        <f t="shared" si="5"/>
        <v>-2.1000000000412902</v>
      </c>
      <c r="G18" s="26">
        <f t="shared" si="6"/>
        <v>-0.199999999949796</v>
      </c>
      <c r="H18" s="6">
        <v>8.1190999999999995</v>
      </c>
      <c r="I18" s="35">
        <f t="shared" si="1"/>
        <v>798.07719999999995</v>
      </c>
      <c r="J18" s="24">
        <f t="shared" si="7"/>
        <v>-0.199999999949796</v>
      </c>
      <c r="K18" s="25">
        <f t="shared" si="8"/>
        <v>-2.2999999999910901</v>
      </c>
      <c r="L18" s="26">
        <f t="shared" si="9"/>
        <v>-0.199999999949796</v>
      </c>
      <c r="M18" s="6">
        <v>6.8971999999999998</v>
      </c>
      <c r="N18" s="35">
        <f t="shared" si="2"/>
        <v>796.85530000000006</v>
      </c>
      <c r="O18" s="24">
        <f t="shared" si="10"/>
        <v>0.49999999998817701</v>
      </c>
      <c r="P18" s="25">
        <f t="shared" si="11"/>
        <v>-1.2000000000398401</v>
      </c>
      <c r="Q18" s="26">
        <f t="shared" si="12"/>
        <v>0.49999999998817701</v>
      </c>
      <c r="R18" s="41"/>
      <c r="S18" s="21">
        <f t="shared" si="3"/>
        <v>44542</v>
      </c>
      <c r="T18" s="42">
        <v>10.376899999999999</v>
      </c>
      <c r="U18" s="43">
        <f t="shared" si="13"/>
        <v>-0.20000000000130999</v>
      </c>
      <c r="V18" s="44">
        <f t="shared" si="14"/>
        <v>-1.9000000000009001</v>
      </c>
      <c r="W18" s="45">
        <f t="shared" si="15"/>
        <v>0.20000000000130999</v>
      </c>
      <c r="X18" s="29">
        <v>17.411799999999999</v>
      </c>
      <c r="Y18" s="43">
        <f t="shared" si="16"/>
        <v>-0.49999999999883499</v>
      </c>
      <c r="Z18" s="44">
        <f t="shared" si="17"/>
        <v>-2.4000000000015098</v>
      </c>
      <c r="AA18" s="45">
        <f t="shared" si="18"/>
        <v>-0.49999999999883499</v>
      </c>
      <c r="AB18" s="49">
        <v>9.7204999999999995</v>
      </c>
      <c r="AC18" s="43">
        <f t="shared" si="19"/>
        <v>-9.99999999997669E-2</v>
      </c>
      <c r="AD18" s="44">
        <f t="shared" si="20"/>
        <v>-1.70000000000137</v>
      </c>
      <c r="AE18" s="45">
        <f t="shared" si="21"/>
        <v>-9.99999999997669E-2</v>
      </c>
      <c r="AF18" s="50">
        <v>79244</v>
      </c>
      <c r="AG18" s="58">
        <f t="shared" si="22"/>
        <v>29</v>
      </c>
      <c r="AH18" s="61"/>
      <c r="AI18" s="52"/>
      <c r="AJ18" s="52"/>
      <c r="AK18" s="52"/>
      <c r="AL18" s="52"/>
      <c r="AM18" s="52"/>
    </row>
    <row r="19" spans="1:39">
      <c r="A19" s="21">
        <v>44543</v>
      </c>
      <c r="B19" s="22">
        <v>789.95809999999994</v>
      </c>
      <c r="C19" s="27">
        <v>7.7472000000000003</v>
      </c>
      <c r="D19" s="23">
        <f t="shared" si="0"/>
        <v>797.70529999999997</v>
      </c>
      <c r="E19" s="24">
        <f t="shared" si="4"/>
        <v>0.80000000002655702</v>
      </c>
      <c r="F19" s="25">
        <f t="shared" si="5"/>
        <v>-1.30000000001473</v>
      </c>
      <c r="G19" s="26">
        <f t="shared" si="6"/>
        <v>0.80000000002655702</v>
      </c>
      <c r="H19" s="6">
        <v>8.1195000000000004</v>
      </c>
      <c r="I19" s="35">
        <f t="shared" si="1"/>
        <v>798.07759999999996</v>
      </c>
      <c r="J19" s="24">
        <f t="shared" si="7"/>
        <v>0.40000000001327901</v>
      </c>
      <c r="K19" s="25">
        <f t="shared" si="8"/>
        <v>-1.8999999999778101</v>
      </c>
      <c r="L19" s="26">
        <f t="shared" si="9"/>
        <v>0.40000000001327901</v>
      </c>
      <c r="M19" s="6">
        <v>6.8963000000000001</v>
      </c>
      <c r="N19" s="35">
        <f t="shared" si="2"/>
        <v>796.85440000000006</v>
      </c>
      <c r="O19" s="24">
        <f t="shared" si="10"/>
        <v>-0.90000000000145497</v>
      </c>
      <c r="P19" s="25">
        <f t="shared" si="11"/>
        <v>-2.1000000000412902</v>
      </c>
      <c r="Q19" s="26">
        <f t="shared" si="12"/>
        <v>-0.90000000000145497</v>
      </c>
      <c r="R19" s="41"/>
      <c r="S19" s="21">
        <f t="shared" si="3"/>
        <v>44543</v>
      </c>
      <c r="T19" s="42">
        <v>10.3765</v>
      </c>
      <c r="U19" s="43">
        <f t="shared" si="13"/>
        <v>-0.39999999999906799</v>
      </c>
      <c r="V19" s="44">
        <f t="shared" si="14"/>
        <v>-2.2999999999999701</v>
      </c>
      <c r="W19" s="45">
        <f t="shared" si="15"/>
        <v>0.39999999999906799</v>
      </c>
      <c r="X19" s="29">
        <v>17.4116</v>
      </c>
      <c r="Y19" s="43">
        <f t="shared" si="16"/>
        <v>-0.19999999999953399</v>
      </c>
      <c r="Z19" s="44">
        <f t="shared" si="17"/>
        <v>-2.6000000000010499</v>
      </c>
      <c r="AA19" s="45">
        <f t="shared" si="18"/>
        <v>-0.19999999999953399</v>
      </c>
      <c r="AB19" s="49">
        <v>9.7203000000000106</v>
      </c>
      <c r="AC19" s="43">
        <f t="shared" si="19"/>
        <v>-0.19999999998887599</v>
      </c>
      <c r="AD19" s="44">
        <f t="shared" si="20"/>
        <v>-1.8999999999902399</v>
      </c>
      <c r="AE19" s="45">
        <f t="shared" si="21"/>
        <v>-0.19999999998887599</v>
      </c>
      <c r="AF19" s="50">
        <v>79246</v>
      </c>
      <c r="AG19" s="58">
        <f t="shared" si="22"/>
        <v>31</v>
      </c>
      <c r="AH19" s="61"/>
      <c r="AI19" s="52"/>
      <c r="AJ19" s="52"/>
      <c r="AK19" s="52"/>
      <c r="AL19" s="52"/>
      <c r="AM19" s="52"/>
    </row>
    <row r="20" spans="1:39">
      <c r="A20" s="21">
        <v>44544</v>
      </c>
      <c r="B20" s="22">
        <v>789.95809999999994</v>
      </c>
      <c r="C20" s="27">
        <v>7.7460000000000004</v>
      </c>
      <c r="D20" s="23">
        <f t="shared" si="0"/>
        <v>797.70410000000004</v>
      </c>
      <c r="E20" s="24">
        <f t="shared" si="4"/>
        <v>-1.2000000000398401</v>
      </c>
      <c r="F20" s="25">
        <f t="shared" si="5"/>
        <v>-2.5000000000545701</v>
      </c>
      <c r="G20" s="26">
        <f t="shared" si="6"/>
        <v>-1.2000000000398401</v>
      </c>
      <c r="H20" s="6">
        <v>8.1187000000000005</v>
      </c>
      <c r="I20" s="35">
        <f t="shared" si="1"/>
        <v>798.07680000000005</v>
      </c>
      <c r="J20" s="24">
        <f t="shared" si="7"/>
        <v>-0.80000000002655702</v>
      </c>
      <c r="K20" s="25">
        <f t="shared" si="8"/>
        <v>-2.70000000000437</v>
      </c>
      <c r="L20" s="26">
        <f t="shared" si="9"/>
        <v>-0.80000000002655702</v>
      </c>
      <c r="M20" s="6">
        <v>6.8960999999999997</v>
      </c>
      <c r="N20" s="35">
        <f t="shared" si="2"/>
        <v>796.85419999999999</v>
      </c>
      <c r="O20" s="24">
        <f t="shared" si="10"/>
        <v>-0.199999999949796</v>
      </c>
      <c r="P20" s="25">
        <f t="shared" si="11"/>
        <v>-2.2999999999910901</v>
      </c>
      <c r="Q20" s="26">
        <f t="shared" si="12"/>
        <v>-0.199999999949796</v>
      </c>
      <c r="R20" s="41"/>
      <c r="S20" s="21">
        <f t="shared" si="3"/>
        <v>44544</v>
      </c>
      <c r="T20" s="42">
        <v>10.3766</v>
      </c>
      <c r="U20" s="43">
        <f t="shared" si="13"/>
        <v>9.99999999997669E-2</v>
      </c>
      <c r="V20" s="44">
        <f t="shared" si="14"/>
        <v>-2.2000000000002</v>
      </c>
      <c r="W20" s="45">
        <f t="shared" si="15"/>
        <v>-9.99999999997669E-2</v>
      </c>
      <c r="X20" s="29">
        <v>17.411799999999999</v>
      </c>
      <c r="Y20" s="43">
        <f t="shared" si="16"/>
        <v>0.19999999999953399</v>
      </c>
      <c r="Z20" s="44">
        <f t="shared" si="17"/>
        <v>-2.4000000000015098</v>
      </c>
      <c r="AA20" s="45">
        <f t="shared" si="18"/>
        <v>0.19999999999953399</v>
      </c>
      <c r="AB20" s="49">
        <v>9.7201000000000093</v>
      </c>
      <c r="AC20" s="43">
        <f t="shared" si="19"/>
        <v>-0.20000000000130999</v>
      </c>
      <c r="AD20" s="44">
        <f t="shared" si="20"/>
        <v>-2.09999999999155</v>
      </c>
      <c r="AE20" s="45">
        <f t="shared" si="21"/>
        <v>-0.20000000000130999</v>
      </c>
      <c r="AF20" s="50">
        <v>79248</v>
      </c>
      <c r="AG20" s="58">
        <f t="shared" si="22"/>
        <v>33</v>
      </c>
      <c r="AH20" s="61"/>
      <c r="AI20" s="52"/>
      <c r="AJ20" s="52"/>
      <c r="AK20" s="52"/>
      <c r="AL20" s="52"/>
      <c r="AM20" s="52"/>
    </row>
    <row r="21" spans="1:39">
      <c r="A21" s="21">
        <v>44546</v>
      </c>
      <c r="B21" s="22">
        <v>789.95809999999994</v>
      </c>
      <c r="C21" s="27">
        <v>7.7457000000000003</v>
      </c>
      <c r="D21" s="23">
        <f t="shared" si="0"/>
        <v>797.7038</v>
      </c>
      <c r="E21" s="24">
        <f t="shared" si="4"/>
        <v>-0.29999999992469401</v>
      </c>
      <c r="F21" s="25">
        <f t="shared" si="5"/>
        <v>-2.79999999997926</v>
      </c>
      <c r="G21" s="26">
        <f t="shared" si="6"/>
        <v>-0.149999999962347</v>
      </c>
      <c r="H21" s="6">
        <v>8.1184999999999992</v>
      </c>
      <c r="I21" s="35">
        <f t="shared" si="1"/>
        <v>798.07659999999998</v>
      </c>
      <c r="J21" s="24">
        <f t="shared" si="7"/>
        <v>-0.199999999949796</v>
      </c>
      <c r="K21" s="25">
        <f t="shared" si="8"/>
        <v>-2.8999999999541601</v>
      </c>
      <c r="L21" s="26">
        <f t="shared" si="9"/>
        <v>-9.9999999974897905E-2</v>
      </c>
      <c r="M21" s="6">
        <v>6.8964999999999996</v>
      </c>
      <c r="N21" s="35">
        <f t="shared" si="2"/>
        <v>796.8546</v>
      </c>
      <c r="O21" s="24">
        <f t="shared" si="10"/>
        <v>0.39999999989959201</v>
      </c>
      <c r="P21" s="25">
        <f t="shared" si="11"/>
        <v>-1.9000000000915001</v>
      </c>
      <c r="Q21" s="26">
        <f t="shared" si="12"/>
        <v>0.199999999949796</v>
      </c>
      <c r="R21" s="41"/>
      <c r="S21" s="21">
        <f t="shared" si="3"/>
        <v>44546</v>
      </c>
      <c r="T21" s="42">
        <v>10.376300000000001</v>
      </c>
      <c r="U21" s="43">
        <f t="shared" si="13"/>
        <v>-0.29999999999930099</v>
      </c>
      <c r="V21" s="44">
        <f t="shared" si="14"/>
        <v>-2.4999999999995</v>
      </c>
      <c r="W21" s="45">
        <f t="shared" si="15"/>
        <v>0.14999999999965</v>
      </c>
      <c r="X21" s="29">
        <v>17.411200000000001</v>
      </c>
      <c r="Y21" s="43">
        <f t="shared" si="16"/>
        <v>-0.59999999999860198</v>
      </c>
      <c r="Z21" s="44">
        <f t="shared" si="17"/>
        <v>-3.0000000000001101</v>
      </c>
      <c r="AA21" s="45">
        <f t="shared" si="18"/>
        <v>-0.29999999999930099</v>
      </c>
      <c r="AB21" s="49">
        <v>9.7204999999999995</v>
      </c>
      <c r="AC21" s="43">
        <f t="shared" si="19"/>
        <v>0.39999999999018598</v>
      </c>
      <c r="AD21" s="44">
        <f t="shared" si="20"/>
        <v>-1.70000000000137</v>
      </c>
      <c r="AE21" s="45">
        <f t="shared" si="21"/>
        <v>0.19999999999509299</v>
      </c>
      <c r="AF21" s="50">
        <v>79250</v>
      </c>
      <c r="AG21" s="58">
        <f t="shared" si="22"/>
        <v>35</v>
      </c>
      <c r="AH21" s="61"/>
      <c r="AI21" s="52"/>
      <c r="AJ21" s="52"/>
      <c r="AK21" s="52"/>
      <c r="AL21" s="52"/>
      <c r="AM21" s="52"/>
    </row>
    <row r="22" spans="1:39">
      <c r="A22" s="21">
        <v>44548</v>
      </c>
      <c r="B22" s="22">
        <v>789.95809999999994</v>
      </c>
      <c r="C22" s="27">
        <v>7.7454999999999998</v>
      </c>
      <c r="D22" s="23">
        <f t="shared" si="0"/>
        <v>797.70360000000005</v>
      </c>
      <c r="E22" s="24">
        <f t="shared" si="4"/>
        <v>-0.20000000006348301</v>
      </c>
      <c r="F22" s="25">
        <f t="shared" si="5"/>
        <v>-3.0000000000427498</v>
      </c>
      <c r="G22" s="26">
        <f t="shared" si="6"/>
        <v>-0.100000000031741</v>
      </c>
      <c r="H22" s="6">
        <v>8.1189999999999998</v>
      </c>
      <c r="I22" s="35">
        <f t="shared" si="1"/>
        <v>798.07709999999997</v>
      </c>
      <c r="J22" s="24">
        <f t="shared" si="7"/>
        <v>0.49999999998817701</v>
      </c>
      <c r="K22" s="25">
        <f t="shared" si="8"/>
        <v>-2.39999999996598</v>
      </c>
      <c r="L22" s="26">
        <f t="shared" si="9"/>
        <v>0.24999999999408801</v>
      </c>
      <c r="M22" s="6">
        <v>6.8956999999999997</v>
      </c>
      <c r="N22" s="35">
        <f t="shared" si="2"/>
        <v>796.85379999999998</v>
      </c>
      <c r="O22" s="24">
        <f t="shared" si="10"/>
        <v>-0.79999999991286996</v>
      </c>
      <c r="P22" s="25">
        <f t="shared" si="11"/>
        <v>-2.70000000000437</v>
      </c>
      <c r="Q22" s="26">
        <f t="shared" si="12"/>
        <v>-0.39999999995643498</v>
      </c>
      <c r="R22" s="41"/>
      <c r="S22" s="21">
        <f t="shared" si="3"/>
        <v>44548</v>
      </c>
      <c r="T22" s="42">
        <v>10.376200000000001</v>
      </c>
      <c r="U22" s="43">
        <f t="shared" si="13"/>
        <v>-9.99999999997669E-2</v>
      </c>
      <c r="V22" s="44">
        <f t="shared" si="14"/>
        <v>-2.59999999999927</v>
      </c>
      <c r="W22" s="45">
        <f t="shared" si="15"/>
        <v>4.9999999999883499E-2</v>
      </c>
      <c r="X22" s="29">
        <v>17.4115</v>
      </c>
      <c r="Y22" s="43">
        <f t="shared" si="16"/>
        <v>0.29999999999930099</v>
      </c>
      <c r="Z22" s="44">
        <f t="shared" si="17"/>
        <v>-2.7000000000008102</v>
      </c>
      <c r="AA22" s="45">
        <f t="shared" si="18"/>
        <v>0.14999999999965</v>
      </c>
      <c r="AB22" s="49">
        <v>9.7199000000000009</v>
      </c>
      <c r="AC22" s="43">
        <f t="shared" si="19"/>
        <v>-0.59999999999860198</v>
      </c>
      <c r="AD22" s="44">
        <f t="shared" si="20"/>
        <v>-2.2999999999999701</v>
      </c>
      <c r="AE22" s="45">
        <f t="shared" si="21"/>
        <v>-0.29999999999930099</v>
      </c>
      <c r="AF22" s="50">
        <v>79252</v>
      </c>
      <c r="AG22" s="58">
        <f t="shared" si="22"/>
        <v>37</v>
      </c>
      <c r="AH22" s="61"/>
      <c r="AI22" s="52"/>
      <c r="AJ22" s="52"/>
      <c r="AK22" s="52"/>
      <c r="AL22" s="52"/>
      <c r="AM22" s="52"/>
    </row>
    <row r="23" spans="1:39">
      <c r="A23" s="21">
        <v>44550</v>
      </c>
      <c r="B23" s="22">
        <v>789.95809999999994</v>
      </c>
      <c r="C23" s="27">
        <v>7.7453000000000003</v>
      </c>
      <c r="D23" s="23">
        <f t="shared" si="0"/>
        <v>797.70339999999999</v>
      </c>
      <c r="E23" s="24">
        <f t="shared" si="4"/>
        <v>-0.199999999949796</v>
      </c>
      <c r="F23" s="25">
        <f t="shared" si="5"/>
        <v>-3.1999999999925399</v>
      </c>
      <c r="G23" s="26">
        <f t="shared" si="6"/>
        <v>-9.9999999974897905E-2</v>
      </c>
      <c r="H23" s="6">
        <v>8.1191999999999993</v>
      </c>
      <c r="I23" s="35">
        <f t="shared" si="1"/>
        <v>798.07730000000004</v>
      </c>
      <c r="J23" s="24">
        <f t="shared" si="7"/>
        <v>0.199999999949796</v>
      </c>
      <c r="K23" s="25">
        <f t="shared" si="8"/>
        <v>-2.2000000000161899</v>
      </c>
      <c r="L23" s="26">
        <f t="shared" si="9"/>
        <v>9.9999999974897905E-2</v>
      </c>
      <c r="M23" s="6">
        <v>6.8958000000000004</v>
      </c>
      <c r="N23" s="35">
        <f t="shared" si="2"/>
        <v>796.85389999999995</v>
      </c>
      <c r="O23" s="24">
        <f t="shared" si="10"/>
        <v>9.9999999974897905E-2</v>
      </c>
      <c r="P23" s="25">
        <f t="shared" si="11"/>
        <v>-2.6000000000294698</v>
      </c>
      <c r="Q23" s="26">
        <f t="shared" si="12"/>
        <v>4.9999999987449001E-2</v>
      </c>
      <c r="S23" s="21">
        <f t="shared" si="3"/>
        <v>44550</v>
      </c>
      <c r="T23" s="42">
        <v>10.3764</v>
      </c>
      <c r="U23" s="43">
        <f t="shared" si="13"/>
        <v>0.19999999999953399</v>
      </c>
      <c r="V23" s="44">
        <f t="shared" si="14"/>
        <v>-2.3999999999997401</v>
      </c>
      <c r="W23" s="45">
        <f t="shared" si="15"/>
        <v>-9.99999999997669E-2</v>
      </c>
      <c r="X23" s="29">
        <v>17.4116</v>
      </c>
      <c r="Y23" s="43">
        <f t="shared" si="16"/>
        <v>9.99999999997669E-2</v>
      </c>
      <c r="Z23" s="44">
        <f t="shared" si="17"/>
        <v>-2.6000000000010499</v>
      </c>
      <c r="AA23" s="45">
        <f t="shared" si="18"/>
        <v>4.9999999999883499E-2</v>
      </c>
      <c r="AB23" s="49">
        <v>9.7201000000000004</v>
      </c>
      <c r="AC23" s="43">
        <f t="shared" si="19"/>
        <v>0.19999999999953399</v>
      </c>
      <c r="AD23" s="44">
        <f t="shared" si="20"/>
        <v>-2.10000000000043</v>
      </c>
      <c r="AE23" s="45">
        <f t="shared" si="21"/>
        <v>9.99999999997669E-2</v>
      </c>
      <c r="AF23" s="50">
        <v>79254</v>
      </c>
      <c r="AG23" s="58">
        <f t="shared" si="22"/>
        <v>39</v>
      </c>
      <c r="AH23" s="61"/>
      <c r="AI23" s="52"/>
      <c r="AJ23" s="52"/>
      <c r="AK23" s="52"/>
      <c r="AL23" s="52"/>
      <c r="AM23" s="52"/>
    </row>
    <row r="24" spans="1:39">
      <c r="A24" s="21">
        <v>44552</v>
      </c>
      <c r="B24" s="22">
        <v>789.95809999999994</v>
      </c>
      <c r="C24" s="27">
        <v>7.7451999999999996</v>
      </c>
      <c r="D24" s="23">
        <f t="shared" si="0"/>
        <v>797.70330000000001</v>
      </c>
      <c r="E24" s="24">
        <f t="shared" si="4"/>
        <v>-0.10000000008858501</v>
      </c>
      <c r="F24" s="25">
        <f t="shared" si="5"/>
        <v>-3.30000000008113</v>
      </c>
      <c r="G24" s="26">
        <f t="shared" si="6"/>
        <v>-5.0000000044292399E-2</v>
      </c>
      <c r="H24" s="6">
        <v>8.1194000000000006</v>
      </c>
      <c r="I24" s="35">
        <f t="shared" si="1"/>
        <v>798.07749999999999</v>
      </c>
      <c r="J24" s="24">
        <f t="shared" si="7"/>
        <v>0.20000000006348301</v>
      </c>
      <c r="K24" s="25">
        <f t="shared" si="8"/>
        <v>-1.9999999999527101</v>
      </c>
      <c r="L24" s="26">
        <f t="shared" si="9"/>
        <v>0.100000000031741</v>
      </c>
      <c r="M24" s="6">
        <v>6.8956</v>
      </c>
      <c r="N24" s="35">
        <f t="shared" si="2"/>
        <v>796.8537</v>
      </c>
      <c r="O24" s="24">
        <f t="shared" si="10"/>
        <v>-0.20000000006348301</v>
      </c>
      <c r="P24" s="25">
        <f t="shared" si="11"/>
        <v>-2.8000000000929499</v>
      </c>
      <c r="Q24" s="26">
        <f t="shared" si="12"/>
        <v>-0.100000000031741</v>
      </c>
      <c r="S24" s="21">
        <f t="shared" si="3"/>
        <v>44552</v>
      </c>
      <c r="T24" s="42">
        <v>10.376300000000001</v>
      </c>
      <c r="U24" s="43">
        <f t="shared" si="13"/>
        <v>-9.99999999997669E-2</v>
      </c>
      <c r="V24" s="44">
        <f t="shared" si="14"/>
        <v>-2.4999999999995</v>
      </c>
      <c r="W24" s="45">
        <f t="shared" si="15"/>
        <v>4.9999999999883499E-2</v>
      </c>
      <c r="X24" s="29">
        <v>17.411000000000001</v>
      </c>
      <c r="Y24" s="43">
        <f t="shared" si="16"/>
        <v>-0.59999999999860198</v>
      </c>
      <c r="Z24" s="44">
        <f t="shared" si="17"/>
        <v>-3.1999999999996498</v>
      </c>
      <c r="AA24" s="45">
        <f t="shared" si="18"/>
        <v>-0.29999999999930099</v>
      </c>
      <c r="AB24" s="49">
        <v>9.7202999999999999</v>
      </c>
      <c r="AC24" s="43">
        <f t="shared" si="19"/>
        <v>0.19999999999953399</v>
      </c>
      <c r="AD24" s="44">
        <f t="shared" si="20"/>
        <v>-1.9000000000009001</v>
      </c>
      <c r="AE24" s="45">
        <f t="shared" si="21"/>
        <v>9.99999999997669E-2</v>
      </c>
      <c r="AF24" s="50">
        <v>79257</v>
      </c>
      <c r="AG24" s="58">
        <f t="shared" si="22"/>
        <v>42</v>
      </c>
      <c r="AH24" s="61"/>
      <c r="AI24" s="52"/>
      <c r="AJ24" s="52"/>
      <c r="AK24" s="52"/>
      <c r="AL24" s="52"/>
      <c r="AM24" s="52"/>
    </row>
    <row r="25" spans="1:39">
      <c r="A25" s="21">
        <v>44554</v>
      </c>
      <c r="B25" s="22">
        <v>789.95809999999994</v>
      </c>
      <c r="C25" s="27">
        <v>7.7453000000000003</v>
      </c>
      <c r="D25" s="23">
        <f t="shared" si="0"/>
        <v>797.70339999999999</v>
      </c>
      <c r="E25" s="24">
        <f t="shared" si="4"/>
        <v>0.10000000008858501</v>
      </c>
      <c r="F25" s="25">
        <f t="shared" si="5"/>
        <v>-3.1999999999925399</v>
      </c>
      <c r="G25" s="26">
        <f t="shared" si="6"/>
        <v>5.0000000044292399E-2</v>
      </c>
      <c r="H25" s="6">
        <v>8.1195000000000004</v>
      </c>
      <c r="I25" s="35">
        <f t="shared" si="1"/>
        <v>798.07759999999996</v>
      </c>
      <c r="J25" s="24">
        <f t="shared" si="7"/>
        <v>9.9999999974897905E-2</v>
      </c>
      <c r="K25" s="25">
        <f t="shared" si="8"/>
        <v>-1.8999999999778101</v>
      </c>
      <c r="L25" s="26">
        <f t="shared" si="9"/>
        <v>4.9999999987449001E-2</v>
      </c>
      <c r="M25" s="6">
        <v>6.8952</v>
      </c>
      <c r="N25" s="35">
        <f t="shared" si="2"/>
        <v>796.85329999999999</v>
      </c>
      <c r="O25" s="24">
        <f t="shared" si="10"/>
        <v>-0.39999999989959201</v>
      </c>
      <c r="P25" s="25">
        <f t="shared" si="11"/>
        <v>-3.1999999999925399</v>
      </c>
      <c r="Q25" s="26">
        <f t="shared" si="12"/>
        <v>-0.199999999949796</v>
      </c>
      <c r="R25" s="41"/>
      <c r="S25" s="21">
        <f t="shared" si="3"/>
        <v>44554</v>
      </c>
      <c r="T25" s="42">
        <v>10.3765</v>
      </c>
      <c r="U25" s="43">
        <f t="shared" si="13"/>
        <v>0.19999999999953399</v>
      </c>
      <c r="V25" s="44">
        <f t="shared" si="14"/>
        <v>-2.2999999999999701</v>
      </c>
      <c r="W25" s="45">
        <f t="shared" si="15"/>
        <v>-9.99999999997669E-2</v>
      </c>
      <c r="X25" s="29">
        <v>17.411200000000001</v>
      </c>
      <c r="Y25" s="43">
        <f t="shared" si="16"/>
        <v>0.19999999999953399</v>
      </c>
      <c r="Z25" s="44">
        <f t="shared" si="17"/>
        <v>-3.0000000000001101</v>
      </c>
      <c r="AA25" s="45">
        <f t="shared" si="18"/>
        <v>9.99999999997669E-2</v>
      </c>
      <c r="AB25" s="49">
        <v>9.7202000000000002</v>
      </c>
      <c r="AC25" s="43">
        <f t="shared" si="19"/>
        <v>-9.99999999997669E-2</v>
      </c>
      <c r="AD25" s="44">
        <f t="shared" si="20"/>
        <v>-2.0000000000006701</v>
      </c>
      <c r="AE25" s="45">
        <f t="shared" si="21"/>
        <v>-4.9999999999883499E-2</v>
      </c>
      <c r="AF25" s="50">
        <v>79261</v>
      </c>
      <c r="AG25" s="58">
        <f t="shared" si="22"/>
        <v>46</v>
      </c>
      <c r="AH25" s="61"/>
      <c r="AI25" s="60"/>
      <c r="AJ25"/>
      <c r="AK25"/>
      <c r="AL25"/>
      <c r="AM25"/>
    </row>
    <row r="26" spans="1:39">
      <c r="A26" s="21">
        <v>44556</v>
      </c>
      <c r="B26" s="22">
        <v>789.95809999999994</v>
      </c>
      <c r="C26" s="27">
        <v>7.7446999999999999</v>
      </c>
      <c r="D26" s="23">
        <f t="shared" si="0"/>
        <v>797.70280000000002</v>
      </c>
      <c r="E26" s="24">
        <f t="shared" si="4"/>
        <v>-0.60000000007676102</v>
      </c>
      <c r="F26" s="25">
        <f t="shared" si="5"/>
        <v>-3.8000000000692999</v>
      </c>
      <c r="G26" s="26">
        <f t="shared" si="6"/>
        <v>-0.30000000003838101</v>
      </c>
      <c r="H26" s="6">
        <v>8.1193000000000008</v>
      </c>
      <c r="I26" s="35">
        <f t="shared" si="1"/>
        <v>798.07740000000001</v>
      </c>
      <c r="J26" s="24">
        <f t="shared" si="7"/>
        <v>-0.20000000006348301</v>
      </c>
      <c r="K26" s="25">
        <f t="shared" si="8"/>
        <v>-2.1000000000412902</v>
      </c>
      <c r="L26" s="26">
        <f t="shared" si="9"/>
        <v>-0.100000000031741</v>
      </c>
      <c r="M26" s="6">
        <v>6.8952999999999998</v>
      </c>
      <c r="N26" s="35">
        <f t="shared" si="2"/>
        <v>796.85339999999997</v>
      </c>
      <c r="O26" s="24">
        <f t="shared" si="10"/>
        <v>9.9999999974897905E-2</v>
      </c>
      <c r="P26" s="25">
        <f t="shared" si="11"/>
        <v>-3.1000000000176402</v>
      </c>
      <c r="Q26" s="26">
        <f t="shared" si="12"/>
        <v>4.9999999987449001E-2</v>
      </c>
      <c r="R26" s="41"/>
      <c r="S26" s="21">
        <f t="shared" si="3"/>
        <v>44556</v>
      </c>
      <c r="T26" s="42">
        <v>10.376200000000001</v>
      </c>
      <c r="U26" s="43">
        <f t="shared" si="13"/>
        <v>-0.29999999999930099</v>
      </c>
      <c r="V26" s="44">
        <f t="shared" si="14"/>
        <v>-2.59999999999927</v>
      </c>
      <c r="W26" s="45">
        <f t="shared" si="15"/>
        <v>0.14999999999965</v>
      </c>
      <c r="X26" s="29">
        <v>17.410799999999998</v>
      </c>
      <c r="Y26" s="43">
        <f t="shared" si="16"/>
        <v>-0.40000000000261998</v>
      </c>
      <c r="Z26" s="44">
        <f t="shared" si="17"/>
        <v>-3.4000000000027302</v>
      </c>
      <c r="AA26" s="45">
        <f t="shared" si="18"/>
        <v>-0.20000000000130999</v>
      </c>
      <c r="AB26" s="49">
        <v>9.7200000000000006</v>
      </c>
      <c r="AC26" s="43">
        <f t="shared" si="19"/>
        <v>-0.19999999999953399</v>
      </c>
      <c r="AD26" s="44">
        <f t="shared" si="20"/>
        <v>-2.2000000000002</v>
      </c>
      <c r="AE26" s="45">
        <f t="shared" si="21"/>
        <v>-9.99999999997669E-2</v>
      </c>
      <c r="AF26" s="50">
        <v>79273</v>
      </c>
      <c r="AG26" s="58">
        <f t="shared" si="22"/>
        <v>58</v>
      </c>
      <c r="AH26" s="61"/>
      <c r="AI26" s="60"/>
      <c r="AJ26" s="61"/>
      <c r="AK26" s="62"/>
      <c r="AL26" s="60"/>
      <c r="AM26" s="64"/>
    </row>
    <row r="27" spans="1:39">
      <c r="A27" s="21">
        <v>44558</v>
      </c>
      <c r="B27" s="22">
        <v>789.95809999999994</v>
      </c>
      <c r="C27" s="27">
        <v>7.7447999999999997</v>
      </c>
      <c r="D27" s="23">
        <f t="shared" si="0"/>
        <v>797.7029</v>
      </c>
      <c r="E27" s="24">
        <f t="shared" si="4"/>
        <v>0.10000000008858501</v>
      </c>
      <c r="F27" s="25">
        <f t="shared" si="5"/>
        <v>-3.69999999998072</v>
      </c>
      <c r="G27" s="26">
        <f t="shared" si="6"/>
        <v>5.0000000044292399E-2</v>
      </c>
      <c r="H27" s="6">
        <v>8.1191999999999993</v>
      </c>
      <c r="I27" s="35">
        <f t="shared" si="1"/>
        <v>798.07730000000004</v>
      </c>
      <c r="J27" s="24">
        <f t="shared" si="7"/>
        <v>-9.9999999974897905E-2</v>
      </c>
      <c r="K27" s="25">
        <f t="shared" si="8"/>
        <v>-2.2000000000161899</v>
      </c>
      <c r="L27" s="26">
        <f t="shared" si="9"/>
        <v>-4.9999999987449001E-2</v>
      </c>
      <c r="M27" s="6">
        <v>6.8955000000000002</v>
      </c>
      <c r="N27" s="35">
        <f t="shared" si="2"/>
        <v>796.85360000000003</v>
      </c>
      <c r="O27" s="24">
        <f t="shared" si="10"/>
        <v>0.199999999949796</v>
      </c>
      <c r="P27" s="25">
        <f t="shared" si="11"/>
        <v>-2.9000000000678501</v>
      </c>
      <c r="Q27" s="26">
        <f t="shared" si="12"/>
        <v>9.9999999974897905E-2</v>
      </c>
      <c r="R27" s="41"/>
      <c r="S27" s="21">
        <f t="shared" si="3"/>
        <v>44558</v>
      </c>
      <c r="T27" s="42">
        <v>10.375999999999999</v>
      </c>
      <c r="U27" s="43">
        <f t="shared" si="13"/>
        <v>-0.20000000000130999</v>
      </c>
      <c r="V27" s="44">
        <f t="shared" si="14"/>
        <v>-2.8000000000005798</v>
      </c>
      <c r="W27" s="45">
        <f t="shared" si="15"/>
        <v>0.100000000000655</v>
      </c>
      <c r="X27" s="29">
        <v>17.410599999999999</v>
      </c>
      <c r="Y27" s="43">
        <f t="shared" si="16"/>
        <v>-0.19999999999953399</v>
      </c>
      <c r="Z27" s="44">
        <f t="shared" si="17"/>
        <v>-3.6000000000022698</v>
      </c>
      <c r="AA27" s="45">
        <f t="shared" si="18"/>
        <v>-9.99999999997669E-2</v>
      </c>
      <c r="AB27" s="49">
        <v>9.7197999999999993</v>
      </c>
      <c r="AC27" s="43">
        <f t="shared" si="19"/>
        <v>-0.20000000000130999</v>
      </c>
      <c r="AD27" s="44">
        <f t="shared" si="20"/>
        <v>-2.4000000000015098</v>
      </c>
      <c r="AE27" s="45">
        <f t="shared" si="21"/>
        <v>-0.100000000000655</v>
      </c>
      <c r="AF27" s="50">
        <v>79285</v>
      </c>
      <c r="AG27" s="58">
        <f t="shared" si="22"/>
        <v>70</v>
      </c>
      <c r="AH27" s="61"/>
      <c r="AI27" s="60"/>
      <c r="AJ27" s="61"/>
      <c r="AK27" s="62"/>
      <c r="AL27" s="60"/>
      <c r="AM27" s="64"/>
    </row>
    <row r="28" spans="1:39">
      <c r="A28" s="21">
        <v>44566</v>
      </c>
      <c r="B28" s="22">
        <v>789.95809999999994</v>
      </c>
      <c r="C28" s="27">
        <v>7.7449000000000003</v>
      </c>
      <c r="D28" s="23">
        <f t="shared" si="0"/>
        <v>797.70299999999997</v>
      </c>
      <c r="E28" s="24">
        <f t="shared" si="4"/>
        <v>9.9999999974897905E-2</v>
      </c>
      <c r="F28" s="25">
        <f t="shared" si="5"/>
        <v>-3.6000000000058199</v>
      </c>
      <c r="G28" s="26">
        <f t="shared" si="6"/>
        <v>1.24999999968622E-2</v>
      </c>
      <c r="H28" s="6">
        <v>8.1194000000000006</v>
      </c>
      <c r="I28" s="35">
        <f t="shared" si="1"/>
        <v>798.07749999999999</v>
      </c>
      <c r="J28" s="24">
        <f t="shared" si="7"/>
        <v>0.20000000006348301</v>
      </c>
      <c r="K28" s="25">
        <f t="shared" si="8"/>
        <v>-1.9999999999527101</v>
      </c>
      <c r="L28" s="26">
        <f t="shared" si="9"/>
        <v>2.50000000079353E-2</v>
      </c>
      <c r="M28" s="6">
        <v>6.8956</v>
      </c>
      <c r="N28" s="35">
        <f t="shared" si="2"/>
        <v>796.8537</v>
      </c>
      <c r="O28" s="24">
        <f t="shared" si="10"/>
        <v>9.9999999974897905E-2</v>
      </c>
      <c r="P28" s="25">
        <f t="shared" si="11"/>
        <v>-2.8000000000929499</v>
      </c>
      <c r="Q28" s="26">
        <f t="shared" si="12"/>
        <v>1.24999999968622E-2</v>
      </c>
      <c r="R28" s="41"/>
      <c r="S28" s="21">
        <f t="shared" si="3"/>
        <v>44566</v>
      </c>
      <c r="T28" s="42">
        <v>10.376099999999999</v>
      </c>
      <c r="U28" s="43">
        <f t="shared" si="13"/>
        <v>9.99999999997669E-2</v>
      </c>
      <c r="V28" s="44">
        <f t="shared" si="14"/>
        <v>-2.7000000000008102</v>
      </c>
      <c r="W28" s="45">
        <f t="shared" si="15"/>
        <v>-1.2499999999970901E-2</v>
      </c>
      <c r="X28" s="29">
        <v>17.410900000000002</v>
      </c>
      <c r="Y28" s="43">
        <f t="shared" si="16"/>
        <v>0.30000000000285398</v>
      </c>
      <c r="Z28" s="44">
        <f t="shared" si="17"/>
        <v>-3.2999999999994101</v>
      </c>
      <c r="AA28" s="45">
        <f t="shared" si="18"/>
        <v>3.7500000000356699E-2</v>
      </c>
      <c r="AB28" s="49">
        <v>9.7200000000000006</v>
      </c>
      <c r="AC28" s="43">
        <f t="shared" si="19"/>
        <v>0.20000000000130999</v>
      </c>
      <c r="AD28" s="44">
        <f t="shared" si="20"/>
        <v>-2.2000000000002</v>
      </c>
      <c r="AE28" s="45">
        <f t="shared" si="21"/>
        <v>2.5000000000163801E-2</v>
      </c>
      <c r="AF28" s="50">
        <v>79327</v>
      </c>
      <c r="AG28" s="58">
        <f t="shared" si="22"/>
        <v>112</v>
      </c>
      <c r="AH28" s="61"/>
      <c r="AI28" s="60"/>
      <c r="AJ28" s="61"/>
      <c r="AK28" s="62"/>
      <c r="AL28" s="60"/>
      <c r="AM28" s="64"/>
    </row>
    <row r="29" spans="1:39">
      <c r="A29" s="21">
        <v>44581</v>
      </c>
      <c r="B29" s="22">
        <v>789.95809999999994</v>
      </c>
      <c r="C29" s="27">
        <v>7.7446000000000002</v>
      </c>
      <c r="D29" s="23">
        <f t="shared" si="0"/>
        <v>797.70270000000005</v>
      </c>
      <c r="E29" s="24">
        <f t="shared" ref="E29:E30" si="23">(D29-D28)*1000</f>
        <v>-0.30000000003838101</v>
      </c>
      <c r="F29" s="25">
        <f t="shared" ref="F29:F30" si="24">F28+E29</f>
        <v>-3.9000000000442001</v>
      </c>
      <c r="G29" s="26">
        <f t="shared" ref="G29:G30" si="25">E29/(A29-A28)</f>
        <v>-2.00000000025587E-2</v>
      </c>
      <c r="H29" s="6">
        <v>8.1193000000000008</v>
      </c>
      <c r="I29" s="35">
        <f t="shared" si="1"/>
        <v>798.07740000000001</v>
      </c>
      <c r="J29" s="24">
        <f t="shared" ref="J29:J30" si="26">(I29-I28)*1000</f>
        <v>-0.10000000008858501</v>
      </c>
      <c r="K29" s="25">
        <f t="shared" ref="K29:K30" si="27">K28+J29</f>
        <v>-2.1000000000412902</v>
      </c>
      <c r="L29" s="26">
        <f t="shared" ref="L29:L30" si="28">J29/(A29-A28)</f>
        <v>-6.6666666725723198E-3</v>
      </c>
      <c r="M29" s="6">
        <v>6.8952999999999998</v>
      </c>
      <c r="N29" s="35">
        <f t="shared" si="2"/>
        <v>796.85339999999997</v>
      </c>
      <c r="O29" s="24">
        <f t="shared" ref="O29:O30" si="29">(N29-N28)*1000</f>
        <v>-0.29999999992469401</v>
      </c>
      <c r="P29" s="25">
        <f t="shared" ref="P29:P30" si="30">P28+O29</f>
        <v>-3.1000000000176402</v>
      </c>
      <c r="Q29" s="26">
        <f t="shared" ref="Q29:Q30" si="31">O29/(A29-A28)</f>
        <v>-1.99999999949796E-2</v>
      </c>
      <c r="R29" s="41"/>
      <c r="S29" s="21">
        <f t="shared" si="3"/>
        <v>44581</v>
      </c>
      <c r="T29" s="42">
        <v>10.376200000000001</v>
      </c>
      <c r="U29" s="43">
        <f t="shared" ref="U29:U30" si="32">(T29-T28)*1000</f>
        <v>0.10000000000154299</v>
      </c>
      <c r="V29" s="44">
        <f t="shared" ref="V29:V30" si="33">V28+U29</f>
        <v>-2.59999999999927</v>
      </c>
      <c r="W29" s="45">
        <f t="shared" ref="W29:W30" si="34">U29/(S28-S29)</f>
        <v>-6.6666666667695501E-3</v>
      </c>
      <c r="X29" s="29">
        <v>17.410499999999999</v>
      </c>
      <c r="Y29" s="43">
        <f t="shared" ref="Y29:Y30" si="35">(X29-X28)*1000</f>
        <v>-0.40000000000261998</v>
      </c>
      <c r="Z29" s="44">
        <f t="shared" ref="Z29:Z30" si="36">Z28+Y29</f>
        <v>-3.7000000000020301</v>
      </c>
      <c r="AA29" s="45">
        <f t="shared" ref="AA29:AA30" si="37">Y29/(S29-S28)</f>
        <v>-2.66666666668414E-2</v>
      </c>
      <c r="AB29" s="49">
        <v>9.7201000000000004</v>
      </c>
      <c r="AC29" s="43">
        <f t="shared" ref="AC29:AC30" si="38">(AB29-AB28)*1000</f>
        <v>9.99999999997669E-2</v>
      </c>
      <c r="AD29" s="44">
        <f t="shared" ref="AD29:AD30" si="39">AD28+AC29</f>
        <v>-2.10000000000043</v>
      </c>
      <c r="AE29" s="45">
        <f t="shared" ref="AE29:AE30" si="40">AC29/(S29-S28)</f>
        <v>6.66666666665113E-3</v>
      </c>
      <c r="AF29" s="50">
        <v>79350</v>
      </c>
      <c r="AG29" s="58">
        <f t="shared" si="22"/>
        <v>135</v>
      </c>
      <c r="AH29" s="61"/>
      <c r="AI29" s="60"/>
      <c r="AJ29"/>
      <c r="AK29"/>
      <c r="AL29"/>
      <c r="AM29"/>
    </row>
    <row r="30" spans="1:39">
      <c r="A30" s="21">
        <v>44602</v>
      </c>
      <c r="B30" s="22">
        <v>789.95809999999994</v>
      </c>
      <c r="C30" s="27">
        <v>7.7447999999999997</v>
      </c>
      <c r="D30" s="23">
        <f t="shared" si="0"/>
        <v>797.7029</v>
      </c>
      <c r="E30" s="24">
        <f t="shared" si="23"/>
        <v>0.20000000006348301</v>
      </c>
      <c r="F30" s="25">
        <f t="shared" si="24"/>
        <v>-3.69999999998072</v>
      </c>
      <c r="G30" s="26">
        <f t="shared" si="25"/>
        <v>9.5238095268325093E-3</v>
      </c>
      <c r="H30" s="6">
        <v>8.1191999999999993</v>
      </c>
      <c r="I30" s="35">
        <f t="shared" si="1"/>
        <v>798.07730000000004</v>
      </c>
      <c r="J30" s="24">
        <f t="shared" si="26"/>
        <v>-9.9999999974897905E-2</v>
      </c>
      <c r="K30" s="25">
        <f t="shared" si="27"/>
        <v>-2.2000000000161899</v>
      </c>
      <c r="L30" s="26">
        <f t="shared" si="28"/>
        <v>-4.7619047607094303E-3</v>
      </c>
      <c r="M30" s="6">
        <v>6.8951000000000002</v>
      </c>
      <c r="N30" s="35">
        <f t="shared" si="2"/>
        <v>796.85320000000002</v>
      </c>
      <c r="O30" s="24">
        <f t="shared" si="29"/>
        <v>-0.20000000006348301</v>
      </c>
      <c r="P30" s="25">
        <f t="shared" si="30"/>
        <v>-3.30000000008113</v>
      </c>
      <c r="Q30" s="26">
        <f t="shared" si="31"/>
        <v>-9.5238095268325093E-3</v>
      </c>
      <c r="R30" s="41"/>
      <c r="S30" s="21">
        <f t="shared" si="3"/>
        <v>44602</v>
      </c>
      <c r="T30" s="42">
        <v>10.375999999999999</v>
      </c>
      <c r="U30" s="43">
        <f t="shared" si="32"/>
        <v>-0.20000000000130999</v>
      </c>
      <c r="V30" s="44">
        <f t="shared" si="33"/>
        <v>-2.8000000000005798</v>
      </c>
      <c r="W30" s="45">
        <f t="shared" si="34"/>
        <v>9.5238095238719192E-3</v>
      </c>
      <c r="X30" s="29">
        <v>17.410699999999999</v>
      </c>
      <c r="Y30" s="43">
        <f t="shared" si="35"/>
        <v>0.19999999999953399</v>
      </c>
      <c r="Z30" s="44">
        <f t="shared" si="36"/>
        <v>-3.5000000000024998</v>
      </c>
      <c r="AA30" s="45">
        <f t="shared" si="37"/>
        <v>9.5238095237873306E-3</v>
      </c>
      <c r="AB30" s="49">
        <v>9.7199000000000009</v>
      </c>
      <c r="AC30" s="43">
        <f t="shared" si="38"/>
        <v>-0.19999999999953399</v>
      </c>
      <c r="AD30" s="44">
        <f t="shared" si="39"/>
        <v>-2.2999999999999701</v>
      </c>
      <c r="AE30" s="45">
        <f t="shared" si="40"/>
        <v>-9.5238095237873306E-3</v>
      </c>
      <c r="AF30" s="50">
        <v>79383</v>
      </c>
      <c r="AG30" s="58">
        <f t="shared" si="22"/>
        <v>168</v>
      </c>
      <c r="AH30" s="61"/>
      <c r="AI30" s="60"/>
      <c r="AJ30" s="61"/>
      <c r="AK30" s="62"/>
      <c r="AL30" s="60"/>
      <c r="AM30" s="64"/>
    </row>
    <row r="31" spans="1:39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65">
        <f>F30-F29</f>
        <v>0.20000000006348301</v>
      </c>
      <c r="F32" s="33">
        <f>K30-K29</f>
        <v>-9.9999999974897905E-2</v>
      </c>
      <c r="G32" s="33">
        <f>P30-P29</f>
        <v>-0.20000000006348301</v>
      </c>
      <c r="H32" s="68">
        <f>F30</f>
        <v>-3.69999999998072</v>
      </c>
      <c r="I32" s="69">
        <f>K30</f>
        <v>-2.2000000000161899</v>
      </c>
      <c r="J32" s="65">
        <f>P30</f>
        <v>-3.30000000008113</v>
      </c>
      <c r="K32" s="33">
        <f>(P30-P29)/30</f>
        <v>-6.66666666878276E-3</v>
      </c>
      <c r="L32" s="26"/>
      <c r="N32" s="35"/>
      <c r="O32" s="24"/>
      <c r="P32" s="25"/>
      <c r="Q32" s="26"/>
      <c r="R32" s="41"/>
      <c r="S32" s="21"/>
      <c r="T32" s="42"/>
      <c r="U32" s="65">
        <f>V30-V29</f>
        <v>-0.20000000000130999</v>
      </c>
      <c r="V32" s="33">
        <f>Z30-Z29</f>
        <v>0.19999999999953399</v>
      </c>
      <c r="W32" s="33">
        <f>AD30-AD29</f>
        <v>-0.19999999999953399</v>
      </c>
      <c r="X32" s="33">
        <f>V30</f>
        <v>-2.8000000000005798</v>
      </c>
      <c r="Y32" s="65">
        <f>Z30</f>
        <v>-3.5000000000024998</v>
      </c>
      <c r="Z32" s="33">
        <f>AD30</f>
        <v>-2.2999999999999701</v>
      </c>
      <c r="AA32" s="33">
        <f>(AD30-AD29)/30</f>
        <v>-6.66666666665113E-3</v>
      </c>
      <c r="AB32" s="49"/>
      <c r="AC32" s="43"/>
      <c r="AD32" s="44"/>
      <c r="AE32" s="45"/>
      <c r="AF32" s="50"/>
      <c r="AG32" s="58"/>
      <c r="AH32" s="61"/>
      <c r="AI32" s="60"/>
      <c r="AJ32"/>
      <c r="AK32"/>
      <c r="AL32"/>
      <c r="AM32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AM56"/>
  <sheetViews>
    <sheetView topLeftCell="E14" workbookViewId="0">
      <selection activeCell="E33" sqref="E33:K3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44533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44533</v>
      </c>
      <c r="B6" s="22">
        <v>789.95809999999994</v>
      </c>
      <c r="C6" s="27">
        <v>7.0110999999999999</v>
      </c>
      <c r="D6" s="23">
        <f t="shared" ref="D6:D31" si="0">C6+B6</f>
        <v>796.9692</v>
      </c>
      <c r="E6" s="24">
        <v>0</v>
      </c>
      <c r="F6" s="25">
        <v>0</v>
      </c>
      <c r="G6" s="26">
        <v>0</v>
      </c>
      <c r="H6" s="6">
        <v>8.1411999999999995</v>
      </c>
      <c r="I6" s="35">
        <f t="shared" ref="I6:I31" si="1">H6+B6</f>
        <v>798.09929999999997</v>
      </c>
      <c r="J6" s="24">
        <v>0</v>
      </c>
      <c r="K6" s="25">
        <v>0</v>
      </c>
      <c r="L6" s="26">
        <v>0</v>
      </c>
      <c r="M6" s="6">
        <v>6.8589000000000002</v>
      </c>
      <c r="N6" s="35">
        <f t="shared" ref="N6:N31" si="2">M6+B6</f>
        <v>796.81700000000001</v>
      </c>
      <c r="O6" s="24">
        <v>0</v>
      </c>
      <c r="P6" s="25">
        <v>0</v>
      </c>
      <c r="Q6" s="26">
        <v>0</v>
      </c>
      <c r="R6" s="41"/>
      <c r="S6" s="21">
        <f t="shared" ref="S6:S30" si="3">A6</f>
        <v>44533</v>
      </c>
      <c r="T6" s="42">
        <v>9.8988999999999994</v>
      </c>
      <c r="U6" s="43">
        <v>0</v>
      </c>
      <c r="V6" s="44">
        <v>0</v>
      </c>
      <c r="W6" s="45">
        <f>U6/(S6-S11)</f>
        <v>0</v>
      </c>
      <c r="X6" s="29">
        <v>17.383600000000001</v>
      </c>
      <c r="Y6" s="43">
        <v>0</v>
      </c>
      <c r="Z6" s="44">
        <v>0</v>
      </c>
      <c r="AA6" s="45">
        <v>0</v>
      </c>
      <c r="AB6" s="49">
        <v>11.654299999999999</v>
      </c>
      <c r="AC6" s="43">
        <v>0</v>
      </c>
      <c r="AD6" s="44">
        <v>0</v>
      </c>
      <c r="AE6" s="45">
        <v>0</v>
      </c>
      <c r="AF6" s="50">
        <v>79228</v>
      </c>
      <c r="AG6" s="58">
        <f>AF6-79225</f>
        <v>3</v>
      </c>
      <c r="AH6" s="59"/>
      <c r="AI6" s="60"/>
      <c r="AJ6" s="61"/>
      <c r="AK6" s="62"/>
      <c r="AL6" s="52"/>
      <c r="AM6" s="52"/>
    </row>
    <row r="7" spans="1:39">
      <c r="A7" s="21">
        <v>44534</v>
      </c>
      <c r="B7" s="22">
        <v>789.95809999999994</v>
      </c>
      <c r="C7" s="27">
        <v>7.0114999999999998</v>
      </c>
      <c r="D7" s="23">
        <f t="shared" si="0"/>
        <v>796.96960000000001</v>
      </c>
      <c r="E7" s="24">
        <f t="shared" ref="E7:E25" si="4">(D7-D6)*1000</f>
        <v>0.39999999989959201</v>
      </c>
      <c r="F7" s="25">
        <f t="shared" ref="F7:F25" si="5">F6+E7</f>
        <v>0.39999999989959201</v>
      </c>
      <c r="G7" s="26">
        <f t="shared" ref="G7:G25" si="6">E7/(A7-A6)</f>
        <v>0.39999999989959201</v>
      </c>
      <c r="H7" s="6">
        <v>8.1417999999999999</v>
      </c>
      <c r="I7" s="35">
        <f t="shared" si="1"/>
        <v>798.09990000000005</v>
      </c>
      <c r="J7" s="24">
        <f t="shared" ref="J7:J25" si="7">(I7-I6)*1000</f>
        <v>0.59999999996307496</v>
      </c>
      <c r="K7" s="25">
        <f t="shared" ref="K7:K25" si="8">K6+J7</f>
        <v>0.59999999996307496</v>
      </c>
      <c r="L7" s="26">
        <f t="shared" ref="L7:L25" si="9">J7/(A7-A6)</f>
        <v>0.59999999996307496</v>
      </c>
      <c r="M7" s="6">
        <v>6.8582999999999998</v>
      </c>
      <c r="N7" s="35">
        <f t="shared" si="2"/>
        <v>796.81640000000004</v>
      </c>
      <c r="O7" s="24">
        <f t="shared" ref="O7:O25" si="10">(N7-N6)*1000</f>
        <v>-0.59999999996307496</v>
      </c>
      <c r="P7" s="25">
        <f t="shared" ref="P7:P25" si="11">P6+O7</f>
        <v>-0.59999999996307496</v>
      </c>
      <c r="Q7" s="26">
        <f t="shared" ref="Q7:Q25" si="12">O7/(A7-A6)</f>
        <v>-0.59999999996307496</v>
      </c>
      <c r="R7" s="41"/>
      <c r="S7" s="21">
        <f t="shared" si="3"/>
        <v>44534</v>
      </c>
      <c r="T7" s="42">
        <v>9.8985000000000003</v>
      </c>
      <c r="U7" s="43">
        <f t="shared" ref="U7:U25" si="13">(T7-T6)*1000</f>
        <v>-0.39999999999906799</v>
      </c>
      <c r="V7" s="44">
        <f t="shared" ref="V7:V25" si="14">V6+U7</f>
        <v>-0.39999999999906799</v>
      </c>
      <c r="W7" s="45">
        <f t="shared" ref="W7:W25" si="15">U7/(S6-S7)</f>
        <v>0.39999999999906799</v>
      </c>
      <c r="X7" s="29">
        <v>17.383199999999999</v>
      </c>
      <c r="Y7" s="43">
        <f t="shared" ref="Y7:Y25" si="16">(X7-X6)*1000</f>
        <v>-0.40000000000261998</v>
      </c>
      <c r="Z7" s="44">
        <f t="shared" ref="Z7:Z25" si="17">Z6+Y7</f>
        <v>-0.40000000000261998</v>
      </c>
      <c r="AA7" s="45">
        <f t="shared" ref="AA7:AA25" si="18">Y7/(S7-S6)</f>
        <v>-0.40000000000261998</v>
      </c>
      <c r="AB7" s="49">
        <v>11.654199999999999</v>
      </c>
      <c r="AC7" s="43">
        <f t="shared" ref="AC7:AC25" si="19">(AB7-AB6)*1000</f>
        <v>-9.99999999997669E-2</v>
      </c>
      <c r="AD7" s="44">
        <f t="shared" ref="AD7:AD25" si="20">AD6+AC7</f>
        <v>-9.99999999997669E-2</v>
      </c>
      <c r="AE7" s="45">
        <f t="shared" ref="AE7:AE25" si="21">AC7/(S7-S6)</f>
        <v>-9.99999999997669E-2</v>
      </c>
      <c r="AF7" s="50">
        <v>79230</v>
      </c>
      <c r="AG7" s="58">
        <f t="shared" ref="AG7:AG31" si="22">AF7-79225</f>
        <v>5</v>
      </c>
      <c r="AH7" s="59"/>
      <c r="AI7" s="60"/>
      <c r="AJ7" s="61"/>
      <c r="AK7" s="62"/>
      <c r="AL7" s="52"/>
      <c r="AM7" s="52"/>
    </row>
    <row r="8" spans="1:39">
      <c r="A8" s="21">
        <v>44535</v>
      </c>
      <c r="B8" s="22">
        <v>789.95809999999994</v>
      </c>
      <c r="C8" s="27">
        <v>7.0113000000000003</v>
      </c>
      <c r="D8" s="23">
        <f t="shared" si="0"/>
        <v>796.96939999999995</v>
      </c>
      <c r="E8" s="24">
        <f t="shared" si="4"/>
        <v>-0.199999999949796</v>
      </c>
      <c r="F8" s="25">
        <f t="shared" si="5"/>
        <v>0.199999999949796</v>
      </c>
      <c r="G8" s="26">
        <f t="shared" si="6"/>
        <v>-0.199999999949796</v>
      </c>
      <c r="H8" s="6">
        <v>8.1415000000000006</v>
      </c>
      <c r="I8" s="35">
        <f t="shared" si="1"/>
        <v>798.09960000000001</v>
      </c>
      <c r="J8" s="24">
        <f t="shared" si="7"/>
        <v>-0.30000000003838101</v>
      </c>
      <c r="K8" s="25">
        <f t="shared" si="8"/>
        <v>0.29999999992469401</v>
      </c>
      <c r="L8" s="26">
        <f t="shared" si="9"/>
        <v>-0.30000000003838101</v>
      </c>
      <c r="M8" s="6">
        <v>6.8581000000000003</v>
      </c>
      <c r="N8" s="35">
        <f t="shared" si="2"/>
        <v>796.81619999999998</v>
      </c>
      <c r="O8" s="24">
        <f t="shared" si="10"/>
        <v>-0.199999999949796</v>
      </c>
      <c r="P8" s="25">
        <f t="shared" si="11"/>
        <v>-0.79999999991286996</v>
      </c>
      <c r="Q8" s="26">
        <f t="shared" si="12"/>
        <v>-0.199999999949796</v>
      </c>
      <c r="R8" s="41"/>
      <c r="S8" s="21">
        <f t="shared" si="3"/>
        <v>44535</v>
      </c>
      <c r="T8" s="42">
        <v>9.8979999999999997</v>
      </c>
      <c r="U8" s="43">
        <f t="shared" si="13"/>
        <v>-0.50000000000061096</v>
      </c>
      <c r="V8" s="44">
        <f t="shared" si="14"/>
        <v>-0.89999999999967895</v>
      </c>
      <c r="W8" s="45">
        <f t="shared" si="15"/>
        <v>0.50000000000061096</v>
      </c>
      <c r="X8" s="29">
        <v>17.382999999999999</v>
      </c>
      <c r="Y8" s="43">
        <f t="shared" si="16"/>
        <v>-0.19999999999953399</v>
      </c>
      <c r="Z8" s="44">
        <f t="shared" si="17"/>
        <v>-0.60000000000215403</v>
      </c>
      <c r="AA8" s="45">
        <f t="shared" si="18"/>
        <v>-0.19999999999953399</v>
      </c>
      <c r="AB8" s="49">
        <v>11.654</v>
      </c>
      <c r="AC8" s="43">
        <f t="shared" si="19"/>
        <v>-0.19999999999953399</v>
      </c>
      <c r="AD8" s="44">
        <f t="shared" si="20"/>
        <v>-0.29999999999930099</v>
      </c>
      <c r="AE8" s="45">
        <f t="shared" si="21"/>
        <v>-0.19999999999953399</v>
      </c>
      <c r="AF8" s="50">
        <v>79232</v>
      </c>
      <c r="AG8" s="58">
        <f t="shared" si="22"/>
        <v>7</v>
      </c>
      <c r="AH8" s="59"/>
      <c r="AI8" s="60"/>
      <c r="AJ8" s="61"/>
      <c r="AK8" s="62"/>
      <c r="AL8" s="52"/>
      <c r="AM8" s="52"/>
    </row>
    <row r="9" spans="1:39">
      <c r="A9" s="21">
        <v>44536</v>
      </c>
      <c r="B9" s="22">
        <v>789.95809999999994</v>
      </c>
      <c r="C9" s="27">
        <v>7.0111999999999997</v>
      </c>
      <c r="D9" s="23">
        <f t="shared" si="0"/>
        <v>796.96929999999998</v>
      </c>
      <c r="E9" s="24">
        <f t="shared" si="4"/>
        <v>-9.9999999974897905E-2</v>
      </c>
      <c r="F9" s="25">
        <f t="shared" si="5"/>
        <v>9.9999999974897905E-2</v>
      </c>
      <c r="G9" s="26">
        <f t="shared" si="6"/>
        <v>-9.9999999974897905E-2</v>
      </c>
      <c r="H9" s="6">
        <v>8.1414000000000009</v>
      </c>
      <c r="I9" s="35">
        <f t="shared" si="1"/>
        <v>798.09950000000003</v>
      </c>
      <c r="J9" s="24">
        <f t="shared" si="7"/>
        <v>-9.9999999974897905E-2</v>
      </c>
      <c r="K9" s="25">
        <f t="shared" si="8"/>
        <v>0.199999999949796</v>
      </c>
      <c r="L9" s="26">
        <f t="shared" si="9"/>
        <v>-9.9999999974897905E-2</v>
      </c>
      <c r="M9" s="6">
        <v>6.8578999999999999</v>
      </c>
      <c r="N9" s="35">
        <f t="shared" si="2"/>
        <v>796.81600000000003</v>
      </c>
      <c r="O9" s="24">
        <f t="shared" si="10"/>
        <v>-0.20000000006348301</v>
      </c>
      <c r="P9" s="25">
        <f t="shared" si="11"/>
        <v>-0.99999999997635303</v>
      </c>
      <c r="Q9" s="26">
        <f t="shared" si="12"/>
        <v>-0.20000000006348301</v>
      </c>
      <c r="R9" s="41"/>
      <c r="S9" s="21">
        <f t="shared" si="3"/>
        <v>44536</v>
      </c>
      <c r="T9" s="42">
        <v>9.8981999999999992</v>
      </c>
      <c r="U9" s="43">
        <f t="shared" si="13"/>
        <v>0.19999999999953399</v>
      </c>
      <c r="V9" s="44">
        <f t="shared" si="14"/>
        <v>-0.70000000000014495</v>
      </c>
      <c r="W9" s="45">
        <f t="shared" si="15"/>
        <v>-0.19999999999953399</v>
      </c>
      <c r="X9" s="29">
        <v>17.383099999999999</v>
      </c>
      <c r="Y9" s="43">
        <f t="shared" si="16"/>
        <v>9.99999999997669E-2</v>
      </c>
      <c r="Z9" s="44">
        <f t="shared" si="17"/>
        <v>-0.50000000000238698</v>
      </c>
      <c r="AA9" s="45">
        <f t="shared" si="18"/>
        <v>9.99999999997669E-2</v>
      </c>
      <c r="AB9" s="49">
        <v>11.6538</v>
      </c>
      <c r="AC9" s="43">
        <f t="shared" si="19"/>
        <v>-0.19999999999953399</v>
      </c>
      <c r="AD9" s="44">
        <f t="shared" si="20"/>
        <v>-0.49999999999883499</v>
      </c>
      <c r="AE9" s="45">
        <f t="shared" si="21"/>
        <v>-0.19999999999953399</v>
      </c>
      <c r="AF9" s="50">
        <v>79234</v>
      </c>
      <c r="AG9" s="58">
        <f t="shared" si="22"/>
        <v>9</v>
      </c>
      <c r="AH9" s="59"/>
      <c r="AI9" s="60"/>
      <c r="AJ9" s="61"/>
      <c r="AK9" s="62"/>
      <c r="AL9" s="52"/>
      <c r="AM9" s="52"/>
    </row>
    <row r="10" spans="1:39">
      <c r="A10" s="21">
        <v>44537</v>
      </c>
      <c r="B10" s="22">
        <v>789.95809999999994</v>
      </c>
      <c r="C10" s="27">
        <v>7.0110000000000001</v>
      </c>
      <c r="D10" s="23">
        <f t="shared" si="0"/>
        <v>796.96910000000003</v>
      </c>
      <c r="E10" s="24">
        <f t="shared" si="4"/>
        <v>-0.20000000006348301</v>
      </c>
      <c r="F10" s="25">
        <f t="shared" si="5"/>
        <v>-0.10000000008858501</v>
      </c>
      <c r="G10" s="26">
        <f t="shared" si="6"/>
        <v>-0.20000000006348301</v>
      </c>
      <c r="H10" s="6">
        <v>8.1411999999999995</v>
      </c>
      <c r="I10" s="35">
        <f t="shared" si="1"/>
        <v>798.09929999999997</v>
      </c>
      <c r="J10" s="24">
        <f t="shared" si="7"/>
        <v>-0.199999999949796</v>
      </c>
      <c r="K10" s="25">
        <f t="shared" si="8"/>
        <v>0</v>
      </c>
      <c r="L10" s="26">
        <f t="shared" si="9"/>
        <v>-0.199999999949796</v>
      </c>
      <c r="M10" s="6">
        <v>6.8578000000000001</v>
      </c>
      <c r="N10" s="35">
        <f t="shared" si="2"/>
        <v>796.81590000000006</v>
      </c>
      <c r="O10" s="24">
        <f t="shared" si="10"/>
        <v>-9.9999999974897905E-2</v>
      </c>
      <c r="P10" s="25">
        <f t="shared" si="11"/>
        <v>-1.09999999995125</v>
      </c>
      <c r="Q10" s="26">
        <f t="shared" si="12"/>
        <v>-9.9999999974897905E-2</v>
      </c>
      <c r="R10" s="41"/>
      <c r="S10" s="21">
        <f t="shared" si="3"/>
        <v>44537</v>
      </c>
      <c r="T10" s="42">
        <v>9.8980999999999995</v>
      </c>
      <c r="U10" s="43">
        <f t="shared" si="13"/>
        <v>-9.99999999997669E-2</v>
      </c>
      <c r="V10" s="44">
        <f t="shared" si="14"/>
        <v>-0.799999999999912</v>
      </c>
      <c r="W10" s="45">
        <f t="shared" si="15"/>
        <v>9.99999999997669E-2</v>
      </c>
      <c r="X10" s="29">
        <v>17.3826</v>
      </c>
      <c r="Y10" s="43">
        <f t="shared" si="16"/>
        <v>-0.49999999999883499</v>
      </c>
      <c r="Z10" s="44">
        <f t="shared" si="17"/>
        <v>-1.0000000000012199</v>
      </c>
      <c r="AA10" s="45">
        <f t="shared" si="18"/>
        <v>-0.49999999999883499</v>
      </c>
      <c r="AB10" s="49">
        <v>11.6539</v>
      </c>
      <c r="AC10" s="43">
        <f t="shared" si="19"/>
        <v>9.99999999997669E-2</v>
      </c>
      <c r="AD10" s="44">
        <f t="shared" si="20"/>
        <v>-0.39999999999906799</v>
      </c>
      <c r="AE10" s="45">
        <f t="shared" si="21"/>
        <v>9.99999999997669E-2</v>
      </c>
      <c r="AF10" s="50">
        <v>79236</v>
      </c>
      <c r="AG10" s="58">
        <f t="shared" si="22"/>
        <v>11</v>
      </c>
      <c r="AH10" s="59"/>
      <c r="AI10" s="60"/>
      <c r="AJ10" s="61"/>
      <c r="AK10" s="62"/>
      <c r="AL10" s="52"/>
      <c r="AM10" s="52"/>
    </row>
    <row r="11" spans="1:39">
      <c r="A11" s="21">
        <v>44538</v>
      </c>
      <c r="B11" s="22">
        <v>789.95809999999994</v>
      </c>
      <c r="C11" s="27">
        <v>7.0105000000000004</v>
      </c>
      <c r="D11" s="23">
        <f t="shared" si="0"/>
        <v>796.96860000000004</v>
      </c>
      <c r="E11" s="24">
        <f t="shared" si="4"/>
        <v>-0.49999999998817701</v>
      </c>
      <c r="F11" s="25">
        <f t="shared" si="5"/>
        <v>-0.60000000007676102</v>
      </c>
      <c r="G11" s="26">
        <f t="shared" si="6"/>
        <v>-0.49999999998817701</v>
      </c>
      <c r="H11" s="6">
        <v>8.1415000000000006</v>
      </c>
      <c r="I11" s="35">
        <f t="shared" si="1"/>
        <v>798.09960000000001</v>
      </c>
      <c r="J11" s="24">
        <f t="shared" si="7"/>
        <v>0.29999999992469401</v>
      </c>
      <c r="K11" s="25">
        <f t="shared" si="8"/>
        <v>0.29999999992469401</v>
      </c>
      <c r="L11" s="26">
        <f t="shared" si="9"/>
        <v>0.29999999992469401</v>
      </c>
      <c r="M11" s="6">
        <v>6.8574999999999999</v>
      </c>
      <c r="N11" s="35">
        <f t="shared" si="2"/>
        <v>796.81560000000002</v>
      </c>
      <c r="O11" s="24">
        <f t="shared" si="10"/>
        <v>-0.30000000003838101</v>
      </c>
      <c r="P11" s="25">
        <f t="shared" si="11"/>
        <v>-1.39999999998963</v>
      </c>
      <c r="Q11" s="26">
        <f t="shared" si="12"/>
        <v>-0.30000000003838101</v>
      </c>
      <c r="R11" s="41"/>
      <c r="S11" s="21">
        <f t="shared" si="3"/>
        <v>44538</v>
      </c>
      <c r="T11" s="42">
        <v>9.8979999999999997</v>
      </c>
      <c r="U11" s="43">
        <f t="shared" si="13"/>
        <v>-9.99999999997669E-2</v>
      </c>
      <c r="V11" s="44">
        <f t="shared" si="14"/>
        <v>-0.89999999999967895</v>
      </c>
      <c r="W11" s="45">
        <f t="shared" si="15"/>
        <v>9.99999999997669E-2</v>
      </c>
      <c r="X11" s="29">
        <v>17.3825</v>
      </c>
      <c r="Y11" s="43">
        <f t="shared" si="16"/>
        <v>-9.99999999997669E-2</v>
      </c>
      <c r="Z11" s="44">
        <f t="shared" si="17"/>
        <v>-1.10000000000099</v>
      </c>
      <c r="AA11" s="45">
        <f t="shared" si="18"/>
        <v>-9.99999999997669E-2</v>
      </c>
      <c r="AB11" s="49">
        <v>11.6534</v>
      </c>
      <c r="AC11" s="43">
        <f t="shared" si="19"/>
        <v>-0.50000000000061096</v>
      </c>
      <c r="AD11" s="44">
        <f t="shared" si="20"/>
        <v>-0.89999999999967895</v>
      </c>
      <c r="AE11" s="45">
        <f t="shared" si="21"/>
        <v>-0.50000000000061096</v>
      </c>
      <c r="AF11" s="50">
        <v>79238</v>
      </c>
      <c r="AG11" s="58">
        <f t="shared" si="22"/>
        <v>13</v>
      </c>
      <c r="AH11" s="61"/>
      <c r="AI11" s="60"/>
      <c r="AJ11" s="52"/>
      <c r="AK11" s="52"/>
      <c r="AL11" s="52"/>
      <c r="AM11" s="52"/>
    </row>
    <row r="12" spans="1:39">
      <c r="A12" s="21">
        <v>44539</v>
      </c>
      <c r="B12" s="22">
        <v>789.95809999999994</v>
      </c>
      <c r="C12" s="27">
        <v>7.0106000000000002</v>
      </c>
      <c r="D12" s="23">
        <f t="shared" si="0"/>
        <v>796.96870000000001</v>
      </c>
      <c r="E12" s="24">
        <f t="shared" si="4"/>
        <v>9.9999999974897905E-2</v>
      </c>
      <c r="F12" s="25">
        <f t="shared" si="5"/>
        <v>-0.50000000010186296</v>
      </c>
      <c r="G12" s="26">
        <f t="shared" si="6"/>
        <v>9.9999999974897905E-2</v>
      </c>
      <c r="H12" s="6">
        <v>8.1408000000000005</v>
      </c>
      <c r="I12" s="35">
        <f t="shared" si="1"/>
        <v>798.09889999999996</v>
      </c>
      <c r="J12" s="24">
        <f t="shared" si="7"/>
        <v>-0.69999999993797202</v>
      </c>
      <c r="K12" s="25">
        <f t="shared" si="8"/>
        <v>-0.40000000001327901</v>
      </c>
      <c r="L12" s="26">
        <f t="shared" si="9"/>
        <v>-0.69999999993797202</v>
      </c>
      <c r="M12" s="6">
        <v>6.8578000000000001</v>
      </c>
      <c r="N12" s="35">
        <f t="shared" si="2"/>
        <v>796.81590000000006</v>
      </c>
      <c r="O12" s="24">
        <f t="shared" si="10"/>
        <v>0.30000000003838101</v>
      </c>
      <c r="P12" s="25">
        <f t="shared" si="11"/>
        <v>-1.09999999995125</v>
      </c>
      <c r="Q12" s="26">
        <f t="shared" si="12"/>
        <v>0.30000000003838101</v>
      </c>
      <c r="R12" s="41"/>
      <c r="S12" s="21">
        <f t="shared" si="3"/>
        <v>44539</v>
      </c>
      <c r="T12" s="42">
        <v>9.8985000000000003</v>
      </c>
      <c r="U12" s="43">
        <f t="shared" si="13"/>
        <v>0.50000000000061096</v>
      </c>
      <c r="V12" s="44">
        <f t="shared" si="14"/>
        <v>-0.39999999999906799</v>
      </c>
      <c r="W12" s="45">
        <f t="shared" si="15"/>
        <v>-0.50000000000061096</v>
      </c>
      <c r="X12" s="29">
        <v>17.382200000000001</v>
      </c>
      <c r="Y12" s="43">
        <f t="shared" si="16"/>
        <v>-0.29999999999930099</v>
      </c>
      <c r="Z12" s="44">
        <f t="shared" si="17"/>
        <v>-1.4000000000002899</v>
      </c>
      <c r="AA12" s="45">
        <f t="shared" si="18"/>
        <v>-0.29999999999930099</v>
      </c>
      <c r="AB12" s="49">
        <v>11.6532</v>
      </c>
      <c r="AC12" s="43">
        <f t="shared" si="19"/>
        <v>-0.19999999999953399</v>
      </c>
      <c r="AD12" s="44">
        <f t="shared" si="20"/>
        <v>-1.0999999999992101</v>
      </c>
      <c r="AE12" s="45">
        <f t="shared" si="21"/>
        <v>-0.19999999999953399</v>
      </c>
      <c r="AF12" s="50">
        <v>79240</v>
      </c>
      <c r="AG12" s="58">
        <f t="shared" si="22"/>
        <v>15</v>
      </c>
      <c r="AH12" s="61"/>
      <c r="AI12" s="60"/>
      <c r="AJ12" s="52"/>
      <c r="AK12" s="52"/>
      <c r="AL12" s="52"/>
      <c r="AM12" s="52"/>
    </row>
    <row r="13" spans="1:39">
      <c r="A13" s="21">
        <v>44540</v>
      </c>
      <c r="B13" s="22">
        <v>789.95809999999994</v>
      </c>
      <c r="C13" s="27">
        <v>7.0103999999999997</v>
      </c>
      <c r="D13" s="23">
        <f t="shared" si="0"/>
        <v>796.96849999999995</v>
      </c>
      <c r="E13" s="24">
        <f t="shared" si="4"/>
        <v>-0.199999999949796</v>
      </c>
      <c r="F13" s="25">
        <f t="shared" si="5"/>
        <v>-0.70000000005165897</v>
      </c>
      <c r="G13" s="26">
        <f t="shared" si="6"/>
        <v>-0.199999999949796</v>
      </c>
      <c r="H13" s="6">
        <v>8.1405999999999992</v>
      </c>
      <c r="I13" s="35">
        <f t="shared" si="1"/>
        <v>798.09870000000001</v>
      </c>
      <c r="J13" s="24">
        <f t="shared" si="7"/>
        <v>-0.20000000006348301</v>
      </c>
      <c r="K13" s="25">
        <f t="shared" si="8"/>
        <v>-0.60000000007676102</v>
      </c>
      <c r="L13" s="26">
        <f t="shared" si="9"/>
        <v>-0.20000000006348301</v>
      </c>
      <c r="M13" s="6">
        <v>6.8571</v>
      </c>
      <c r="N13" s="35">
        <f t="shared" si="2"/>
        <v>796.8152</v>
      </c>
      <c r="O13" s="24">
        <f t="shared" si="10"/>
        <v>-0.70000000005165897</v>
      </c>
      <c r="P13" s="25">
        <f t="shared" si="11"/>
        <v>-1.8000000000029099</v>
      </c>
      <c r="Q13" s="26">
        <f t="shared" si="12"/>
        <v>-0.70000000005165897</v>
      </c>
      <c r="R13" s="41"/>
      <c r="S13" s="21">
        <f t="shared" si="3"/>
        <v>44540</v>
      </c>
      <c r="T13" s="42">
        <v>9.8978000000000002</v>
      </c>
      <c r="U13" s="43">
        <f t="shared" si="13"/>
        <v>-0.70000000000014495</v>
      </c>
      <c r="V13" s="44">
        <f t="shared" si="14"/>
        <v>-1.0999999999992101</v>
      </c>
      <c r="W13" s="45">
        <f t="shared" si="15"/>
        <v>0.70000000000014495</v>
      </c>
      <c r="X13" s="29">
        <v>17.382000000000001</v>
      </c>
      <c r="Y13" s="43">
        <f t="shared" si="16"/>
        <v>-0.19999999999953399</v>
      </c>
      <c r="Z13" s="44">
        <f t="shared" si="17"/>
        <v>-1.59999999999982</v>
      </c>
      <c r="AA13" s="45">
        <f t="shared" si="18"/>
        <v>-0.19999999999953399</v>
      </c>
      <c r="AB13" s="49">
        <v>11.653</v>
      </c>
      <c r="AC13" s="43">
        <f t="shared" si="19"/>
        <v>-0.19999999999953399</v>
      </c>
      <c r="AD13" s="44">
        <f t="shared" si="20"/>
        <v>-1.2999999999987499</v>
      </c>
      <c r="AE13" s="45">
        <f t="shared" si="21"/>
        <v>-0.19999999999953399</v>
      </c>
      <c r="AF13" s="50">
        <v>79242</v>
      </c>
      <c r="AG13" s="58">
        <f t="shared" si="22"/>
        <v>17</v>
      </c>
      <c r="AH13" s="61"/>
      <c r="AI13" s="60"/>
      <c r="AJ13"/>
      <c r="AK13"/>
      <c r="AL13"/>
      <c r="AM13"/>
    </row>
    <row r="14" spans="1:39">
      <c r="A14" s="21">
        <v>44541</v>
      </c>
      <c r="B14" s="22">
        <v>789.95809999999994</v>
      </c>
      <c r="C14" s="27">
        <v>7.0107999999999997</v>
      </c>
      <c r="D14" s="23">
        <f t="shared" si="0"/>
        <v>796.96889999999996</v>
      </c>
      <c r="E14" s="24">
        <f t="shared" si="4"/>
        <v>0.40000000001327901</v>
      </c>
      <c r="F14" s="25">
        <f t="shared" si="5"/>
        <v>-0.30000000003838101</v>
      </c>
      <c r="G14" s="26">
        <f t="shared" si="6"/>
        <v>0.40000000001327901</v>
      </c>
      <c r="H14" s="6">
        <v>8.1403999999999908</v>
      </c>
      <c r="I14" s="35">
        <f t="shared" si="1"/>
        <v>798.09849999999994</v>
      </c>
      <c r="J14" s="24">
        <f t="shared" si="7"/>
        <v>-0.199999999949796</v>
      </c>
      <c r="K14" s="25">
        <f t="shared" si="8"/>
        <v>-0.80000000002655702</v>
      </c>
      <c r="L14" s="26">
        <f t="shared" si="9"/>
        <v>-0.199999999949796</v>
      </c>
      <c r="M14" s="6">
        <v>6.8569000000000004</v>
      </c>
      <c r="N14" s="35">
        <f t="shared" si="2"/>
        <v>796.81500000000005</v>
      </c>
      <c r="O14" s="24">
        <f t="shared" si="10"/>
        <v>-0.199999999949796</v>
      </c>
      <c r="P14" s="25">
        <f t="shared" si="11"/>
        <v>-1.9999999999527101</v>
      </c>
      <c r="Q14" s="26">
        <f t="shared" si="12"/>
        <v>-0.199999999949796</v>
      </c>
      <c r="R14" s="41"/>
      <c r="S14" s="21">
        <f t="shared" si="3"/>
        <v>44541</v>
      </c>
      <c r="T14" s="42">
        <v>9.8977000000000004</v>
      </c>
      <c r="U14" s="43">
        <f t="shared" si="13"/>
        <v>-9.99999999997669E-2</v>
      </c>
      <c r="V14" s="44">
        <f t="shared" si="14"/>
        <v>-1.1999999999989801</v>
      </c>
      <c r="W14" s="45">
        <f t="shared" si="15"/>
        <v>9.99999999997669E-2</v>
      </c>
      <c r="X14" s="29">
        <v>17.382300000000001</v>
      </c>
      <c r="Y14" s="43">
        <f t="shared" si="16"/>
        <v>0.29999999999930099</v>
      </c>
      <c r="Z14" s="44">
        <f t="shared" si="17"/>
        <v>-1.3000000000005201</v>
      </c>
      <c r="AA14" s="45">
        <f t="shared" si="18"/>
        <v>0.29999999999930099</v>
      </c>
      <c r="AB14" s="49">
        <v>11.653499999999999</v>
      </c>
      <c r="AC14" s="43">
        <f t="shared" si="19"/>
        <v>0.49999999999883499</v>
      </c>
      <c r="AD14" s="44">
        <f t="shared" si="20"/>
        <v>-0.799999999999912</v>
      </c>
      <c r="AE14" s="45">
        <f t="shared" si="21"/>
        <v>0.49999999999883499</v>
      </c>
      <c r="AF14" s="50">
        <v>79244</v>
      </c>
      <c r="AG14" s="58">
        <f t="shared" si="22"/>
        <v>19</v>
      </c>
      <c r="AH14" s="61"/>
      <c r="AI14" s="60"/>
      <c r="AJ14" s="52"/>
      <c r="AK14" s="52"/>
      <c r="AL14" s="52"/>
      <c r="AM14" s="52"/>
    </row>
    <row r="15" spans="1:39">
      <c r="A15" s="21">
        <v>44542</v>
      </c>
      <c r="B15" s="22">
        <v>789.95809999999994</v>
      </c>
      <c r="C15" s="27">
        <v>7.01</v>
      </c>
      <c r="D15" s="23">
        <f t="shared" si="0"/>
        <v>796.96810000000005</v>
      </c>
      <c r="E15" s="24">
        <f t="shared" si="4"/>
        <v>-0.80000000002655702</v>
      </c>
      <c r="F15" s="25">
        <f t="shared" si="5"/>
        <v>-1.1000000000649399</v>
      </c>
      <c r="G15" s="26">
        <f t="shared" si="6"/>
        <v>-0.80000000002655702</v>
      </c>
      <c r="H15" s="6">
        <v>8.1402000000000001</v>
      </c>
      <c r="I15" s="35">
        <f t="shared" si="1"/>
        <v>798.09829999999999</v>
      </c>
      <c r="J15" s="24">
        <f t="shared" si="7"/>
        <v>-0.199999999949796</v>
      </c>
      <c r="K15" s="25">
        <f t="shared" si="8"/>
        <v>-0.99999999997635303</v>
      </c>
      <c r="L15" s="26">
        <f t="shared" si="9"/>
        <v>-0.199999999949796</v>
      </c>
      <c r="M15" s="6">
        <v>6.8570000000000002</v>
      </c>
      <c r="N15" s="35">
        <f t="shared" si="2"/>
        <v>796.81510000000003</v>
      </c>
      <c r="O15" s="24">
        <f t="shared" si="10"/>
        <v>9.9999999974897905E-2</v>
      </c>
      <c r="P15" s="25">
        <f t="shared" si="11"/>
        <v>-1.8999999999778101</v>
      </c>
      <c r="Q15" s="26">
        <f t="shared" si="12"/>
        <v>9.9999999974897905E-2</v>
      </c>
      <c r="R15" s="41"/>
      <c r="S15" s="21">
        <f t="shared" si="3"/>
        <v>44542</v>
      </c>
      <c r="T15" s="42">
        <v>9.8972999999999995</v>
      </c>
      <c r="U15" s="43">
        <f t="shared" si="13"/>
        <v>-0.40000000000084401</v>
      </c>
      <c r="V15" s="44">
        <f t="shared" si="14"/>
        <v>-1.59999999999982</v>
      </c>
      <c r="W15" s="45">
        <f t="shared" si="15"/>
        <v>0.40000000000084401</v>
      </c>
      <c r="X15" s="29">
        <v>17.381599999999999</v>
      </c>
      <c r="Y15" s="43">
        <f t="shared" si="16"/>
        <v>-0.70000000000192097</v>
      </c>
      <c r="Z15" s="44">
        <f t="shared" si="17"/>
        <v>-2.0000000000024398</v>
      </c>
      <c r="AA15" s="45">
        <f t="shared" si="18"/>
        <v>-0.70000000000192097</v>
      </c>
      <c r="AB15" s="49">
        <v>11.6526</v>
      </c>
      <c r="AC15" s="43">
        <f t="shared" si="19"/>
        <v>-0.89999999999967895</v>
      </c>
      <c r="AD15" s="44">
        <f t="shared" si="20"/>
        <v>-1.6999999999995901</v>
      </c>
      <c r="AE15" s="45">
        <f t="shared" si="21"/>
        <v>-0.89999999999967895</v>
      </c>
      <c r="AF15" s="50">
        <v>79246</v>
      </c>
      <c r="AG15" s="58">
        <f t="shared" si="22"/>
        <v>21</v>
      </c>
      <c r="AH15" s="61"/>
      <c r="AI15" s="60"/>
      <c r="AJ15" s="52"/>
      <c r="AK15" s="52"/>
      <c r="AL15" s="52"/>
      <c r="AM15" s="52"/>
    </row>
    <row r="16" spans="1:39">
      <c r="A16" s="21">
        <v>44543</v>
      </c>
      <c r="B16" s="22">
        <v>789.95809999999994</v>
      </c>
      <c r="C16" s="27">
        <v>7.0098000000000003</v>
      </c>
      <c r="D16" s="23">
        <f t="shared" si="0"/>
        <v>796.96789999999999</v>
      </c>
      <c r="E16" s="24">
        <f t="shared" si="4"/>
        <v>-0.199999999949796</v>
      </c>
      <c r="F16" s="25">
        <f t="shared" si="5"/>
        <v>-1.30000000001473</v>
      </c>
      <c r="G16" s="26">
        <f t="shared" si="6"/>
        <v>-0.199999999949796</v>
      </c>
      <c r="H16" s="6">
        <v>8.1399999999999899</v>
      </c>
      <c r="I16" s="35">
        <f t="shared" si="1"/>
        <v>798.09810000000004</v>
      </c>
      <c r="J16" s="24">
        <f t="shared" si="7"/>
        <v>-0.20000000006348301</v>
      </c>
      <c r="K16" s="25">
        <f t="shared" si="8"/>
        <v>-1.2000000000398401</v>
      </c>
      <c r="L16" s="26">
        <f t="shared" si="9"/>
        <v>-0.20000000006348301</v>
      </c>
      <c r="M16" s="6">
        <v>6.8564999999999996</v>
      </c>
      <c r="N16" s="35">
        <f t="shared" si="2"/>
        <v>796.81460000000004</v>
      </c>
      <c r="O16" s="24">
        <f t="shared" si="10"/>
        <v>-0.49999999998817701</v>
      </c>
      <c r="P16" s="25">
        <f t="shared" si="11"/>
        <v>-2.39999999996598</v>
      </c>
      <c r="Q16" s="26">
        <f t="shared" si="12"/>
        <v>-0.49999999998817701</v>
      </c>
      <c r="R16" s="41"/>
      <c r="S16" s="21">
        <f t="shared" si="3"/>
        <v>44543</v>
      </c>
      <c r="T16" s="42">
        <v>9.8975000000000009</v>
      </c>
      <c r="U16" s="43">
        <f t="shared" si="13"/>
        <v>0.20000000000130999</v>
      </c>
      <c r="V16" s="44">
        <f t="shared" si="14"/>
        <v>-1.39999999999851</v>
      </c>
      <c r="W16" s="45">
        <f t="shared" si="15"/>
        <v>-0.20000000000130999</v>
      </c>
      <c r="X16" s="29">
        <v>17.381399999999999</v>
      </c>
      <c r="Y16" s="43">
        <f t="shared" si="16"/>
        <v>-0.19999999999953399</v>
      </c>
      <c r="Z16" s="44">
        <f t="shared" si="17"/>
        <v>-2.2000000000019799</v>
      </c>
      <c r="AA16" s="45">
        <f t="shared" si="18"/>
        <v>-0.19999999999953399</v>
      </c>
      <c r="AB16" s="49">
        <v>11.653</v>
      </c>
      <c r="AC16" s="43">
        <f t="shared" si="19"/>
        <v>0.40000000000084401</v>
      </c>
      <c r="AD16" s="44">
        <f t="shared" si="20"/>
        <v>-1.2999999999987499</v>
      </c>
      <c r="AE16" s="45">
        <f t="shared" si="21"/>
        <v>0.40000000000084401</v>
      </c>
      <c r="AF16" s="50">
        <v>79248</v>
      </c>
      <c r="AG16" s="58">
        <f t="shared" si="22"/>
        <v>23</v>
      </c>
      <c r="AH16" s="61"/>
      <c r="AI16" s="60"/>
      <c r="AJ16" s="52"/>
      <c r="AK16" s="52"/>
      <c r="AL16" s="52"/>
      <c r="AM16" s="52"/>
    </row>
    <row r="17" spans="1:39">
      <c r="A17" s="21">
        <v>44544</v>
      </c>
      <c r="B17" s="22">
        <v>789.95809999999994</v>
      </c>
      <c r="C17" s="27">
        <v>7.0101000000000004</v>
      </c>
      <c r="D17" s="23">
        <f t="shared" si="0"/>
        <v>796.96820000000002</v>
      </c>
      <c r="E17" s="24">
        <f t="shared" si="4"/>
        <v>0.29999999992469401</v>
      </c>
      <c r="F17" s="25">
        <f t="shared" si="5"/>
        <v>-1.00000000009004</v>
      </c>
      <c r="G17" s="26">
        <f t="shared" si="6"/>
        <v>0.29999999992469401</v>
      </c>
      <c r="H17" s="6">
        <v>8.1397999999999904</v>
      </c>
      <c r="I17" s="35">
        <f t="shared" si="1"/>
        <v>798.09789999999998</v>
      </c>
      <c r="J17" s="24">
        <f t="shared" si="7"/>
        <v>-0.199999999949796</v>
      </c>
      <c r="K17" s="25">
        <f t="shared" si="8"/>
        <v>-1.39999999998963</v>
      </c>
      <c r="L17" s="26">
        <f t="shared" si="9"/>
        <v>-0.199999999949796</v>
      </c>
      <c r="M17" s="6">
        <v>6.8563000000000001</v>
      </c>
      <c r="N17" s="35">
        <f t="shared" si="2"/>
        <v>796.81439999999998</v>
      </c>
      <c r="O17" s="24">
        <f t="shared" si="10"/>
        <v>-0.199999999949796</v>
      </c>
      <c r="P17" s="25">
        <f t="shared" si="11"/>
        <v>-2.5999999999157799</v>
      </c>
      <c r="Q17" s="26">
        <f t="shared" si="12"/>
        <v>-0.199999999949796</v>
      </c>
      <c r="R17" s="41"/>
      <c r="S17" s="21">
        <f t="shared" si="3"/>
        <v>44544</v>
      </c>
      <c r="T17" s="42">
        <v>9.8971999999999998</v>
      </c>
      <c r="U17" s="43">
        <f t="shared" si="13"/>
        <v>-0.30000000000107702</v>
      </c>
      <c r="V17" s="44">
        <f t="shared" si="14"/>
        <v>-1.6999999999995901</v>
      </c>
      <c r="W17" s="45">
        <f t="shared" si="15"/>
        <v>0.30000000000107702</v>
      </c>
      <c r="X17" s="29">
        <v>17.381499999999999</v>
      </c>
      <c r="Y17" s="43">
        <f t="shared" si="16"/>
        <v>9.99999999997669E-2</v>
      </c>
      <c r="Z17" s="44">
        <f t="shared" si="17"/>
        <v>-2.1000000000022099</v>
      </c>
      <c r="AA17" s="45">
        <f t="shared" si="18"/>
        <v>9.99999999997669E-2</v>
      </c>
      <c r="AB17" s="49">
        <v>11.652200000000001</v>
      </c>
      <c r="AC17" s="43">
        <f t="shared" si="19"/>
        <v>-0.799999999999912</v>
      </c>
      <c r="AD17" s="44">
        <f t="shared" si="20"/>
        <v>-2.0999999999986598</v>
      </c>
      <c r="AE17" s="45">
        <f t="shared" si="21"/>
        <v>-0.799999999999912</v>
      </c>
      <c r="AF17" s="50">
        <v>79250</v>
      </c>
      <c r="AG17" s="58">
        <f t="shared" si="22"/>
        <v>25</v>
      </c>
      <c r="AH17" s="61"/>
      <c r="AI17" s="52"/>
      <c r="AJ17" s="52"/>
      <c r="AK17" s="52"/>
      <c r="AL17" s="52"/>
      <c r="AM17" s="52"/>
    </row>
    <row r="18" spans="1:39">
      <c r="A18" s="21">
        <v>44545</v>
      </c>
      <c r="B18" s="22">
        <v>789.95809999999994</v>
      </c>
      <c r="C18" s="27">
        <v>7.0094000000000003</v>
      </c>
      <c r="D18" s="23">
        <f t="shared" si="0"/>
        <v>796.96749999999997</v>
      </c>
      <c r="E18" s="24">
        <f t="shared" si="4"/>
        <v>-0.69999999993797202</v>
      </c>
      <c r="F18" s="25">
        <f t="shared" si="5"/>
        <v>-1.70000000002801</v>
      </c>
      <c r="G18" s="26">
        <f t="shared" si="6"/>
        <v>-0.69999999993797202</v>
      </c>
      <c r="H18" s="6">
        <v>8.1401000000000003</v>
      </c>
      <c r="I18" s="35">
        <f t="shared" si="1"/>
        <v>798.09820000000002</v>
      </c>
      <c r="J18" s="24">
        <f t="shared" si="7"/>
        <v>0.29999999992469401</v>
      </c>
      <c r="K18" s="25">
        <f t="shared" si="8"/>
        <v>-1.1000000000649399</v>
      </c>
      <c r="L18" s="26">
        <f t="shared" si="9"/>
        <v>0.29999999992469401</v>
      </c>
      <c r="M18" s="6">
        <v>6.8564999999999996</v>
      </c>
      <c r="N18" s="35">
        <f t="shared" si="2"/>
        <v>796.81460000000004</v>
      </c>
      <c r="O18" s="24">
        <f t="shared" si="10"/>
        <v>0.199999999949796</v>
      </c>
      <c r="P18" s="25">
        <f t="shared" si="11"/>
        <v>-2.39999999996598</v>
      </c>
      <c r="Q18" s="26">
        <f t="shared" si="12"/>
        <v>0.199999999949796</v>
      </c>
      <c r="R18" s="41"/>
      <c r="S18" s="21">
        <f t="shared" si="3"/>
        <v>44545</v>
      </c>
      <c r="T18" s="42">
        <v>9.8972999999999995</v>
      </c>
      <c r="U18" s="43">
        <f t="shared" si="13"/>
        <v>9.99999999997669E-2</v>
      </c>
      <c r="V18" s="44">
        <f t="shared" si="14"/>
        <v>-1.59999999999982</v>
      </c>
      <c r="W18" s="45">
        <f t="shared" si="15"/>
        <v>-9.99999999997669E-2</v>
      </c>
      <c r="X18" s="29">
        <v>17.381</v>
      </c>
      <c r="Y18" s="43">
        <f t="shared" si="16"/>
        <v>-0.49999999999883499</v>
      </c>
      <c r="Z18" s="44">
        <f t="shared" si="17"/>
        <v>-2.6000000000010499</v>
      </c>
      <c r="AA18" s="45">
        <f t="shared" si="18"/>
        <v>-0.49999999999883499</v>
      </c>
      <c r="AB18" s="49">
        <v>11.6524</v>
      </c>
      <c r="AC18" s="43">
        <f t="shared" si="19"/>
        <v>0.19999999999953399</v>
      </c>
      <c r="AD18" s="44">
        <f t="shared" si="20"/>
        <v>-1.8999999999991199</v>
      </c>
      <c r="AE18" s="45">
        <f t="shared" si="21"/>
        <v>0.19999999999953399</v>
      </c>
      <c r="AF18" s="50">
        <v>79252</v>
      </c>
      <c r="AG18" s="58">
        <f t="shared" si="22"/>
        <v>27</v>
      </c>
      <c r="AH18" s="61"/>
      <c r="AI18" s="52"/>
      <c r="AJ18" s="52"/>
      <c r="AK18" s="52"/>
      <c r="AL18" s="52"/>
      <c r="AM18" s="52"/>
    </row>
    <row r="19" spans="1:39">
      <c r="A19" s="21">
        <v>44546</v>
      </c>
      <c r="B19" s="22">
        <v>789.95809999999994</v>
      </c>
      <c r="C19" s="27">
        <v>7.0091999999999999</v>
      </c>
      <c r="D19" s="23">
        <f t="shared" si="0"/>
        <v>796.96730000000002</v>
      </c>
      <c r="E19" s="24">
        <f t="shared" si="4"/>
        <v>-0.20000000006348301</v>
      </c>
      <c r="F19" s="25">
        <f t="shared" si="5"/>
        <v>-1.9000000000915001</v>
      </c>
      <c r="G19" s="26">
        <f t="shared" si="6"/>
        <v>-0.20000000006348301</v>
      </c>
      <c r="H19" s="6">
        <v>8.1393999999999895</v>
      </c>
      <c r="I19" s="35">
        <f t="shared" si="1"/>
        <v>798.09749999999997</v>
      </c>
      <c r="J19" s="24">
        <f t="shared" si="7"/>
        <v>-0.69999999993797202</v>
      </c>
      <c r="K19" s="25">
        <f t="shared" si="8"/>
        <v>-1.8000000000029099</v>
      </c>
      <c r="L19" s="26">
        <f t="shared" si="9"/>
        <v>-0.69999999993797202</v>
      </c>
      <c r="M19" s="6">
        <v>6.8559000000000099</v>
      </c>
      <c r="N19" s="35">
        <f t="shared" si="2"/>
        <v>796.81399999999996</v>
      </c>
      <c r="O19" s="24">
        <f t="shared" si="10"/>
        <v>-0.59999999996307496</v>
      </c>
      <c r="P19" s="25">
        <f t="shared" si="11"/>
        <v>-2.9999999999290599</v>
      </c>
      <c r="Q19" s="26">
        <f t="shared" si="12"/>
        <v>-0.59999999996307496</v>
      </c>
      <c r="R19" s="41"/>
      <c r="S19" s="21">
        <f t="shared" si="3"/>
        <v>44546</v>
      </c>
      <c r="T19" s="42">
        <v>9.8971999999999998</v>
      </c>
      <c r="U19" s="43">
        <f t="shared" si="13"/>
        <v>-9.99999999997669E-2</v>
      </c>
      <c r="V19" s="44">
        <f t="shared" si="14"/>
        <v>-1.6999999999995901</v>
      </c>
      <c r="W19" s="45">
        <f t="shared" si="15"/>
        <v>9.99999999997669E-2</v>
      </c>
      <c r="X19" s="29">
        <v>17.380800000000001</v>
      </c>
      <c r="Y19" s="43">
        <f t="shared" si="16"/>
        <v>-0.19999999999953399</v>
      </c>
      <c r="Z19" s="44">
        <f t="shared" si="17"/>
        <v>-2.8000000000005798</v>
      </c>
      <c r="AA19" s="45">
        <f t="shared" si="18"/>
        <v>-0.19999999999953399</v>
      </c>
      <c r="AB19" s="49">
        <v>11.6518</v>
      </c>
      <c r="AC19" s="43">
        <f t="shared" si="19"/>
        <v>-0.60000000000037801</v>
      </c>
      <c r="AD19" s="44">
        <f t="shared" si="20"/>
        <v>-2.4999999999995</v>
      </c>
      <c r="AE19" s="45">
        <f t="shared" si="21"/>
        <v>-0.60000000000037801</v>
      </c>
      <c r="AF19" s="50">
        <v>79254</v>
      </c>
      <c r="AG19" s="58">
        <f t="shared" si="22"/>
        <v>29</v>
      </c>
      <c r="AH19" s="61"/>
      <c r="AI19" s="52"/>
      <c r="AJ19" s="52"/>
      <c r="AK19" s="52"/>
      <c r="AL19" s="52"/>
      <c r="AM19" s="52"/>
    </row>
    <row r="20" spans="1:39">
      <c r="A20" s="21">
        <v>44547</v>
      </c>
      <c r="B20" s="22">
        <v>789.95809999999994</v>
      </c>
      <c r="C20" s="27">
        <v>7.0095000000000001</v>
      </c>
      <c r="D20" s="23">
        <f t="shared" si="0"/>
        <v>796.96759999999995</v>
      </c>
      <c r="E20" s="24">
        <f t="shared" si="4"/>
        <v>0.30000000003838101</v>
      </c>
      <c r="F20" s="25">
        <f t="shared" si="5"/>
        <v>-1.60000000005311</v>
      </c>
      <c r="G20" s="26">
        <f t="shared" si="6"/>
        <v>0.30000000003838101</v>
      </c>
      <c r="H20" s="6">
        <v>8.1392000000000007</v>
      </c>
      <c r="I20" s="35">
        <f t="shared" si="1"/>
        <v>798.09730000000002</v>
      </c>
      <c r="J20" s="24">
        <f t="shared" si="7"/>
        <v>-0.20000000006348301</v>
      </c>
      <c r="K20" s="25">
        <f t="shared" si="8"/>
        <v>-2.00000000006639</v>
      </c>
      <c r="L20" s="26">
        <f t="shared" si="9"/>
        <v>-0.20000000006348301</v>
      </c>
      <c r="M20" s="6">
        <v>6.8557000000000103</v>
      </c>
      <c r="N20" s="35">
        <f t="shared" si="2"/>
        <v>796.81380000000001</v>
      </c>
      <c r="O20" s="24">
        <f t="shared" si="10"/>
        <v>-0.20000000006348301</v>
      </c>
      <c r="P20" s="25">
        <f t="shared" si="11"/>
        <v>-3.1999999999925399</v>
      </c>
      <c r="Q20" s="26">
        <f t="shared" si="12"/>
        <v>-0.20000000006348301</v>
      </c>
      <c r="R20" s="41"/>
      <c r="S20" s="21">
        <f t="shared" si="3"/>
        <v>44547</v>
      </c>
      <c r="T20" s="42">
        <v>9.8970000000000002</v>
      </c>
      <c r="U20" s="43">
        <f t="shared" si="13"/>
        <v>-0.19999999999953399</v>
      </c>
      <c r="V20" s="44">
        <f t="shared" si="14"/>
        <v>-1.8999999999991199</v>
      </c>
      <c r="W20" s="45">
        <f t="shared" si="15"/>
        <v>0.19999999999953399</v>
      </c>
      <c r="X20" s="29">
        <v>17.380299999999998</v>
      </c>
      <c r="Y20" s="43">
        <f t="shared" si="16"/>
        <v>-0.50000000000238698</v>
      </c>
      <c r="Z20" s="44">
        <f t="shared" si="17"/>
        <v>-3.3000000000029699</v>
      </c>
      <c r="AA20" s="45">
        <f t="shared" si="18"/>
        <v>-0.50000000000238698</v>
      </c>
      <c r="AB20" s="49">
        <v>11.651899999999999</v>
      </c>
      <c r="AC20" s="43">
        <f t="shared" si="19"/>
        <v>9.99999999997669E-2</v>
      </c>
      <c r="AD20" s="44">
        <f t="shared" si="20"/>
        <v>-2.3999999999997401</v>
      </c>
      <c r="AE20" s="45">
        <f t="shared" si="21"/>
        <v>9.99999999997669E-2</v>
      </c>
      <c r="AF20" s="50">
        <v>79256</v>
      </c>
      <c r="AG20" s="58">
        <f t="shared" si="22"/>
        <v>31</v>
      </c>
      <c r="AH20" s="61"/>
      <c r="AI20" s="52"/>
      <c r="AJ20" s="52"/>
      <c r="AK20" s="52"/>
      <c r="AL20" s="52"/>
      <c r="AM20" s="52"/>
    </row>
    <row r="21" spans="1:39">
      <c r="A21" s="21">
        <v>44549</v>
      </c>
      <c r="B21" s="22">
        <v>789.95809999999994</v>
      </c>
      <c r="C21" s="27">
        <v>7.0094000000000003</v>
      </c>
      <c r="D21" s="23">
        <f t="shared" si="0"/>
        <v>796.96749999999997</v>
      </c>
      <c r="E21" s="24">
        <f t="shared" si="4"/>
        <v>-9.9999999974897905E-2</v>
      </c>
      <c r="F21" s="25">
        <f t="shared" si="5"/>
        <v>-1.70000000002801</v>
      </c>
      <c r="G21" s="26">
        <f t="shared" si="6"/>
        <v>-4.9999999987449001E-2</v>
      </c>
      <c r="H21" s="6">
        <v>8.1395</v>
      </c>
      <c r="I21" s="35">
        <f t="shared" si="1"/>
        <v>798.09760000000006</v>
      </c>
      <c r="J21" s="24">
        <f t="shared" si="7"/>
        <v>0.30000000003838101</v>
      </c>
      <c r="K21" s="25">
        <f t="shared" si="8"/>
        <v>-1.70000000002801</v>
      </c>
      <c r="L21" s="26">
        <f t="shared" si="9"/>
        <v>0.15000000001919001</v>
      </c>
      <c r="M21" s="6">
        <v>6.8558000000000003</v>
      </c>
      <c r="N21" s="35">
        <f t="shared" si="2"/>
        <v>796.81389999999999</v>
      </c>
      <c r="O21" s="24">
        <f t="shared" si="10"/>
        <v>0.10000000008858501</v>
      </c>
      <c r="P21" s="25">
        <f t="shared" si="11"/>
        <v>-3.09999999990396</v>
      </c>
      <c r="Q21" s="26">
        <f t="shared" si="12"/>
        <v>5.0000000044292399E-2</v>
      </c>
      <c r="R21" s="41"/>
      <c r="S21" s="21">
        <f t="shared" si="3"/>
        <v>44549</v>
      </c>
      <c r="T21" s="42">
        <v>9.8971</v>
      </c>
      <c r="U21" s="43">
        <f t="shared" si="13"/>
        <v>9.99999999997669E-2</v>
      </c>
      <c r="V21" s="44">
        <f t="shared" si="14"/>
        <v>-1.7999999999993599</v>
      </c>
      <c r="W21" s="45">
        <f t="shared" si="15"/>
        <v>-4.9999999999883499E-2</v>
      </c>
      <c r="X21" s="29">
        <v>17.380500000000001</v>
      </c>
      <c r="Y21" s="43">
        <f t="shared" si="16"/>
        <v>0.20000000000308699</v>
      </c>
      <c r="Z21" s="44">
        <f t="shared" si="17"/>
        <v>-3.0999999999998802</v>
      </c>
      <c r="AA21" s="45">
        <f t="shared" si="18"/>
        <v>0.10000000000154299</v>
      </c>
      <c r="AB21" s="49">
        <v>11.6517</v>
      </c>
      <c r="AC21" s="43">
        <f t="shared" si="19"/>
        <v>-0.19999999999953399</v>
      </c>
      <c r="AD21" s="44">
        <f t="shared" si="20"/>
        <v>-2.59999999999927</v>
      </c>
      <c r="AE21" s="45">
        <f t="shared" si="21"/>
        <v>-9.99999999997669E-2</v>
      </c>
      <c r="AF21" s="50">
        <v>79258</v>
      </c>
      <c r="AG21" s="58">
        <f t="shared" si="22"/>
        <v>33</v>
      </c>
      <c r="AH21" s="61"/>
      <c r="AI21" s="52"/>
      <c r="AJ21" s="52"/>
      <c r="AK21" s="52"/>
      <c r="AL21" s="52"/>
      <c r="AM21" s="52"/>
    </row>
    <row r="22" spans="1:39">
      <c r="A22" s="21">
        <v>44551</v>
      </c>
      <c r="B22" s="22">
        <v>789.95809999999994</v>
      </c>
      <c r="C22" s="27">
        <v>7.0092999999999996</v>
      </c>
      <c r="D22" s="23">
        <f t="shared" si="0"/>
        <v>796.9674</v>
      </c>
      <c r="E22" s="24">
        <f t="shared" si="4"/>
        <v>-9.9999999974897905E-2</v>
      </c>
      <c r="F22" s="25">
        <f t="shared" si="5"/>
        <v>-1.8000000000029099</v>
      </c>
      <c r="G22" s="26">
        <f t="shared" si="6"/>
        <v>-4.9999999987449001E-2</v>
      </c>
      <c r="H22" s="6">
        <v>8.1395999999999997</v>
      </c>
      <c r="I22" s="35">
        <f t="shared" si="1"/>
        <v>798.09770000000003</v>
      </c>
      <c r="J22" s="24">
        <f t="shared" si="7"/>
        <v>9.9999999974897905E-2</v>
      </c>
      <c r="K22" s="25">
        <f t="shared" si="8"/>
        <v>-1.60000000005311</v>
      </c>
      <c r="L22" s="26">
        <f t="shared" si="9"/>
        <v>4.9999999987449001E-2</v>
      </c>
      <c r="M22" s="6">
        <v>6.8558999999999903</v>
      </c>
      <c r="N22" s="35">
        <f t="shared" si="2"/>
        <v>796.81399999999996</v>
      </c>
      <c r="O22" s="24">
        <f t="shared" si="10"/>
        <v>9.9999999974897905E-2</v>
      </c>
      <c r="P22" s="25">
        <f t="shared" si="11"/>
        <v>-2.9999999999290599</v>
      </c>
      <c r="Q22" s="26">
        <f t="shared" si="12"/>
        <v>4.9999999987449001E-2</v>
      </c>
      <c r="R22" s="41"/>
      <c r="S22" s="21">
        <f t="shared" si="3"/>
        <v>44551</v>
      </c>
      <c r="T22" s="42">
        <v>9.8970000000000002</v>
      </c>
      <c r="U22" s="43">
        <f t="shared" si="13"/>
        <v>-9.99999999997669E-2</v>
      </c>
      <c r="V22" s="44">
        <f t="shared" si="14"/>
        <v>-1.8999999999991199</v>
      </c>
      <c r="W22" s="45">
        <f t="shared" si="15"/>
        <v>4.9999999999883499E-2</v>
      </c>
      <c r="X22" s="29">
        <v>17.380700000000001</v>
      </c>
      <c r="Y22" s="43">
        <f t="shared" si="16"/>
        <v>0.19999999999953399</v>
      </c>
      <c r="Z22" s="44">
        <f t="shared" si="17"/>
        <v>-2.9000000000003499</v>
      </c>
      <c r="AA22" s="45">
        <f t="shared" si="18"/>
        <v>9.99999999997669E-2</v>
      </c>
      <c r="AB22" s="49">
        <v>11.6515</v>
      </c>
      <c r="AC22" s="43">
        <f t="shared" si="19"/>
        <v>-0.19999999999953399</v>
      </c>
      <c r="AD22" s="44">
        <f t="shared" si="20"/>
        <v>-2.7999999999987999</v>
      </c>
      <c r="AE22" s="45">
        <f t="shared" si="21"/>
        <v>-9.99999999997669E-2</v>
      </c>
      <c r="AF22" s="50">
        <v>79260</v>
      </c>
      <c r="AG22" s="58">
        <f t="shared" si="22"/>
        <v>35</v>
      </c>
      <c r="AH22" s="61"/>
      <c r="AI22" s="52"/>
      <c r="AJ22" s="52"/>
      <c r="AK22" s="52"/>
      <c r="AL22" s="52"/>
      <c r="AM22" s="52"/>
    </row>
    <row r="23" spans="1:39">
      <c r="A23" s="21">
        <v>44553</v>
      </c>
      <c r="B23" s="22">
        <v>789.95809999999994</v>
      </c>
      <c r="C23" s="27">
        <v>7.0094000000000003</v>
      </c>
      <c r="D23" s="23">
        <f t="shared" si="0"/>
        <v>796.96749999999997</v>
      </c>
      <c r="E23" s="24">
        <f t="shared" si="4"/>
        <v>9.9999999974897905E-2</v>
      </c>
      <c r="F23" s="25">
        <f t="shared" si="5"/>
        <v>-1.70000000002801</v>
      </c>
      <c r="G23" s="26">
        <f t="shared" si="6"/>
        <v>4.9999999987449001E-2</v>
      </c>
      <c r="H23" s="6">
        <v>8.1394000000000002</v>
      </c>
      <c r="I23" s="35">
        <f t="shared" si="1"/>
        <v>798.09749999999997</v>
      </c>
      <c r="J23" s="24">
        <f t="shared" si="7"/>
        <v>-0.199999999949796</v>
      </c>
      <c r="K23" s="25">
        <f t="shared" si="8"/>
        <v>-1.8000000000029099</v>
      </c>
      <c r="L23" s="26">
        <f t="shared" si="9"/>
        <v>-9.9999999974897905E-2</v>
      </c>
      <c r="M23" s="6">
        <v>6.8555000000000001</v>
      </c>
      <c r="N23" s="35">
        <f t="shared" si="2"/>
        <v>796.81359999999995</v>
      </c>
      <c r="O23" s="24">
        <f t="shared" si="10"/>
        <v>-0.40000000001327901</v>
      </c>
      <c r="P23" s="25">
        <f t="shared" si="11"/>
        <v>-3.3999999999423398</v>
      </c>
      <c r="Q23" s="26">
        <f t="shared" si="12"/>
        <v>-0.20000000000663901</v>
      </c>
      <c r="R23" s="41"/>
      <c r="S23" s="21">
        <f t="shared" si="3"/>
        <v>44553</v>
      </c>
      <c r="T23" s="42">
        <v>9.8968000000000007</v>
      </c>
      <c r="U23" s="43">
        <f t="shared" si="13"/>
        <v>-0.19999999999953399</v>
      </c>
      <c r="V23" s="44">
        <f t="shared" si="14"/>
        <v>-2.0999999999986598</v>
      </c>
      <c r="W23" s="45">
        <f t="shared" si="15"/>
        <v>9.99999999997669E-2</v>
      </c>
      <c r="X23" s="29">
        <v>17.380299999999998</v>
      </c>
      <c r="Y23" s="43">
        <f t="shared" si="16"/>
        <v>-0.40000000000261998</v>
      </c>
      <c r="Z23" s="44">
        <f t="shared" si="17"/>
        <v>-3.3000000000029699</v>
      </c>
      <c r="AA23" s="45">
        <f t="shared" si="18"/>
        <v>-0.20000000000130999</v>
      </c>
      <c r="AB23" s="49">
        <v>11.651300000000001</v>
      </c>
      <c r="AC23" s="43">
        <f t="shared" si="19"/>
        <v>-0.19999999999953399</v>
      </c>
      <c r="AD23" s="44">
        <f t="shared" si="20"/>
        <v>-2.99999999999834</v>
      </c>
      <c r="AE23" s="45">
        <f t="shared" si="21"/>
        <v>-9.99999999997669E-2</v>
      </c>
      <c r="AF23" s="50">
        <v>79262</v>
      </c>
      <c r="AG23" s="58">
        <f t="shared" si="22"/>
        <v>37</v>
      </c>
      <c r="AH23" s="61"/>
      <c r="AI23" s="60"/>
      <c r="AJ23"/>
      <c r="AK23"/>
      <c r="AL23"/>
      <c r="AM23"/>
    </row>
    <row r="24" spans="1:39">
      <c r="A24" s="21">
        <v>44555</v>
      </c>
      <c r="B24" s="22">
        <v>789.95809999999994</v>
      </c>
      <c r="C24" s="27">
        <v>7.0095000000000001</v>
      </c>
      <c r="D24" s="23">
        <f t="shared" si="0"/>
        <v>796.96759999999995</v>
      </c>
      <c r="E24" s="24">
        <f t="shared" si="4"/>
        <v>9.9999999974897905E-2</v>
      </c>
      <c r="F24" s="25">
        <f t="shared" si="5"/>
        <v>-1.60000000005311</v>
      </c>
      <c r="G24" s="26">
        <f t="shared" si="6"/>
        <v>4.9999999987449001E-2</v>
      </c>
      <c r="H24" s="6">
        <v>8.1392000000000007</v>
      </c>
      <c r="I24" s="35">
        <f t="shared" si="1"/>
        <v>798.09730000000002</v>
      </c>
      <c r="J24" s="24">
        <f t="shared" si="7"/>
        <v>-0.20000000006348301</v>
      </c>
      <c r="K24" s="25">
        <f t="shared" si="8"/>
        <v>-2.00000000006639</v>
      </c>
      <c r="L24" s="26">
        <f t="shared" si="9"/>
        <v>-0.100000000031741</v>
      </c>
      <c r="M24" s="6">
        <v>6.8555999999999999</v>
      </c>
      <c r="N24" s="35">
        <f t="shared" si="2"/>
        <v>796.81370000000004</v>
      </c>
      <c r="O24" s="24">
        <f t="shared" si="10"/>
        <v>9.9999999974897905E-2</v>
      </c>
      <c r="P24" s="25">
        <f t="shared" si="11"/>
        <v>-3.2999999999674401</v>
      </c>
      <c r="Q24" s="26">
        <f t="shared" si="12"/>
        <v>4.9999999987449001E-2</v>
      </c>
      <c r="S24" s="21">
        <f t="shared" si="3"/>
        <v>44555</v>
      </c>
      <c r="T24" s="42">
        <v>9.8963000000000001</v>
      </c>
      <c r="U24" s="43">
        <f t="shared" si="13"/>
        <v>-0.50000000000061096</v>
      </c>
      <c r="V24" s="44">
        <f t="shared" si="14"/>
        <v>-2.59999999999927</v>
      </c>
      <c r="W24" s="45">
        <f t="shared" si="15"/>
        <v>0.25000000000030598</v>
      </c>
      <c r="X24" s="29">
        <v>17.38</v>
      </c>
      <c r="Y24" s="43">
        <f t="shared" si="16"/>
        <v>-0.29999999999930099</v>
      </c>
      <c r="Z24" s="44">
        <f t="shared" si="17"/>
        <v>-3.6000000000022698</v>
      </c>
      <c r="AA24" s="45">
        <f t="shared" si="18"/>
        <v>-0.14999999999965</v>
      </c>
      <c r="AB24" s="49">
        <v>11.650600000000001</v>
      </c>
      <c r="AC24" s="43">
        <f t="shared" si="19"/>
        <v>-0.70000000000014495</v>
      </c>
      <c r="AD24" s="44">
        <f t="shared" si="20"/>
        <v>-3.6999999999984801</v>
      </c>
      <c r="AE24" s="45">
        <f t="shared" si="21"/>
        <v>-0.35000000000007198</v>
      </c>
      <c r="AF24" s="50">
        <v>79273</v>
      </c>
      <c r="AG24" s="58">
        <f t="shared" si="22"/>
        <v>48</v>
      </c>
      <c r="AH24" s="61"/>
      <c r="AI24" s="52"/>
      <c r="AJ24" s="52"/>
      <c r="AK24" s="52"/>
      <c r="AL24" s="52"/>
      <c r="AM24" s="52"/>
    </row>
    <row r="25" spans="1:39">
      <c r="A25" s="21">
        <v>44557</v>
      </c>
      <c r="B25" s="22">
        <v>789.95809999999994</v>
      </c>
      <c r="C25" s="27">
        <v>7.0091999999999999</v>
      </c>
      <c r="D25" s="23">
        <f t="shared" si="0"/>
        <v>796.96730000000002</v>
      </c>
      <c r="E25" s="24">
        <f t="shared" si="4"/>
        <v>-0.30000000003838101</v>
      </c>
      <c r="F25" s="25">
        <f t="shared" si="5"/>
        <v>-1.9000000000915001</v>
      </c>
      <c r="G25" s="26">
        <f t="shared" si="6"/>
        <v>-0.15000000001919001</v>
      </c>
      <c r="H25" s="6">
        <v>8.1393000000000004</v>
      </c>
      <c r="I25" s="35">
        <f t="shared" si="1"/>
        <v>798.09739999999999</v>
      </c>
      <c r="J25" s="24">
        <f t="shared" si="7"/>
        <v>0.10000000008858501</v>
      </c>
      <c r="K25" s="25">
        <f t="shared" si="8"/>
        <v>-1.8999999999778101</v>
      </c>
      <c r="L25" s="26">
        <f t="shared" si="9"/>
        <v>5.0000000044292399E-2</v>
      </c>
      <c r="M25" s="6">
        <v>6.8552999999999997</v>
      </c>
      <c r="N25" s="35">
        <f t="shared" si="2"/>
        <v>796.8134</v>
      </c>
      <c r="O25" s="24">
        <f t="shared" si="10"/>
        <v>-0.29999999992469401</v>
      </c>
      <c r="P25" s="25">
        <f t="shared" si="11"/>
        <v>-3.5999999998921299</v>
      </c>
      <c r="Q25" s="26">
        <f t="shared" si="12"/>
        <v>-0.149999999962347</v>
      </c>
      <c r="R25" s="41"/>
      <c r="S25" s="21">
        <f t="shared" si="3"/>
        <v>44557</v>
      </c>
      <c r="T25" s="42">
        <v>9.8956</v>
      </c>
      <c r="U25" s="43">
        <f t="shared" si="13"/>
        <v>-0.70000000000014495</v>
      </c>
      <c r="V25" s="44">
        <f t="shared" si="14"/>
        <v>-3.2999999999994101</v>
      </c>
      <c r="W25" s="45">
        <f t="shared" si="15"/>
        <v>0.35000000000007198</v>
      </c>
      <c r="X25" s="29">
        <v>17.380199999999999</v>
      </c>
      <c r="Y25" s="43">
        <f t="shared" si="16"/>
        <v>0.19999999999953399</v>
      </c>
      <c r="Z25" s="44">
        <f t="shared" si="17"/>
        <v>-3.4000000000027302</v>
      </c>
      <c r="AA25" s="45">
        <f t="shared" si="18"/>
        <v>9.99999999997669E-2</v>
      </c>
      <c r="AB25" s="49">
        <v>11.6502</v>
      </c>
      <c r="AC25" s="43">
        <f t="shared" si="19"/>
        <v>-0.40000000000084401</v>
      </c>
      <c r="AD25" s="44">
        <f t="shared" si="20"/>
        <v>-4.09999999999933</v>
      </c>
      <c r="AE25" s="45">
        <f t="shared" si="21"/>
        <v>-0.20000000000042201</v>
      </c>
      <c r="AF25" s="50">
        <v>79285</v>
      </c>
      <c r="AG25" s="58">
        <f t="shared" si="22"/>
        <v>60</v>
      </c>
      <c r="AH25" s="61"/>
      <c r="AI25" s="52"/>
      <c r="AJ25" s="52"/>
      <c r="AK25" s="52"/>
      <c r="AL25" s="52"/>
      <c r="AM25" s="52"/>
    </row>
    <row r="26" spans="1:39">
      <c r="A26" s="21">
        <v>44559</v>
      </c>
      <c r="B26" s="22">
        <v>789.95809999999994</v>
      </c>
      <c r="C26" s="27">
        <v>7.0094000000000003</v>
      </c>
      <c r="D26" s="23">
        <f t="shared" si="0"/>
        <v>796.96749999999997</v>
      </c>
      <c r="E26" s="24">
        <f t="shared" ref="E26:E31" si="23">(D26-D25)*1000</f>
        <v>0.20000000006348301</v>
      </c>
      <c r="F26" s="25">
        <f t="shared" ref="F26:F31" si="24">F25+E26</f>
        <v>-1.70000000002801</v>
      </c>
      <c r="G26" s="26">
        <f t="shared" ref="G26:G31" si="25">E26/(A26-A25)</f>
        <v>0.100000000031741</v>
      </c>
      <c r="H26" s="6">
        <v>8.1395</v>
      </c>
      <c r="I26" s="35">
        <f t="shared" si="1"/>
        <v>798.09760000000006</v>
      </c>
      <c r="J26" s="24">
        <f t="shared" ref="J26:J31" si="26">(I26-I25)*1000</f>
        <v>0.199999999949796</v>
      </c>
      <c r="K26" s="25">
        <f t="shared" ref="K26:K31" si="27">K25+J26</f>
        <v>-1.70000000002801</v>
      </c>
      <c r="L26" s="26">
        <f t="shared" ref="L26:L31" si="28">J26/(A26-A25)</f>
        <v>9.9999999974897905E-2</v>
      </c>
      <c r="M26" s="6">
        <v>6.8551000000000002</v>
      </c>
      <c r="N26" s="35">
        <f t="shared" si="2"/>
        <v>796.81320000000005</v>
      </c>
      <c r="O26" s="24">
        <f t="shared" ref="O26:O31" si="29">(N26-N25)*1000</f>
        <v>-0.20000000006348301</v>
      </c>
      <c r="P26" s="25">
        <f t="shared" ref="P26:P31" si="30">P25+O26</f>
        <v>-3.7999999999556202</v>
      </c>
      <c r="Q26" s="26">
        <f t="shared" ref="Q26:Q31" si="31">O26/(A26-A25)</f>
        <v>-0.100000000031741</v>
      </c>
      <c r="R26" s="41"/>
      <c r="S26" s="21">
        <f t="shared" si="3"/>
        <v>44559</v>
      </c>
      <c r="T26" s="42">
        <v>9.8957999999999995</v>
      </c>
      <c r="U26" s="43">
        <f t="shared" ref="U26:U31" si="32">(T26-T25)*1000</f>
        <v>0.19999999999953399</v>
      </c>
      <c r="V26" s="44">
        <f t="shared" ref="V26:V31" si="33">V25+U26</f>
        <v>-3.0999999999998802</v>
      </c>
      <c r="W26" s="45">
        <f t="shared" ref="W26:W31" si="34">U26/(S25-S26)</f>
        <v>-9.99999999997669E-2</v>
      </c>
      <c r="X26" s="29">
        <v>17.379899999999999</v>
      </c>
      <c r="Y26" s="43">
        <f t="shared" ref="Y26:Y31" si="35">(X26-X25)*1000</f>
        <v>-0.29999999999930099</v>
      </c>
      <c r="Z26" s="44">
        <f t="shared" ref="Z26:Z31" si="36">Z25+Y26</f>
        <v>-3.7000000000020301</v>
      </c>
      <c r="AA26" s="45">
        <f t="shared" ref="AA26:AA31" si="37">Y26/(S26-S25)</f>
        <v>-0.14999999999965</v>
      </c>
      <c r="AB26" s="49">
        <v>11.649900000000001</v>
      </c>
      <c r="AC26" s="43">
        <f t="shared" ref="AC26:AC31" si="38">(AB26-AB25)*1000</f>
        <v>-0.29999999999930099</v>
      </c>
      <c r="AD26" s="44">
        <f t="shared" ref="AD26:AD31" si="39">AD25+AC26</f>
        <v>-4.3999999999986299</v>
      </c>
      <c r="AE26" s="45">
        <f t="shared" ref="AE26:AE31" si="40">AC26/(S26-S25)</f>
        <v>-0.14999999999965</v>
      </c>
      <c r="AF26" s="50">
        <v>79297</v>
      </c>
      <c r="AG26" s="58">
        <f t="shared" si="22"/>
        <v>72</v>
      </c>
      <c r="AH26" s="61"/>
      <c r="AI26" s="52"/>
      <c r="AJ26" s="52"/>
      <c r="AK26" s="52"/>
      <c r="AL26" s="52"/>
      <c r="AM26" s="52"/>
    </row>
    <row r="27" spans="1:39">
      <c r="A27" s="21">
        <v>44561</v>
      </c>
      <c r="B27" s="22">
        <v>789.95809999999994</v>
      </c>
      <c r="C27" s="27">
        <v>7.0091000000000001</v>
      </c>
      <c r="D27" s="23">
        <f t="shared" si="0"/>
        <v>796.96720000000005</v>
      </c>
      <c r="E27" s="24">
        <f t="shared" si="23"/>
        <v>-0.30000000003838101</v>
      </c>
      <c r="F27" s="25">
        <f t="shared" si="24"/>
        <v>-2.00000000006639</v>
      </c>
      <c r="G27" s="26">
        <f t="shared" si="25"/>
        <v>-0.15000000001919001</v>
      </c>
      <c r="H27" s="6">
        <v>8.1390999999999991</v>
      </c>
      <c r="I27" s="35">
        <f t="shared" si="1"/>
        <v>798.09720000000004</v>
      </c>
      <c r="J27" s="24">
        <f t="shared" si="26"/>
        <v>-0.40000000001327901</v>
      </c>
      <c r="K27" s="25">
        <f t="shared" si="27"/>
        <v>-2.1000000000412902</v>
      </c>
      <c r="L27" s="26">
        <f t="shared" si="28"/>
        <v>-0.20000000000663901</v>
      </c>
      <c r="M27" s="6">
        <v>6.8552</v>
      </c>
      <c r="N27" s="35">
        <f t="shared" si="2"/>
        <v>796.81330000000003</v>
      </c>
      <c r="O27" s="24">
        <f t="shared" si="29"/>
        <v>9.9999999974897905E-2</v>
      </c>
      <c r="P27" s="25">
        <f t="shared" si="30"/>
        <v>-3.69999999998072</v>
      </c>
      <c r="Q27" s="26">
        <f t="shared" si="31"/>
        <v>4.9999999987449001E-2</v>
      </c>
      <c r="R27" s="41"/>
      <c r="S27" s="21">
        <f t="shared" si="3"/>
        <v>44561</v>
      </c>
      <c r="T27" s="42">
        <v>9.8955000000000002</v>
      </c>
      <c r="U27" s="43">
        <f t="shared" si="32"/>
        <v>-0.29999999999930099</v>
      </c>
      <c r="V27" s="44">
        <f t="shared" si="33"/>
        <v>-3.3999999999991801</v>
      </c>
      <c r="W27" s="45">
        <f t="shared" si="34"/>
        <v>0.14999999999965</v>
      </c>
      <c r="X27" s="29">
        <v>17.38</v>
      </c>
      <c r="Y27" s="43">
        <f t="shared" si="35"/>
        <v>9.99999999997669E-2</v>
      </c>
      <c r="Z27" s="44">
        <f t="shared" si="36"/>
        <v>-3.6000000000022698</v>
      </c>
      <c r="AA27" s="45">
        <f t="shared" si="37"/>
        <v>4.9999999999883499E-2</v>
      </c>
      <c r="AB27" s="49">
        <v>11.649800000000001</v>
      </c>
      <c r="AC27" s="43">
        <f t="shared" si="38"/>
        <v>-9.99999999997669E-2</v>
      </c>
      <c r="AD27" s="44">
        <f t="shared" si="39"/>
        <v>-4.4999999999983897</v>
      </c>
      <c r="AE27" s="45">
        <f t="shared" si="40"/>
        <v>-4.9999999999883499E-2</v>
      </c>
      <c r="AF27" s="50">
        <v>79309</v>
      </c>
      <c r="AG27" s="58">
        <f t="shared" si="22"/>
        <v>84</v>
      </c>
      <c r="AH27" s="61"/>
      <c r="AI27" s="52"/>
      <c r="AJ27" s="52"/>
      <c r="AK27" s="52"/>
      <c r="AL27" s="52"/>
      <c r="AM27" s="52"/>
    </row>
    <row r="28" spans="1:39">
      <c r="A28" s="21">
        <v>44563</v>
      </c>
      <c r="B28" s="22">
        <v>789.95809999999994</v>
      </c>
      <c r="C28" s="27">
        <v>7.0090000000000003</v>
      </c>
      <c r="D28" s="23">
        <f t="shared" si="0"/>
        <v>796.96709999999996</v>
      </c>
      <c r="E28" s="24">
        <f t="shared" si="23"/>
        <v>-9.9999999974897905E-2</v>
      </c>
      <c r="F28" s="25">
        <f t="shared" si="24"/>
        <v>-2.1000000000412902</v>
      </c>
      <c r="G28" s="26">
        <f t="shared" si="25"/>
        <v>-4.9999999987449001E-2</v>
      </c>
      <c r="H28" s="6">
        <v>8.1389999999999993</v>
      </c>
      <c r="I28" s="35">
        <f t="shared" si="1"/>
        <v>798.09709999999995</v>
      </c>
      <c r="J28" s="24">
        <f t="shared" si="26"/>
        <v>-9.9999999974897905E-2</v>
      </c>
      <c r="K28" s="25">
        <f t="shared" si="27"/>
        <v>-2.2000000000161899</v>
      </c>
      <c r="L28" s="26">
        <f t="shared" si="28"/>
        <v>-4.9999999987449001E-2</v>
      </c>
      <c r="M28" s="6">
        <v>6.8555000000000001</v>
      </c>
      <c r="N28" s="35">
        <f t="shared" si="2"/>
        <v>796.81359999999995</v>
      </c>
      <c r="O28" s="24">
        <f t="shared" si="29"/>
        <v>0.30000000003838101</v>
      </c>
      <c r="P28" s="25">
        <f t="shared" si="30"/>
        <v>-3.3999999999423398</v>
      </c>
      <c r="Q28" s="26">
        <f t="shared" si="31"/>
        <v>0.15000000001919001</v>
      </c>
      <c r="R28" s="41"/>
      <c r="S28" s="21">
        <f t="shared" si="3"/>
        <v>44563</v>
      </c>
      <c r="T28" s="42">
        <v>9.8956999999999997</v>
      </c>
      <c r="U28" s="43">
        <f t="shared" si="32"/>
        <v>0.19999999999953399</v>
      </c>
      <c r="V28" s="44">
        <f t="shared" si="33"/>
        <v>-3.1999999999996498</v>
      </c>
      <c r="W28" s="45">
        <f t="shared" si="34"/>
        <v>-9.99999999997669E-2</v>
      </c>
      <c r="X28" s="29">
        <v>17.380199999999999</v>
      </c>
      <c r="Y28" s="43">
        <f t="shared" si="35"/>
        <v>0.19999999999953399</v>
      </c>
      <c r="Z28" s="44">
        <f t="shared" si="36"/>
        <v>-3.4000000000027302</v>
      </c>
      <c r="AA28" s="45">
        <f t="shared" si="37"/>
        <v>9.99999999997669E-2</v>
      </c>
      <c r="AB28" s="49">
        <v>11.6501</v>
      </c>
      <c r="AC28" s="43">
        <f t="shared" si="38"/>
        <v>0.29999999999930099</v>
      </c>
      <c r="AD28" s="44">
        <f t="shared" si="39"/>
        <v>-4.1999999999990898</v>
      </c>
      <c r="AE28" s="45">
        <f t="shared" si="40"/>
        <v>0.14999999999965</v>
      </c>
      <c r="AF28" s="50">
        <v>79321</v>
      </c>
      <c r="AG28" s="58">
        <f t="shared" si="22"/>
        <v>96</v>
      </c>
      <c r="AH28" s="61"/>
      <c r="AI28" s="52"/>
      <c r="AJ28" s="52"/>
      <c r="AK28" s="52"/>
      <c r="AL28" s="52"/>
      <c r="AM28" s="52"/>
    </row>
    <row r="29" spans="1:39">
      <c r="A29" s="21">
        <v>44568</v>
      </c>
      <c r="B29" s="22">
        <v>789.95809999999994</v>
      </c>
      <c r="C29" s="27">
        <v>7.0092999999999996</v>
      </c>
      <c r="D29" s="23">
        <f t="shared" si="0"/>
        <v>796.9674</v>
      </c>
      <c r="E29" s="24">
        <f t="shared" si="23"/>
        <v>0.30000000003838101</v>
      </c>
      <c r="F29" s="25">
        <f t="shared" si="24"/>
        <v>-1.8000000000029099</v>
      </c>
      <c r="G29" s="26">
        <f t="shared" si="25"/>
        <v>6.0000000007676101E-2</v>
      </c>
      <c r="H29" s="6">
        <v>8.1394000000000002</v>
      </c>
      <c r="I29" s="35">
        <f t="shared" si="1"/>
        <v>798.09749999999997</v>
      </c>
      <c r="J29" s="24">
        <f t="shared" si="26"/>
        <v>0.40000000001327901</v>
      </c>
      <c r="K29" s="25">
        <f t="shared" si="27"/>
        <v>-1.8000000000029099</v>
      </c>
      <c r="L29" s="26">
        <f t="shared" si="28"/>
        <v>8.0000000002655697E-2</v>
      </c>
      <c r="M29" s="6">
        <v>6.8554000000000004</v>
      </c>
      <c r="N29" s="35">
        <f t="shared" si="2"/>
        <v>796.81349999999998</v>
      </c>
      <c r="O29" s="24">
        <f t="shared" si="29"/>
        <v>-9.9999999974897905E-2</v>
      </c>
      <c r="P29" s="25">
        <f t="shared" si="30"/>
        <v>-3.49999999991724</v>
      </c>
      <c r="Q29" s="26">
        <f t="shared" si="31"/>
        <v>-1.99999999949796E-2</v>
      </c>
      <c r="R29" s="41"/>
      <c r="S29" s="21">
        <f t="shared" si="3"/>
        <v>44568</v>
      </c>
      <c r="T29" s="42">
        <v>9.8957999999999995</v>
      </c>
      <c r="U29" s="43">
        <f t="shared" si="32"/>
        <v>9.99999999997669E-2</v>
      </c>
      <c r="V29" s="44">
        <f t="shared" si="33"/>
        <v>-3.0999999999998802</v>
      </c>
      <c r="W29" s="45">
        <f t="shared" si="34"/>
        <v>-1.9999999999953399E-2</v>
      </c>
      <c r="X29" s="29">
        <v>17.380099999999999</v>
      </c>
      <c r="Y29" s="43">
        <f t="shared" si="35"/>
        <v>-9.99999999997669E-2</v>
      </c>
      <c r="Z29" s="44">
        <f t="shared" si="36"/>
        <v>-3.5000000000024998</v>
      </c>
      <c r="AA29" s="45">
        <f t="shared" si="37"/>
        <v>-1.9999999999953399E-2</v>
      </c>
      <c r="AB29" s="49">
        <v>11.6503</v>
      </c>
      <c r="AC29" s="43">
        <f t="shared" si="38"/>
        <v>0.19999999999953399</v>
      </c>
      <c r="AD29" s="44">
        <f t="shared" si="39"/>
        <v>-3.9999999999995599</v>
      </c>
      <c r="AE29" s="45">
        <f t="shared" si="40"/>
        <v>3.9999999999906798E-2</v>
      </c>
      <c r="AF29" s="50">
        <v>79327</v>
      </c>
      <c r="AG29" s="58">
        <f t="shared" si="22"/>
        <v>102</v>
      </c>
      <c r="AH29" s="61"/>
      <c r="AI29" s="60"/>
      <c r="AJ29" s="61"/>
      <c r="AK29" s="62"/>
      <c r="AL29" s="60"/>
      <c r="AM29" s="64"/>
    </row>
    <row r="30" spans="1:39">
      <c r="A30" s="21">
        <v>44575</v>
      </c>
      <c r="B30" s="22">
        <v>789.95809999999994</v>
      </c>
      <c r="C30" s="27">
        <v>7.0091000000000001</v>
      </c>
      <c r="D30" s="23">
        <f t="shared" si="0"/>
        <v>796.96720000000005</v>
      </c>
      <c r="E30" s="24">
        <f t="shared" si="23"/>
        <v>-0.20000000006348301</v>
      </c>
      <c r="F30" s="25">
        <f t="shared" si="24"/>
        <v>-2.00000000006639</v>
      </c>
      <c r="G30" s="26">
        <f t="shared" si="25"/>
        <v>-2.85714285804975E-2</v>
      </c>
      <c r="H30" s="6">
        <v>8.1392000000000007</v>
      </c>
      <c r="I30" s="35">
        <f t="shared" si="1"/>
        <v>798.09730000000002</v>
      </c>
      <c r="J30" s="24">
        <f t="shared" si="26"/>
        <v>-0.20000000006348301</v>
      </c>
      <c r="K30" s="25">
        <f t="shared" si="27"/>
        <v>-2.00000000006639</v>
      </c>
      <c r="L30" s="26">
        <f t="shared" si="28"/>
        <v>-2.85714285804975E-2</v>
      </c>
      <c r="M30" s="6">
        <v>6.8555000000000001</v>
      </c>
      <c r="N30" s="35">
        <f t="shared" si="2"/>
        <v>796.81359999999995</v>
      </c>
      <c r="O30" s="24">
        <f t="shared" si="29"/>
        <v>9.9999999974897905E-2</v>
      </c>
      <c r="P30" s="25">
        <f t="shared" si="30"/>
        <v>-3.3999999999423398</v>
      </c>
      <c r="Q30" s="26">
        <f t="shared" si="31"/>
        <v>1.42857142821283E-2</v>
      </c>
      <c r="R30" s="41"/>
      <c r="S30" s="21">
        <f t="shared" si="3"/>
        <v>44575</v>
      </c>
      <c r="T30" s="42">
        <v>9.8960000000000008</v>
      </c>
      <c r="U30" s="43">
        <f t="shared" si="32"/>
        <v>0.20000000000130999</v>
      </c>
      <c r="V30" s="44">
        <f t="shared" si="33"/>
        <v>-2.8999999999985699</v>
      </c>
      <c r="W30" s="45">
        <f t="shared" si="34"/>
        <v>-2.8571428571615699E-2</v>
      </c>
      <c r="X30" s="29">
        <v>17.38</v>
      </c>
      <c r="Y30" s="43">
        <f t="shared" si="35"/>
        <v>-9.99999999997669E-2</v>
      </c>
      <c r="Z30" s="44">
        <f t="shared" si="36"/>
        <v>-3.6000000000022698</v>
      </c>
      <c r="AA30" s="45">
        <f t="shared" si="37"/>
        <v>-1.4285714285680999E-2</v>
      </c>
      <c r="AB30" s="49">
        <v>11.650399999999999</v>
      </c>
      <c r="AC30" s="43">
        <f t="shared" si="38"/>
        <v>9.99999999997669E-2</v>
      </c>
      <c r="AD30" s="44">
        <f t="shared" si="39"/>
        <v>-3.8999999999997899</v>
      </c>
      <c r="AE30" s="45">
        <f t="shared" si="40"/>
        <v>1.4285714285680999E-2</v>
      </c>
      <c r="AF30" s="50">
        <v>79364</v>
      </c>
      <c r="AG30" s="58">
        <f t="shared" si="22"/>
        <v>139</v>
      </c>
      <c r="AH30" s="61"/>
      <c r="AI30" s="60"/>
      <c r="AJ30" s="61"/>
      <c r="AK30" s="62"/>
      <c r="AL30" s="60"/>
      <c r="AM30" s="64"/>
    </row>
    <row r="31" spans="1:39" s="67" customFormat="1">
      <c r="A31" s="21">
        <v>44602</v>
      </c>
      <c r="B31" s="22">
        <v>789.95809999999994</v>
      </c>
      <c r="C31" s="27">
        <v>7.0088999999999997</v>
      </c>
      <c r="D31" s="23">
        <f t="shared" si="0"/>
        <v>796.96699999999998</v>
      </c>
      <c r="E31" s="24">
        <f t="shared" si="23"/>
        <v>-0.199999999949796</v>
      </c>
      <c r="F31" s="25">
        <f t="shared" si="24"/>
        <v>-2.2000000000161899</v>
      </c>
      <c r="G31" s="26">
        <f t="shared" si="25"/>
        <v>-7.4074074055480001E-3</v>
      </c>
      <c r="H31" s="6">
        <v>8.1389999999999993</v>
      </c>
      <c r="I31" s="35">
        <f t="shared" si="1"/>
        <v>798.09709999999995</v>
      </c>
      <c r="J31" s="24">
        <f t="shared" si="26"/>
        <v>-0.199999999949796</v>
      </c>
      <c r="K31" s="25">
        <f t="shared" si="27"/>
        <v>-2.2000000000161899</v>
      </c>
      <c r="L31" s="26">
        <f t="shared" si="28"/>
        <v>-7.4074074055480001E-3</v>
      </c>
      <c r="M31" s="6">
        <v>6.8555999999999999</v>
      </c>
      <c r="N31" s="35">
        <f t="shared" si="2"/>
        <v>796.81370000000004</v>
      </c>
      <c r="O31" s="24">
        <f t="shared" si="29"/>
        <v>9.9999999974897905E-2</v>
      </c>
      <c r="P31" s="25">
        <f t="shared" si="30"/>
        <v>-3.2999999999674401</v>
      </c>
      <c r="Q31" s="26">
        <f t="shared" si="31"/>
        <v>3.703703702774E-3</v>
      </c>
      <c r="R31" s="41"/>
      <c r="S31" s="21">
        <v>44602</v>
      </c>
      <c r="T31" s="42">
        <v>9.8962000000000003</v>
      </c>
      <c r="U31" s="43">
        <f t="shared" si="32"/>
        <v>0.19999999999953399</v>
      </c>
      <c r="V31" s="44">
        <f t="shared" si="33"/>
        <v>-2.6999999999990401</v>
      </c>
      <c r="W31" s="45">
        <f t="shared" si="34"/>
        <v>-7.4074074073901403E-3</v>
      </c>
      <c r="X31" s="29">
        <v>17.379899999999999</v>
      </c>
      <c r="Y31" s="43">
        <f t="shared" si="35"/>
        <v>-9.99999999997669E-2</v>
      </c>
      <c r="Z31" s="44">
        <f t="shared" si="36"/>
        <v>-3.7000000000020301</v>
      </c>
      <c r="AA31" s="45">
        <f t="shared" si="37"/>
        <v>-3.7037037036950701E-3</v>
      </c>
      <c r="AB31" s="49">
        <v>11.650499999999999</v>
      </c>
      <c r="AC31" s="43">
        <f t="shared" si="38"/>
        <v>9.99999999997669E-2</v>
      </c>
      <c r="AD31" s="44">
        <f t="shared" si="39"/>
        <v>-3.80000000000003</v>
      </c>
      <c r="AE31" s="45">
        <f t="shared" si="40"/>
        <v>3.7037037036950701E-3</v>
      </c>
      <c r="AF31" s="50">
        <v>79401</v>
      </c>
      <c r="AG31" s="58">
        <f t="shared" si="22"/>
        <v>176</v>
      </c>
      <c r="AH31" s="61"/>
      <c r="AI31" s="60"/>
    </row>
    <row r="32" spans="1:39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65" t="s">
        <v>35</v>
      </c>
      <c r="F33" s="33">
        <f>K31-K30</f>
        <v>-0.199999999949796</v>
      </c>
      <c r="G33" s="33">
        <f>P31-P30</f>
        <v>9.9999999974897905E-2</v>
      </c>
      <c r="H33" s="68">
        <f>F31</f>
        <v>-2.2000000000161899</v>
      </c>
      <c r="I33" s="69">
        <f>K31</f>
        <v>-2.2000000000161899</v>
      </c>
      <c r="J33" s="65">
        <f>P31</f>
        <v>-3.2999999999674401</v>
      </c>
      <c r="K33" s="33">
        <f>(K31-K30)/30</f>
        <v>-6.6666666649932002E-3</v>
      </c>
      <c r="L33" s="26"/>
      <c r="N33" s="35"/>
      <c r="O33" s="24"/>
      <c r="P33" s="25"/>
      <c r="Q33" s="26"/>
      <c r="R33" s="41"/>
      <c r="S33" s="21"/>
      <c r="T33" s="42"/>
      <c r="U33" s="65">
        <f>V31-V30</f>
        <v>0.19999999999953399</v>
      </c>
      <c r="V33" s="33">
        <f>Z31-Z30</f>
        <v>-9.99999999997669E-2</v>
      </c>
      <c r="W33" s="33">
        <f>AD31-AD30</f>
        <v>9.99999999997669E-2</v>
      </c>
      <c r="X33" s="33">
        <f>V31</f>
        <v>-2.6999999999990401</v>
      </c>
      <c r="Y33" s="65">
        <f>Z31</f>
        <v>-3.7000000000020301</v>
      </c>
      <c r="Z33" s="33">
        <f>AD31</f>
        <v>-3.80000000000003</v>
      </c>
      <c r="AA33" s="33">
        <f>(V31-V30)/30</f>
        <v>6.66666666665113E-3</v>
      </c>
      <c r="AB33" s="49"/>
      <c r="AC33" s="43"/>
      <c r="AD33" s="44"/>
      <c r="AE33" s="45"/>
      <c r="AF33" s="50"/>
      <c r="AG33" s="58"/>
      <c r="AH33" s="61"/>
      <c r="AI33" s="60"/>
      <c r="AJ33"/>
      <c r="AK33"/>
      <c r="AL33"/>
      <c r="AM33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47"/>
      <c r="Y40" s="24"/>
      <c r="Z40" s="25"/>
      <c r="AA40" s="26"/>
      <c r="AB40" s="47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2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26"/>
      <c r="AG42" s="26"/>
      <c r="AH42" s="51"/>
    </row>
    <row r="43" spans="1:39">
      <c r="A43" s="31"/>
      <c r="B43" s="30"/>
      <c r="C43" s="32"/>
      <c r="E43" s="24"/>
      <c r="F43" s="25"/>
      <c r="G43" s="26"/>
      <c r="H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0"/>
      <c r="C44" s="32"/>
      <c r="D44" s="32"/>
      <c r="E44" s="24"/>
      <c r="F44" s="25"/>
      <c r="G44" s="26"/>
      <c r="H44" s="29"/>
      <c r="I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7"/>
  <sheetViews>
    <sheetView topLeftCell="Q16" workbookViewId="0">
      <selection activeCell="U35" sqref="U35:AA3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44537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44537</v>
      </c>
      <c r="B6" s="22">
        <v>789.95809999999994</v>
      </c>
      <c r="C6" s="27">
        <v>6.8625999999999996</v>
      </c>
      <c r="D6" s="23">
        <f t="shared" ref="D6:D19" si="0">C6+B6</f>
        <v>796.82069999999999</v>
      </c>
      <c r="E6" s="24">
        <v>0</v>
      </c>
      <c r="F6" s="25">
        <v>0</v>
      </c>
      <c r="G6" s="26">
        <v>0</v>
      </c>
      <c r="H6" s="6">
        <v>8.4943000000000008</v>
      </c>
      <c r="I6" s="35">
        <f t="shared" ref="I6:I19" si="1">H6+B6</f>
        <v>798.45240000000001</v>
      </c>
      <c r="J6" s="24">
        <v>0</v>
      </c>
      <c r="K6" s="25">
        <v>0</v>
      </c>
      <c r="L6" s="26">
        <v>0</v>
      </c>
      <c r="M6" s="6">
        <v>7.5598999999999998</v>
      </c>
      <c r="N6" s="35">
        <f t="shared" ref="N6:N19" si="2">M6+B6</f>
        <v>797.51800000000003</v>
      </c>
      <c r="O6" s="24">
        <v>0</v>
      </c>
      <c r="P6" s="25">
        <v>0</v>
      </c>
      <c r="Q6" s="26">
        <v>0</v>
      </c>
      <c r="R6" s="41"/>
      <c r="S6" s="21">
        <f t="shared" ref="S6:S19" si="3">A6</f>
        <v>44537</v>
      </c>
      <c r="T6" s="42">
        <v>10.3406</v>
      </c>
      <c r="U6" s="43">
        <v>0</v>
      </c>
      <c r="V6" s="44">
        <v>0</v>
      </c>
      <c r="W6" s="45">
        <f>U6/(S6-S11)</f>
        <v>0</v>
      </c>
      <c r="X6" s="29">
        <v>17.413599999999999</v>
      </c>
      <c r="Y6" s="43">
        <v>0</v>
      </c>
      <c r="Z6" s="44">
        <v>0</v>
      </c>
      <c r="AA6" s="45">
        <v>0</v>
      </c>
      <c r="AB6" s="49">
        <v>9.5197999999999894</v>
      </c>
      <c r="AC6" s="43">
        <v>0</v>
      </c>
      <c r="AD6" s="44">
        <v>0</v>
      </c>
      <c r="AE6" s="45">
        <v>0</v>
      </c>
      <c r="AF6" s="50">
        <v>79242</v>
      </c>
      <c r="AG6" s="58">
        <f t="shared" ref="AG6:AG19" si="4">AF6-79225</f>
        <v>17</v>
      </c>
      <c r="AH6" s="59"/>
      <c r="AI6" s="60"/>
      <c r="AJ6" s="61"/>
      <c r="AK6" s="62"/>
      <c r="AL6" s="52"/>
      <c r="AM6" s="52"/>
    </row>
    <row r="7" spans="1:39">
      <c r="A7" s="21">
        <v>44538</v>
      </c>
      <c r="B7" s="22">
        <v>789.95809999999994</v>
      </c>
      <c r="C7" s="27">
        <v>6.8624999999999998</v>
      </c>
      <c r="D7" s="23">
        <f t="shared" si="0"/>
        <v>796.82060000000001</v>
      </c>
      <c r="E7" s="24">
        <f t="shared" ref="E7:E19" si="5">(D7-D6)*1000</f>
        <v>-0.10000000008858501</v>
      </c>
      <c r="F7" s="25">
        <f t="shared" ref="F7:F19" si="6">F6+E7</f>
        <v>-0.10000000008858501</v>
      </c>
      <c r="G7" s="26">
        <f t="shared" ref="G7:G19" si="7">E7/(A7-A6)</f>
        <v>-0.10000000008858501</v>
      </c>
      <c r="H7" s="6">
        <v>8.4945000000000004</v>
      </c>
      <c r="I7" s="35">
        <f t="shared" si="1"/>
        <v>798.45259999999996</v>
      </c>
      <c r="J7" s="24">
        <f t="shared" ref="J7:J19" si="8">(I7-I6)*1000</f>
        <v>0.20000000006348301</v>
      </c>
      <c r="K7" s="25">
        <f t="shared" ref="K7:K19" si="9">K6+J7</f>
        <v>0.20000000006348301</v>
      </c>
      <c r="L7" s="26">
        <f t="shared" ref="L7:L19" si="10">J7/(A7-A6)</f>
        <v>0.20000000006348301</v>
      </c>
      <c r="M7" s="6">
        <v>7.5591999999999997</v>
      </c>
      <c r="N7" s="35">
        <f t="shared" si="2"/>
        <v>797.51729999999998</v>
      </c>
      <c r="O7" s="24">
        <f t="shared" ref="O7:O19" si="11">(N7-N6)*1000</f>
        <v>-0.69999999993797202</v>
      </c>
      <c r="P7" s="25">
        <f t="shared" ref="P7:P19" si="12">P6+O7</f>
        <v>-0.69999999993797202</v>
      </c>
      <c r="Q7" s="26">
        <f t="shared" ref="Q7:Q19" si="13">O7/(A7-A6)</f>
        <v>-0.69999999993797202</v>
      </c>
      <c r="R7" s="41"/>
      <c r="S7" s="21">
        <f t="shared" si="3"/>
        <v>44538</v>
      </c>
      <c r="T7" s="42">
        <v>10.340400000000001</v>
      </c>
      <c r="U7" s="43">
        <f t="shared" ref="U7:U19" si="14">(T7-T6)*1000</f>
        <v>-0.19999999999953399</v>
      </c>
      <c r="V7" s="44">
        <f t="shared" ref="V7:V19" si="15">V6+U7</f>
        <v>-0.19999999999953399</v>
      </c>
      <c r="W7" s="45">
        <f t="shared" ref="W7:W19" si="16">U7/(S6-S7)</f>
        <v>0.19999999999953399</v>
      </c>
      <c r="X7" s="29">
        <v>17.413399999999999</v>
      </c>
      <c r="Y7" s="43">
        <f t="shared" ref="Y7:Y19" si="17">(X7-X6)*1000</f>
        <v>-0.19999999999953399</v>
      </c>
      <c r="Z7" s="44">
        <f t="shared" ref="Z7:Z19" si="18">Z6+Y7</f>
        <v>-0.19999999999953399</v>
      </c>
      <c r="AA7" s="45">
        <f t="shared" ref="AA7:AA19" si="19">Y7/(S7-S6)</f>
        <v>-0.19999999999953399</v>
      </c>
      <c r="AB7" s="49">
        <v>9.5195999999999898</v>
      </c>
      <c r="AC7" s="43">
        <f t="shared" ref="AC7:AC19" si="20">(AB7-AB6)*1000</f>
        <v>-0.19999999999953399</v>
      </c>
      <c r="AD7" s="44">
        <f t="shared" ref="AD7:AD19" si="21">AD6+AC7</f>
        <v>-0.19999999999953399</v>
      </c>
      <c r="AE7" s="45">
        <f t="shared" ref="AE7:AE19" si="22">AC7/(S7-S6)</f>
        <v>-0.19999999999953399</v>
      </c>
      <c r="AF7" s="50">
        <v>79243</v>
      </c>
      <c r="AG7" s="58">
        <f t="shared" si="4"/>
        <v>18</v>
      </c>
      <c r="AH7" s="59"/>
      <c r="AI7" s="60"/>
      <c r="AJ7" s="61"/>
      <c r="AK7" s="62"/>
      <c r="AL7" s="52"/>
      <c r="AM7" s="52"/>
    </row>
    <row r="8" spans="1:39">
      <c r="A8" s="21">
        <v>44539</v>
      </c>
      <c r="B8" s="22">
        <v>789.95809999999994</v>
      </c>
      <c r="C8" s="27">
        <v>6.8623000000000003</v>
      </c>
      <c r="D8" s="23">
        <f t="shared" si="0"/>
        <v>796.82039999999995</v>
      </c>
      <c r="E8" s="24">
        <f t="shared" si="5"/>
        <v>-0.199999999949796</v>
      </c>
      <c r="F8" s="25">
        <f t="shared" si="6"/>
        <v>-0.30000000003838101</v>
      </c>
      <c r="G8" s="26">
        <f t="shared" si="7"/>
        <v>-0.199999999949796</v>
      </c>
      <c r="H8" s="6">
        <v>8.4941999999999993</v>
      </c>
      <c r="I8" s="35">
        <f t="shared" si="1"/>
        <v>798.45230000000004</v>
      </c>
      <c r="J8" s="24">
        <f t="shared" si="8"/>
        <v>-0.30000000003838101</v>
      </c>
      <c r="K8" s="25">
        <f t="shared" si="9"/>
        <v>-9.9999999974897905E-2</v>
      </c>
      <c r="L8" s="26">
        <f t="shared" si="10"/>
        <v>-0.30000000003838101</v>
      </c>
      <c r="M8" s="6">
        <v>7.5594999999999999</v>
      </c>
      <c r="N8" s="35">
        <f t="shared" si="2"/>
        <v>797.51760000000002</v>
      </c>
      <c r="O8" s="24">
        <f t="shared" si="11"/>
        <v>0.29999999992469401</v>
      </c>
      <c r="P8" s="25">
        <f t="shared" si="12"/>
        <v>-0.40000000001327901</v>
      </c>
      <c r="Q8" s="26">
        <f t="shared" si="13"/>
        <v>0.29999999992469401</v>
      </c>
      <c r="R8" s="41"/>
      <c r="S8" s="21">
        <f t="shared" si="3"/>
        <v>44539</v>
      </c>
      <c r="T8" s="42">
        <v>10.3405</v>
      </c>
      <c r="U8" s="43">
        <f t="shared" si="14"/>
        <v>9.99999999997669E-2</v>
      </c>
      <c r="V8" s="44">
        <f t="shared" si="15"/>
        <v>-9.99999999997669E-2</v>
      </c>
      <c r="W8" s="45">
        <f t="shared" si="16"/>
        <v>-9.99999999997669E-2</v>
      </c>
      <c r="X8" s="29">
        <v>17.413799999999998</v>
      </c>
      <c r="Y8" s="43">
        <f t="shared" si="17"/>
        <v>0.39999999999906799</v>
      </c>
      <c r="Z8" s="44">
        <f t="shared" si="18"/>
        <v>0.19999999999953399</v>
      </c>
      <c r="AA8" s="45">
        <f t="shared" si="19"/>
        <v>0.39999999999906799</v>
      </c>
      <c r="AB8" s="49">
        <v>9.52</v>
      </c>
      <c r="AC8" s="43">
        <f t="shared" si="20"/>
        <v>0.40000000000972602</v>
      </c>
      <c r="AD8" s="44">
        <f t="shared" si="21"/>
        <v>0.200000000010192</v>
      </c>
      <c r="AE8" s="45">
        <f t="shared" si="22"/>
        <v>0.40000000000972602</v>
      </c>
      <c r="AF8" s="50">
        <v>79244</v>
      </c>
      <c r="AG8" s="58">
        <f t="shared" si="4"/>
        <v>19</v>
      </c>
      <c r="AH8" s="59"/>
      <c r="AI8" s="60"/>
      <c r="AJ8" s="61"/>
      <c r="AK8" s="62"/>
      <c r="AL8" s="52"/>
      <c r="AM8" s="52"/>
    </row>
    <row r="9" spans="1:39">
      <c r="A9" s="21">
        <v>44540</v>
      </c>
      <c r="B9" s="22">
        <v>789.95809999999994</v>
      </c>
      <c r="C9" s="27">
        <v>6.8624999999999998</v>
      </c>
      <c r="D9" s="23">
        <f t="shared" si="0"/>
        <v>796.82060000000001</v>
      </c>
      <c r="E9" s="24">
        <f t="shared" si="5"/>
        <v>0.199999999949796</v>
      </c>
      <c r="F9" s="25">
        <f t="shared" si="6"/>
        <v>-0.10000000008858501</v>
      </c>
      <c r="G9" s="26">
        <f t="shared" si="7"/>
        <v>0.199999999949796</v>
      </c>
      <c r="H9" s="6">
        <v>8.4939999999999998</v>
      </c>
      <c r="I9" s="35">
        <f t="shared" si="1"/>
        <v>798.45209999999997</v>
      </c>
      <c r="J9" s="24">
        <f t="shared" si="8"/>
        <v>-0.199999999949796</v>
      </c>
      <c r="K9" s="25">
        <f t="shared" si="9"/>
        <v>-0.29999999992469401</v>
      </c>
      <c r="L9" s="26">
        <f t="shared" si="10"/>
        <v>-0.199999999949796</v>
      </c>
      <c r="M9" s="6">
        <v>7.5593000000000004</v>
      </c>
      <c r="N9" s="35">
        <f t="shared" si="2"/>
        <v>797.51739999999995</v>
      </c>
      <c r="O9" s="24">
        <f t="shared" si="11"/>
        <v>-0.199999999949796</v>
      </c>
      <c r="P9" s="25">
        <f t="shared" si="12"/>
        <v>-0.59999999996307496</v>
      </c>
      <c r="Q9" s="26">
        <f t="shared" si="13"/>
        <v>-0.199999999949796</v>
      </c>
      <c r="R9" s="41"/>
      <c r="S9" s="21">
        <f t="shared" si="3"/>
        <v>44540</v>
      </c>
      <c r="T9" s="42">
        <v>10.34</v>
      </c>
      <c r="U9" s="43">
        <f t="shared" si="14"/>
        <v>-0.50000000000061096</v>
      </c>
      <c r="V9" s="44">
        <f t="shared" si="15"/>
        <v>-0.60000000000037801</v>
      </c>
      <c r="W9" s="45">
        <f t="shared" si="16"/>
        <v>0.50000000000061096</v>
      </c>
      <c r="X9" s="29">
        <v>17.413</v>
      </c>
      <c r="Y9" s="43">
        <f t="shared" si="17"/>
        <v>-0.79999999999813598</v>
      </c>
      <c r="Z9" s="44">
        <f t="shared" si="18"/>
        <v>-0.59999999999860198</v>
      </c>
      <c r="AA9" s="45">
        <f t="shared" si="19"/>
        <v>-0.79999999999813598</v>
      </c>
      <c r="AB9" s="49">
        <v>9.5191999999999908</v>
      </c>
      <c r="AC9" s="43">
        <f t="shared" si="20"/>
        <v>-0.80000000000879401</v>
      </c>
      <c r="AD9" s="44">
        <f t="shared" si="21"/>
        <v>-0.59999999999860198</v>
      </c>
      <c r="AE9" s="45">
        <f t="shared" si="22"/>
        <v>-0.80000000000879401</v>
      </c>
      <c r="AF9" s="50">
        <v>79245</v>
      </c>
      <c r="AG9" s="58">
        <f t="shared" si="4"/>
        <v>20</v>
      </c>
      <c r="AH9" s="59"/>
      <c r="AI9" s="60"/>
      <c r="AJ9" s="61"/>
      <c r="AK9" s="62"/>
      <c r="AL9" s="52"/>
      <c r="AM9" s="52"/>
    </row>
    <row r="10" spans="1:39">
      <c r="A10" s="21">
        <v>44541</v>
      </c>
      <c r="B10" s="22">
        <v>789.95809999999994</v>
      </c>
      <c r="C10" s="27">
        <v>6.8619000000000003</v>
      </c>
      <c r="D10" s="23">
        <f t="shared" si="0"/>
        <v>796.82</v>
      </c>
      <c r="E10" s="24">
        <f t="shared" si="5"/>
        <v>-0.59999999996307496</v>
      </c>
      <c r="F10" s="25">
        <f t="shared" si="6"/>
        <v>-0.70000000005165897</v>
      </c>
      <c r="G10" s="26">
        <f t="shared" si="7"/>
        <v>-0.59999999996307496</v>
      </c>
      <c r="H10" s="6">
        <v>8.4943000000000008</v>
      </c>
      <c r="I10" s="35">
        <f t="shared" si="1"/>
        <v>798.45240000000001</v>
      </c>
      <c r="J10" s="24">
        <f t="shared" si="8"/>
        <v>0.29999999992469401</v>
      </c>
      <c r="K10" s="25">
        <f t="shared" si="9"/>
        <v>0</v>
      </c>
      <c r="L10" s="26">
        <f t="shared" si="10"/>
        <v>0.29999999992469401</v>
      </c>
      <c r="M10" s="6">
        <v>7.5594999999999999</v>
      </c>
      <c r="N10" s="35">
        <f t="shared" si="2"/>
        <v>797.51760000000002</v>
      </c>
      <c r="O10" s="24">
        <f t="shared" si="11"/>
        <v>0.199999999949796</v>
      </c>
      <c r="P10" s="25">
        <f t="shared" si="12"/>
        <v>-0.40000000001327901</v>
      </c>
      <c r="Q10" s="26">
        <f t="shared" si="13"/>
        <v>0.199999999949796</v>
      </c>
      <c r="R10" s="41"/>
      <c r="S10" s="21">
        <f t="shared" si="3"/>
        <v>44541</v>
      </c>
      <c r="T10" s="42">
        <v>10.3398</v>
      </c>
      <c r="U10" s="43">
        <f t="shared" si="14"/>
        <v>-0.19999999999953399</v>
      </c>
      <c r="V10" s="44">
        <f t="shared" si="15"/>
        <v>-0.799999999999912</v>
      </c>
      <c r="W10" s="45">
        <f t="shared" si="16"/>
        <v>0.19999999999953399</v>
      </c>
      <c r="X10" s="29">
        <v>17.412800000000001</v>
      </c>
      <c r="Y10" s="43">
        <f t="shared" si="17"/>
        <v>-0.19999999999953399</v>
      </c>
      <c r="Z10" s="44">
        <f t="shared" si="18"/>
        <v>-0.79999999999813598</v>
      </c>
      <c r="AA10" s="45">
        <f t="shared" si="19"/>
        <v>-0.19999999999953399</v>
      </c>
      <c r="AB10" s="49">
        <v>9.5189999999999895</v>
      </c>
      <c r="AC10" s="43">
        <f t="shared" si="20"/>
        <v>-0.20000000000130999</v>
      </c>
      <c r="AD10" s="44">
        <f t="shared" si="21"/>
        <v>-0.799999999999912</v>
      </c>
      <c r="AE10" s="45">
        <f t="shared" si="22"/>
        <v>-0.20000000000130999</v>
      </c>
      <c r="AF10" s="50">
        <v>79246</v>
      </c>
      <c r="AG10" s="58">
        <f t="shared" si="4"/>
        <v>21</v>
      </c>
      <c r="AH10" s="59"/>
      <c r="AI10" s="60"/>
      <c r="AJ10" s="61"/>
      <c r="AK10" s="62"/>
      <c r="AL10" s="52"/>
      <c r="AM10" s="52"/>
    </row>
    <row r="11" spans="1:39">
      <c r="A11" s="21">
        <v>44542</v>
      </c>
      <c r="B11" s="22">
        <v>789.95809999999994</v>
      </c>
      <c r="C11" s="27">
        <v>6.8616999999999999</v>
      </c>
      <c r="D11" s="23">
        <f t="shared" si="0"/>
        <v>796.81979999999999</v>
      </c>
      <c r="E11" s="24">
        <f t="shared" si="5"/>
        <v>-0.199999999949796</v>
      </c>
      <c r="F11" s="25">
        <f t="shared" si="6"/>
        <v>-0.90000000000145497</v>
      </c>
      <c r="G11" s="26">
        <f t="shared" si="7"/>
        <v>-0.199999999949796</v>
      </c>
      <c r="H11" s="6">
        <v>8.4936000000000007</v>
      </c>
      <c r="I11" s="35">
        <f t="shared" si="1"/>
        <v>798.45169999999996</v>
      </c>
      <c r="J11" s="24">
        <f t="shared" si="8"/>
        <v>-0.69999999993797202</v>
      </c>
      <c r="K11" s="25">
        <f t="shared" si="9"/>
        <v>-0.69999999993797202</v>
      </c>
      <c r="L11" s="26">
        <f t="shared" si="10"/>
        <v>-0.69999999993797202</v>
      </c>
      <c r="M11" s="6">
        <v>7.5589000000000004</v>
      </c>
      <c r="N11" s="35">
        <f t="shared" si="2"/>
        <v>797.51700000000005</v>
      </c>
      <c r="O11" s="24">
        <f t="shared" si="11"/>
        <v>-0.59999999996307496</v>
      </c>
      <c r="P11" s="25">
        <f t="shared" si="12"/>
        <v>-0.99999999997635303</v>
      </c>
      <c r="Q11" s="26">
        <f t="shared" si="13"/>
        <v>-0.59999999996307496</v>
      </c>
      <c r="R11" s="41"/>
      <c r="S11" s="21">
        <f t="shared" si="3"/>
        <v>44542</v>
      </c>
      <c r="T11" s="42">
        <v>10.3405</v>
      </c>
      <c r="U11" s="43">
        <f t="shared" si="14"/>
        <v>0.70000000000014495</v>
      </c>
      <c r="V11" s="44">
        <f t="shared" si="15"/>
        <v>-9.99999999997669E-2</v>
      </c>
      <c r="W11" s="45">
        <f t="shared" si="16"/>
        <v>-0.70000000000014495</v>
      </c>
      <c r="X11" s="29">
        <v>17.412299999999998</v>
      </c>
      <c r="Y11" s="43">
        <f t="shared" si="17"/>
        <v>-0.50000000000238698</v>
      </c>
      <c r="Z11" s="44">
        <f t="shared" si="18"/>
        <v>-1.3000000000005201</v>
      </c>
      <c r="AA11" s="45">
        <f t="shared" si="19"/>
        <v>-0.50000000000238698</v>
      </c>
      <c r="AB11" s="49">
        <v>9.5195000000000007</v>
      </c>
      <c r="AC11" s="43">
        <f t="shared" si="20"/>
        <v>0.50000000001126899</v>
      </c>
      <c r="AD11" s="44">
        <f t="shared" si="21"/>
        <v>-0.29999999998864302</v>
      </c>
      <c r="AE11" s="45">
        <f t="shared" si="22"/>
        <v>0.50000000001126899</v>
      </c>
      <c r="AF11" s="50">
        <v>79247</v>
      </c>
      <c r="AG11" s="58">
        <f t="shared" si="4"/>
        <v>22</v>
      </c>
      <c r="AH11" s="61"/>
      <c r="AI11" s="60"/>
      <c r="AJ11" s="52"/>
      <c r="AK11" s="52"/>
      <c r="AL11" s="52"/>
      <c r="AM11" s="52"/>
    </row>
    <row r="12" spans="1:39">
      <c r="A12" s="21">
        <v>44543</v>
      </c>
      <c r="B12" s="22">
        <v>789.95809999999994</v>
      </c>
      <c r="C12" s="27">
        <v>6.8613999999999997</v>
      </c>
      <c r="D12" s="23">
        <f t="shared" si="0"/>
        <v>796.81949999999995</v>
      </c>
      <c r="E12" s="24">
        <f t="shared" si="5"/>
        <v>-0.30000000003838101</v>
      </c>
      <c r="F12" s="25">
        <f t="shared" si="6"/>
        <v>-1.2000000000398401</v>
      </c>
      <c r="G12" s="26">
        <f t="shared" si="7"/>
        <v>-0.30000000003838101</v>
      </c>
      <c r="H12" s="6">
        <v>8.4933999999999994</v>
      </c>
      <c r="I12" s="35">
        <f t="shared" si="1"/>
        <v>798.45150000000001</v>
      </c>
      <c r="J12" s="24">
        <f t="shared" si="8"/>
        <v>-0.20000000006348301</v>
      </c>
      <c r="K12" s="25">
        <f t="shared" si="9"/>
        <v>-0.90000000000145497</v>
      </c>
      <c r="L12" s="26">
        <f t="shared" si="10"/>
        <v>-0.20000000006348301</v>
      </c>
      <c r="M12" s="6">
        <v>7.5587</v>
      </c>
      <c r="N12" s="35">
        <f t="shared" si="2"/>
        <v>797.51679999999999</v>
      </c>
      <c r="O12" s="24">
        <f t="shared" si="11"/>
        <v>-0.199999999949796</v>
      </c>
      <c r="P12" s="25">
        <f t="shared" si="12"/>
        <v>-1.1999999999261499</v>
      </c>
      <c r="Q12" s="26">
        <f t="shared" si="13"/>
        <v>-0.199999999949796</v>
      </c>
      <c r="R12" s="41"/>
      <c r="S12" s="21">
        <f t="shared" si="3"/>
        <v>44543</v>
      </c>
      <c r="T12" s="42">
        <v>10.339399999999999</v>
      </c>
      <c r="U12" s="43">
        <f t="shared" si="14"/>
        <v>-1.10000000000099</v>
      </c>
      <c r="V12" s="44">
        <f t="shared" si="15"/>
        <v>-1.20000000000076</v>
      </c>
      <c r="W12" s="45">
        <f t="shared" si="16"/>
        <v>1.10000000000099</v>
      </c>
      <c r="X12" s="29">
        <v>17.412400000000002</v>
      </c>
      <c r="Y12" s="43">
        <f t="shared" si="17"/>
        <v>0.10000000000332</v>
      </c>
      <c r="Z12" s="44">
        <f t="shared" si="18"/>
        <v>-1.1999999999972</v>
      </c>
      <c r="AA12" s="45">
        <f t="shared" si="19"/>
        <v>0.10000000000332</v>
      </c>
      <c r="AB12" s="49">
        <v>9.5185999999999904</v>
      </c>
      <c r="AC12" s="43">
        <f t="shared" si="20"/>
        <v>-0.90000000001033698</v>
      </c>
      <c r="AD12" s="44">
        <f t="shared" si="21"/>
        <v>-1.1999999999989801</v>
      </c>
      <c r="AE12" s="45">
        <f t="shared" si="22"/>
        <v>-0.90000000001033698</v>
      </c>
      <c r="AF12" s="50">
        <v>79248</v>
      </c>
      <c r="AG12" s="58">
        <f t="shared" si="4"/>
        <v>23</v>
      </c>
      <c r="AH12" s="61"/>
      <c r="AI12" s="60"/>
      <c r="AJ12" s="52"/>
      <c r="AK12" s="52"/>
      <c r="AL12" s="52"/>
      <c r="AM12" s="52"/>
    </row>
    <row r="13" spans="1:39">
      <c r="A13" s="21">
        <v>44544</v>
      </c>
      <c r="B13" s="22">
        <v>789.95809999999994</v>
      </c>
      <c r="C13" s="27">
        <v>6.8613</v>
      </c>
      <c r="D13" s="23">
        <f t="shared" si="0"/>
        <v>796.81939999999997</v>
      </c>
      <c r="E13" s="24">
        <f t="shared" si="5"/>
        <v>-9.9999999974897905E-2</v>
      </c>
      <c r="F13" s="25">
        <f t="shared" si="6"/>
        <v>-1.30000000001473</v>
      </c>
      <c r="G13" s="26">
        <f t="shared" si="7"/>
        <v>-9.9999999974897905E-2</v>
      </c>
      <c r="H13" s="6">
        <v>8.4939999999999998</v>
      </c>
      <c r="I13" s="35">
        <f t="shared" si="1"/>
        <v>798.45209999999997</v>
      </c>
      <c r="J13" s="24">
        <f t="shared" si="8"/>
        <v>0.60000000007676102</v>
      </c>
      <c r="K13" s="25">
        <f t="shared" si="9"/>
        <v>-0.29999999992469401</v>
      </c>
      <c r="L13" s="26">
        <f t="shared" si="10"/>
        <v>0.60000000007676102</v>
      </c>
      <c r="M13" s="6">
        <v>7.5591999999999997</v>
      </c>
      <c r="N13" s="35">
        <f t="shared" si="2"/>
        <v>797.51729999999998</v>
      </c>
      <c r="O13" s="24">
        <f t="shared" si="11"/>
        <v>0.49999999998817701</v>
      </c>
      <c r="P13" s="25">
        <f t="shared" si="12"/>
        <v>-0.69999999993797202</v>
      </c>
      <c r="Q13" s="26">
        <f t="shared" si="13"/>
        <v>0.49999999998817701</v>
      </c>
      <c r="R13" s="41"/>
      <c r="S13" s="21">
        <f t="shared" si="3"/>
        <v>44544</v>
      </c>
      <c r="T13" s="42">
        <v>10.3392</v>
      </c>
      <c r="U13" s="43">
        <f t="shared" si="14"/>
        <v>-0.19999999999953399</v>
      </c>
      <c r="V13" s="44">
        <f t="shared" si="15"/>
        <v>-1.4000000000002899</v>
      </c>
      <c r="W13" s="45">
        <f t="shared" si="16"/>
        <v>0.19999999999953399</v>
      </c>
      <c r="X13" s="29">
        <v>17.412700000000001</v>
      </c>
      <c r="Y13" s="43">
        <f t="shared" si="17"/>
        <v>0.29999999999930099</v>
      </c>
      <c r="Z13" s="44">
        <f t="shared" si="18"/>
        <v>-0.89999999999790203</v>
      </c>
      <c r="AA13" s="45">
        <f t="shared" si="19"/>
        <v>0.29999999999930099</v>
      </c>
      <c r="AB13" s="49">
        <v>9.5183999999999802</v>
      </c>
      <c r="AC13" s="43">
        <f t="shared" si="20"/>
        <v>-0.200000000010192</v>
      </c>
      <c r="AD13" s="44">
        <f t="shared" si="21"/>
        <v>-1.4000000000091699</v>
      </c>
      <c r="AE13" s="45">
        <f t="shared" si="22"/>
        <v>-0.200000000010192</v>
      </c>
      <c r="AF13" s="50">
        <v>79249</v>
      </c>
      <c r="AG13" s="58">
        <f t="shared" si="4"/>
        <v>24</v>
      </c>
      <c r="AH13" s="61"/>
      <c r="AI13" s="60"/>
      <c r="AJ13"/>
      <c r="AK13"/>
      <c r="AL13"/>
      <c r="AM13"/>
    </row>
    <row r="14" spans="1:39">
      <c r="A14" s="21">
        <v>44545</v>
      </c>
      <c r="B14" s="22">
        <v>789.95809999999994</v>
      </c>
      <c r="C14" s="27">
        <v>6.8611000000000004</v>
      </c>
      <c r="D14" s="23">
        <f t="shared" si="0"/>
        <v>796.81920000000002</v>
      </c>
      <c r="E14" s="24">
        <f t="shared" si="5"/>
        <v>-0.20000000006348301</v>
      </c>
      <c r="F14" s="25">
        <f t="shared" si="6"/>
        <v>-1.5000000000782201</v>
      </c>
      <c r="G14" s="26">
        <f t="shared" si="7"/>
        <v>-0.20000000006348301</v>
      </c>
      <c r="H14" s="6">
        <v>8.4930000000000003</v>
      </c>
      <c r="I14" s="35">
        <f t="shared" si="1"/>
        <v>798.4511</v>
      </c>
      <c r="J14" s="24">
        <f t="shared" si="8"/>
        <v>-0.99999999997635303</v>
      </c>
      <c r="K14" s="25">
        <f t="shared" si="9"/>
        <v>-1.2999999999010501</v>
      </c>
      <c r="L14" s="26">
        <f t="shared" si="10"/>
        <v>-0.99999999997635303</v>
      </c>
      <c r="M14" s="6">
        <v>7.5583</v>
      </c>
      <c r="N14" s="35">
        <f t="shared" si="2"/>
        <v>797.51639999999998</v>
      </c>
      <c r="O14" s="24">
        <f t="shared" si="11"/>
        <v>-0.90000000000145497</v>
      </c>
      <c r="P14" s="25">
        <f t="shared" si="12"/>
        <v>-1.5999999999394301</v>
      </c>
      <c r="Q14" s="26">
        <f t="shared" si="13"/>
        <v>-0.90000000000145497</v>
      </c>
      <c r="R14" s="41"/>
      <c r="S14" s="21">
        <f t="shared" si="3"/>
        <v>44545</v>
      </c>
      <c r="T14" s="42">
        <v>10.339399999999999</v>
      </c>
      <c r="U14" s="43">
        <f t="shared" si="14"/>
        <v>0.19999999999953399</v>
      </c>
      <c r="V14" s="44">
        <f t="shared" si="15"/>
        <v>-1.20000000000076</v>
      </c>
      <c r="W14" s="45">
        <f t="shared" si="16"/>
        <v>-0.19999999999953399</v>
      </c>
      <c r="X14" s="29">
        <v>17.412500000000001</v>
      </c>
      <c r="Y14" s="43">
        <f t="shared" si="17"/>
        <v>-0.19999999999953399</v>
      </c>
      <c r="Z14" s="44">
        <f t="shared" si="18"/>
        <v>-1.0999999999974399</v>
      </c>
      <c r="AA14" s="45">
        <f t="shared" si="19"/>
        <v>-0.19999999999953399</v>
      </c>
      <c r="AB14" s="49">
        <v>9.5184999999999995</v>
      </c>
      <c r="AC14" s="43">
        <f t="shared" si="20"/>
        <v>0.10000000001930701</v>
      </c>
      <c r="AD14" s="44">
        <f t="shared" si="21"/>
        <v>-1.2999999999898599</v>
      </c>
      <c r="AE14" s="45">
        <f t="shared" si="22"/>
        <v>0.10000000001930701</v>
      </c>
      <c r="AF14" s="50">
        <v>79250</v>
      </c>
      <c r="AG14" s="58">
        <f t="shared" si="4"/>
        <v>25</v>
      </c>
      <c r="AH14" s="61"/>
      <c r="AI14" s="60"/>
      <c r="AJ14" s="52"/>
      <c r="AK14" s="52"/>
      <c r="AL14" s="52"/>
      <c r="AM14" s="52"/>
    </row>
    <row r="15" spans="1:39">
      <c r="A15" s="21">
        <v>44546</v>
      </c>
      <c r="B15" s="22">
        <v>789.95809999999994</v>
      </c>
      <c r="C15" s="27">
        <v>6.8609999999999998</v>
      </c>
      <c r="D15" s="23">
        <f t="shared" si="0"/>
        <v>796.81910000000005</v>
      </c>
      <c r="E15" s="24">
        <f t="shared" si="5"/>
        <v>-9.9999999974897905E-2</v>
      </c>
      <c r="F15" s="25">
        <f t="shared" si="6"/>
        <v>-1.60000000005311</v>
      </c>
      <c r="G15" s="26">
        <f t="shared" si="7"/>
        <v>-9.9999999974897905E-2</v>
      </c>
      <c r="H15" s="6">
        <v>8.4934999999999992</v>
      </c>
      <c r="I15" s="35">
        <f t="shared" si="1"/>
        <v>798.45159999999998</v>
      </c>
      <c r="J15" s="24">
        <f t="shared" si="8"/>
        <v>0.49999999998817701</v>
      </c>
      <c r="K15" s="25">
        <f t="shared" si="9"/>
        <v>-0.79999999991286996</v>
      </c>
      <c r="L15" s="26">
        <f t="shared" si="10"/>
        <v>0.49999999998817701</v>
      </c>
      <c r="M15" s="6">
        <v>7.5580999999999996</v>
      </c>
      <c r="N15" s="35">
        <f t="shared" si="2"/>
        <v>797.51620000000003</v>
      </c>
      <c r="O15" s="24">
        <f t="shared" si="11"/>
        <v>-0.20000000006348301</v>
      </c>
      <c r="P15" s="25">
        <f t="shared" si="12"/>
        <v>-1.8000000000029099</v>
      </c>
      <c r="Q15" s="26">
        <f t="shared" si="13"/>
        <v>-0.20000000006348301</v>
      </c>
      <c r="R15" s="41"/>
      <c r="S15" s="21">
        <f t="shared" si="3"/>
        <v>44546</v>
      </c>
      <c r="T15" s="42">
        <v>10.3392</v>
      </c>
      <c r="U15" s="43">
        <f t="shared" si="14"/>
        <v>-0.19999999999953399</v>
      </c>
      <c r="V15" s="44">
        <f t="shared" si="15"/>
        <v>-1.4000000000002899</v>
      </c>
      <c r="W15" s="45">
        <f t="shared" si="16"/>
        <v>0.19999999999953399</v>
      </c>
      <c r="X15" s="29">
        <v>17.411799999999999</v>
      </c>
      <c r="Y15" s="43">
        <f t="shared" si="17"/>
        <v>-0.70000000000192097</v>
      </c>
      <c r="Z15" s="44">
        <f t="shared" si="18"/>
        <v>-1.7999999999993599</v>
      </c>
      <c r="AA15" s="45">
        <f t="shared" si="19"/>
        <v>-0.70000000000192097</v>
      </c>
      <c r="AB15" s="49">
        <v>9.5179999999999794</v>
      </c>
      <c r="AC15" s="43">
        <f t="shared" si="20"/>
        <v>-0.50000000002015099</v>
      </c>
      <c r="AD15" s="44">
        <f t="shared" si="21"/>
        <v>-1.80000000001002</v>
      </c>
      <c r="AE15" s="45">
        <f t="shared" si="22"/>
        <v>-0.50000000002015099</v>
      </c>
      <c r="AF15" s="50">
        <v>79251</v>
      </c>
      <c r="AG15" s="58">
        <f t="shared" si="4"/>
        <v>26</v>
      </c>
      <c r="AH15" s="61"/>
      <c r="AI15" s="60"/>
      <c r="AJ15" s="52"/>
      <c r="AK15" s="52"/>
      <c r="AL15" s="52"/>
      <c r="AM15" s="52"/>
    </row>
    <row r="16" spans="1:39">
      <c r="A16" s="21">
        <v>44547</v>
      </c>
      <c r="B16" s="22">
        <v>789.95809999999994</v>
      </c>
      <c r="C16" s="27">
        <v>6.8606999999999996</v>
      </c>
      <c r="D16" s="23">
        <f t="shared" si="0"/>
        <v>796.81880000000001</v>
      </c>
      <c r="E16" s="24">
        <f t="shared" si="5"/>
        <v>-0.30000000003838101</v>
      </c>
      <c r="F16" s="25">
        <f t="shared" si="6"/>
        <v>-1.9000000000915001</v>
      </c>
      <c r="G16" s="26">
        <f t="shared" si="7"/>
        <v>-0.30000000003838101</v>
      </c>
      <c r="H16" s="6">
        <v>8.4925999999999995</v>
      </c>
      <c r="I16" s="35">
        <f t="shared" si="1"/>
        <v>798.45069999999998</v>
      </c>
      <c r="J16" s="24">
        <f t="shared" si="8"/>
        <v>-0.90000000000145497</v>
      </c>
      <c r="K16" s="25">
        <f t="shared" si="9"/>
        <v>-1.69999999991433</v>
      </c>
      <c r="L16" s="26">
        <f t="shared" si="10"/>
        <v>-0.90000000000145497</v>
      </c>
      <c r="M16" s="6">
        <v>7.5583999999999998</v>
      </c>
      <c r="N16" s="35">
        <f t="shared" si="2"/>
        <v>797.51649999999995</v>
      </c>
      <c r="O16" s="24">
        <f t="shared" si="11"/>
        <v>0.30000000003838101</v>
      </c>
      <c r="P16" s="25">
        <f t="shared" si="12"/>
        <v>-1.4999999999645299</v>
      </c>
      <c r="Q16" s="26">
        <f t="shared" si="13"/>
        <v>0.30000000003838101</v>
      </c>
      <c r="R16" s="41"/>
      <c r="S16" s="21">
        <f t="shared" si="3"/>
        <v>44547</v>
      </c>
      <c r="T16" s="42">
        <v>10.3386</v>
      </c>
      <c r="U16" s="43">
        <f t="shared" si="14"/>
        <v>-0.60000000000037801</v>
      </c>
      <c r="V16" s="44">
        <f t="shared" si="15"/>
        <v>-2.0000000000006701</v>
      </c>
      <c r="W16" s="45">
        <f t="shared" si="16"/>
        <v>0.60000000000037801</v>
      </c>
      <c r="X16" s="29">
        <v>17.4116</v>
      </c>
      <c r="Y16" s="43">
        <f t="shared" si="17"/>
        <v>-0.19999999999953399</v>
      </c>
      <c r="Z16" s="44">
        <f t="shared" si="18"/>
        <v>-1.99999999999889</v>
      </c>
      <c r="AA16" s="45">
        <f t="shared" si="19"/>
        <v>-0.19999999999953399</v>
      </c>
      <c r="AB16" s="49">
        <v>9.5177999999999798</v>
      </c>
      <c r="AC16" s="43">
        <f t="shared" si="20"/>
        <v>-0.19999999999953399</v>
      </c>
      <c r="AD16" s="44">
        <f t="shared" si="21"/>
        <v>-2.0000000000095501</v>
      </c>
      <c r="AE16" s="45">
        <f t="shared" si="22"/>
        <v>-0.19999999999953399</v>
      </c>
      <c r="AF16" s="50">
        <v>79252</v>
      </c>
      <c r="AG16" s="58">
        <f t="shared" si="4"/>
        <v>27</v>
      </c>
      <c r="AH16" s="61"/>
      <c r="AI16" s="60"/>
      <c r="AJ16" s="52"/>
      <c r="AK16" s="52"/>
      <c r="AL16" s="52"/>
      <c r="AM16" s="52"/>
    </row>
    <row r="17" spans="1:39">
      <c r="A17" s="21">
        <v>44548</v>
      </c>
      <c r="B17" s="22">
        <v>789.95809999999994</v>
      </c>
      <c r="C17" s="27">
        <v>6.8605</v>
      </c>
      <c r="D17" s="23">
        <f t="shared" si="0"/>
        <v>796.81859999999995</v>
      </c>
      <c r="E17" s="24">
        <f t="shared" si="5"/>
        <v>-0.199999999949796</v>
      </c>
      <c r="F17" s="25">
        <f t="shared" si="6"/>
        <v>-2.1000000000412902</v>
      </c>
      <c r="G17" s="26">
        <f t="shared" si="7"/>
        <v>-0.199999999949796</v>
      </c>
      <c r="H17" s="6">
        <v>8.4923999999999999</v>
      </c>
      <c r="I17" s="35">
        <f t="shared" si="1"/>
        <v>798.45050000000003</v>
      </c>
      <c r="J17" s="24">
        <f t="shared" si="8"/>
        <v>-0.20000000006348301</v>
      </c>
      <c r="K17" s="25">
        <f t="shared" si="9"/>
        <v>-1.8999999999778101</v>
      </c>
      <c r="L17" s="26">
        <f t="shared" si="10"/>
        <v>-0.20000000006348301</v>
      </c>
      <c r="M17" s="6">
        <v>7.5576999999999996</v>
      </c>
      <c r="N17" s="35">
        <f t="shared" si="2"/>
        <v>797.51580000000001</v>
      </c>
      <c r="O17" s="24">
        <f t="shared" si="11"/>
        <v>-0.70000000005165897</v>
      </c>
      <c r="P17" s="25">
        <f t="shared" si="12"/>
        <v>-2.2000000000161899</v>
      </c>
      <c r="Q17" s="26">
        <f t="shared" si="13"/>
        <v>-0.70000000005165897</v>
      </c>
      <c r="R17" s="41"/>
      <c r="S17" s="21">
        <f t="shared" si="3"/>
        <v>44548</v>
      </c>
      <c r="T17" s="42">
        <v>10.338699999999999</v>
      </c>
      <c r="U17" s="43">
        <f t="shared" si="14"/>
        <v>9.99999999997669E-2</v>
      </c>
      <c r="V17" s="44">
        <f t="shared" si="15"/>
        <v>-1.9000000000009001</v>
      </c>
      <c r="W17" s="45">
        <f t="shared" si="16"/>
        <v>-9.99999999997669E-2</v>
      </c>
      <c r="X17" s="29">
        <v>17.411799999999999</v>
      </c>
      <c r="Y17" s="43">
        <f t="shared" si="17"/>
        <v>0.19999999999953399</v>
      </c>
      <c r="Z17" s="44">
        <f t="shared" si="18"/>
        <v>-1.7999999999993599</v>
      </c>
      <c r="AA17" s="45">
        <f t="shared" si="19"/>
        <v>0.19999999999953399</v>
      </c>
      <c r="AB17" s="49">
        <v>9.5178999999999991</v>
      </c>
      <c r="AC17" s="43">
        <f t="shared" si="20"/>
        <v>0.10000000001930701</v>
      </c>
      <c r="AD17" s="44">
        <f t="shared" si="21"/>
        <v>-1.8999999999902399</v>
      </c>
      <c r="AE17" s="45">
        <f t="shared" si="22"/>
        <v>0.10000000001930701</v>
      </c>
      <c r="AF17" s="50">
        <v>79253</v>
      </c>
      <c r="AG17" s="58">
        <f t="shared" si="4"/>
        <v>28</v>
      </c>
      <c r="AH17" s="61"/>
      <c r="AI17" s="52"/>
      <c r="AJ17" s="52"/>
      <c r="AK17" s="52"/>
      <c r="AL17" s="52"/>
      <c r="AM17" s="52"/>
    </row>
    <row r="18" spans="1:39">
      <c r="A18" s="21">
        <v>44549</v>
      </c>
      <c r="B18" s="22">
        <v>789.95809999999994</v>
      </c>
      <c r="C18" s="27">
        <v>6.8602999999999996</v>
      </c>
      <c r="D18" s="23">
        <f t="shared" si="0"/>
        <v>796.8184</v>
      </c>
      <c r="E18" s="24">
        <f t="shared" si="5"/>
        <v>-0.199999999949796</v>
      </c>
      <c r="F18" s="25">
        <f t="shared" si="6"/>
        <v>-2.2999999999910901</v>
      </c>
      <c r="G18" s="26">
        <f t="shared" si="7"/>
        <v>-0.199999999949796</v>
      </c>
      <c r="H18" s="6">
        <v>8.4923000000000002</v>
      </c>
      <c r="I18" s="35">
        <f t="shared" si="1"/>
        <v>798.45039999999995</v>
      </c>
      <c r="J18" s="24">
        <f t="shared" si="8"/>
        <v>-9.9999999974897905E-2</v>
      </c>
      <c r="K18" s="25">
        <f t="shared" si="9"/>
        <v>-1.9999999999527101</v>
      </c>
      <c r="L18" s="26">
        <f t="shared" si="10"/>
        <v>-9.9999999974897905E-2</v>
      </c>
      <c r="M18" s="6">
        <v>7.5575000000000001</v>
      </c>
      <c r="N18" s="35">
        <f t="shared" si="2"/>
        <v>797.51559999999995</v>
      </c>
      <c r="O18" s="24">
        <f t="shared" si="11"/>
        <v>-0.199999999949796</v>
      </c>
      <c r="P18" s="25">
        <f t="shared" si="12"/>
        <v>-2.39999999996598</v>
      </c>
      <c r="Q18" s="26">
        <f t="shared" si="13"/>
        <v>-0.199999999949796</v>
      </c>
      <c r="R18" s="41"/>
      <c r="S18" s="21">
        <f t="shared" si="3"/>
        <v>44549</v>
      </c>
      <c r="T18" s="42">
        <v>10.338200000000001</v>
      </c>
      <c r="U18" s="43">
        <f t="shared" si="14"/>
        <v>-0.49999999999883499</v>
      </c>
      <c r="V18" s="44">
        <f t="shared" si="15"/>
        <v>-2.3999999999997401</v>
      </c>
      <c r="W18" s="45">
        <f t="shared" si="16"/>
        <v>0.49999999999883499</v>
      </c>
      <c r="X18" s="29">
        <v>17.4115</v>
      </c>
      <c r="Y18" s="43">
        <f t="shared" si="17"/>
        <v>-0.29999999999930099</v>
      </c>
      <c r="Z18" s="44">
        <f t="shared" si="18"/>
        <v>-2.0999999999986598</v>
      </c>
      <c r="AA18" s="45">
        <f t="shared" si="19"/>
        <v>-0.29999999999930099</v>
      </c>
      <c r="AB18" s="49">
        <v>9.5182000000000002</v>
      </c>
      <c r="AC18" s="43">
        <f t="shared" si="20"/>
        <v>0.30000000000107702</v>
      </c>
      <c r="AD18" s="44">
        <f t="shared" si="21"/>
        <v>-1.5999999999891701</v>
      </c>
      <c r="AE18" s="45">
        <f t="shared" si="22"/>
        <v>0.30000000000107702</v>
      </c>
      <c r="AF18" s="50">
        <v>79259</v>
      </c>
      <c r="AG18" s="58">
        <f t="shared" si="4"/>
        <v>34</v>
      </c>
      <c r="AH18" s="61"/>
      <c r="AI18" s="52"/>
      <c r="AJ18" s="52"/>
      <c r="AK18" s="52"/>
      <c r="AL18" s="52"/>
      <c r="AM18" s="52"/>
    </row>
    <row r="19" spans="1:39">
      <c r="A19" s="21">
        <v>44550</v>
      </c>
      <c r="B19" s="22">
        <v>789.95809999999994</v>
      </c>
      <c r="C19" s="27">
        <v>6.8604000000000003</v>
      </c>
      <c r="D19" s="23">
        <f t="shared" si="0"/>
        <v>796.81849999999997</v>
      </c>
      <c r="E19" s="24">
        <f t="shared" si="5"/>
        <v>9.9999999974897905E-2</v>
      </c>
      <c r="F19" s="25">
        <f t="shared" si="6"/>
        <v>-2.2000000000161899</v>
      </c>
      <c r="G19" s="26">
        <f t="shared" si="7"/>
        <v>9.9999999974897905E-2</v>
      </c>
      <c r="H19" s="6">
        <v>8.4920000000000009</v>
      </c>
      <c r="I19" s="35">
        <f t="shared" si="1"/>
        <v>798.45010000000002</v>
      </c>
      <c r="J19" s="24">
        <f t="shared" si="8"/>
        <v>-0.30000000003838101</v>
      </c>
      <c r="K19" s="25">
        <f t="shared" si="9"/>
        <v>-2.2999999999910901</v>
      </c>
      <c r="L19" s="26">
        <f t="shared" si="10"/>
        <v>-0.30000000003838101</v>
      </c>
      <c r="M19" s="6">
        <v>7.5575999999999999</v>
      </c>
      <c r="N19" s="35">
        <f t="shared" si="2"/>
        <v>797.51570000000004</v>
      </c>
      <c r="O19" s="24">
        <f t="shared" si="11"/>
        <v>9.9999999974897905E-2</v>
      </c>
      <c r="P19" s="25">
        <f t="shared" si="12"/>
        <v>-2.2999999999910901</v>
      </c>
      <c r="Q19" s="26">
        <f t="shared" si="13"/>
        <v>9.9999999974897905E-2</v>
      </c>
      <c r="R19" s="41"/>
      <c r="S19" s="21">
        <f t="shared" si="3"/>
        <v>44550</v>
      </c>
      <c r="T19" s="42">
        <v>10.3386</v>
      </c>
      <c r="U19" s="43">
        <f t="shared" si="14"/>
        <v>0.39999999999906799</v>
      </c>
      <c r="V19" s="44">
        <f t="shared" si="15"/>
        <v>-2.0000000000006701</v>
      </c>
      <c r="W19" s="45">
        <f t="shared" si="16"/>
        <v>-0.39999999999906799</v>
      </c>
      <c r="X19" s="29">
        <v>17.4117</v>
      </c>
      <c r="Y19" s="43">
        <f t="shared" si="17"/>
        <v>0.19999999999953399</v>
      </c>
      <c r="Z19" s="44">
        <f t="shared" si="18"/>
        <v>-1.8999999999991199</v>
      </c>
      <c r="AA19" s="45">
        <f t="shared" si="19"/>
        <v>0.19999999999953399</v>
      </c>
      <c r="AB19" s="49">
        <v>9.5183</v>
      </c>
      <c r="AC19" s="43">
        <f t="shared" si="20"/>
        <v>9.99999999997669E-2</v>
      </c>
      <c r="AD19" s="44">
        <f t="shared" si="21"/>
        <v>-1.4999999999894</v>
      </c>
      <c r="AE19" s="45">
        <f t="shared" si="22"/>
        <v>9.99999999997669E-2</v>
      </c>
      <c r="AF19" s="50">
        <v>79265</v>
      </c>
      <c r="AG19" s="58">
        <f t="shared" si="4"/>
        <v>40</v>
      </c>
      <c r="AH19" s="61"/>
      <c r="AI19" s="52"/>
      <c r="AJ19" s="52"/>
      <c r="AK19" s="52"/>
      <c r="AL19" s="52"/>
      <c r="AM19" s="52"/>
    </row>
    <row r="20" spans="1:39">
      <c r="A20" s="21">
        <v>44551</v>
      </c>
      <c r="B20" s="22">
        <v>789.95809999999994</v>
      </c>
      <c r="C20" s="27">
        <v>6.8605</v>
      </c>
      <c r="D20" s="23">
        <f t="shared" ref="D20:D33" si="23">C20+B20</f>
        <v>796.81859999999995</v>
      </c>
      <c r="E20" s="24">
        <f t="shared" ref="E20:E26" si="24">(D20-D19)*1000</f>
        <v>9.9999999974897905E-2</v>
      </c>
      <c r="F20" s="25">
        <f t="shared" ref="F20:F26" si="25">F19+E20</f>
        <v>-2.1000000000412902</v>
      </c>
      <c r="G20" s="26">
        <f t="shared" ref="G20:G26" si="26">E20/(A20-A19)</f>
        <v>9.9999999974897905E-2</v>
      </c>
      <c r="H20" s="6">
        <v>8.4916999999999998</v>
      </c>
      <c r="I20" s="35">
        <f t="shared" ref="I20:I33" si="27">H20+B20</f>
        <v>798.44979999999998</v>
      </c>
      <c r="J20" s="24">
        <f t="shared" ref="J20:J26" si="28">(I20-I19)*1000</f>
        <v>-0.29999999992469401</v>
      </c>
      <c r="K20" s="25">
        <f t="shared" ref="K20:K26" si="29">K19+J20</f>
        <v>-2.5999999999157799</v>
      </c>
      <c r="L20" s="26">
        <f t="shared" ref="L20:L26" si="30">J20/(A20-A19)</f>
        <v>-0.29999999992469401</v>
      </c>
      <c r="M20" s="6">
        <v>7.5576999999999996</v>
      </c>
      <c r="N20" s="35">
        <f t="shared" ref="N20:N33" si="31">M20+B20</f>
        <v>797.51580000000001</v>
      </c>
      <c r="O20" s="24">
        <f t="shared" ref="O20:O26" si="32">(N20-N19)*1000</f>
        <v>9.9999999974897905E-2</v>
      </c>
      <c r="P20" s="25">
        <f t="shared" ref="P20:P26" si="33">P19+O20</f>
        <v>-2.2000000000161899</v>
      </c>
      <c r="Q20" s="26">
        <f t="shared" ref="Q20:Q26" si="34">O20/(A20-A19)</f>
        <v>9.9999999974897905E-2</v>
      </c>
      <c r="R20" s="41"/>
      <c r="S20" s="21">
        <f t="shared" ref="S20:S32" si="35">A20</f>
        <v>44551</v>
      </c>
      <c r="T20" s="42">
        <v>10.338200000000001</v>
      </c>
      <c r="U20" s="43">
        <f t="shared" ref="U20:U26" si="36">(T20-T19)*1000</f>
        <v>-0.39999999999906799</v>
      </c>
      <c r="V20" s="44">
        <f t="shared" ref="V20:V26" si="37">V19+U20</f>
        <v>-2.3999999999997401</v>
      </c>
      <c r="W20" s="45">
        <f t="shared" ref="W20:W26" si="38">U20/(S19-S20)</f>
        <v>0.39999999999906799</v>
      </c>
      <c r="X20" s="29">
        <v>17.4115</v>
      </c>
      <c r="Y20" s="43">
        <f t="shared" ref="Y20:Y26" si="39">(X20-X19)*1000</f>
        <v>-0.19999999999953399</v>
      </c>
      <c r="Z20" s="44">
        <f t="shared" ref="Z20:Z26" si="40">Z19+Y20</f>
        <v>-2.0999999999986598</v>
      </c>
      <c r="AA20" s="45">
        <f t="shared" ref="AA20:AA26" si="41">Y20/(S20-S19)</f>
        <v>-0.19999999999953399</v>
      </c>
      <c r="AB20" s="49">
        <v>9.5183999999999997</v>
      </c>
      <c r="AC20" s="43">
        <f t="shared" ref="AC20:AC26" si="42">(AB20-AB19)*1000</f>
        <v>9.99999999997669E-2</v>
      </c>
      <c r="AD20" s="44">
        <f t="shared" ref="AD20:AD26" si="43">AD19+AC20</f>
        <v>-1.39999999998963</v>
      </c>
      <c r="AE20" s="45">
        <f t="shared" ref="AE20:AE26" si="44">AC20/(S20-S19)</f>
        <v>9.99999999997669E-2</v>
      </c>
      <c r="AF20" s="50">
        <v>79271</v>
      </c>
      <c r="AG20" s="58">
        <f t="shared" ref="AG20:AG33" si="45">AF20-79225</f>
        <v>46</v>
      </c>
      <c r="AH20" s="61"/>
      <c r="AI20" s="52"/>
      <c r="AJ20" s="52"/>
      <c r="AK20" s="52"/>
      <c r="AL20" s="52"/>
      <c r="AM20" s="52"/>
    </row>
    <row r="21" spans="1:39">
      <c r="A21" s="21">
        <v>44553</v>
      </c>
      <c r="B21" s="22">
        <v>789.95809999999994</v>
      </c>
      <c r="C21" s="27">
        <v>6.8602999999999996</v>
      </c>
      <c r="D21" s="23">
        <f t="shared" si="23"/>
        <v>796.8184</v>
      </c>
      <c r="E21" s="24">
        <f t="shared" si="24"/>
        <v>-0.199999999949796</v>
      </c>
      <c r="F21" s="25">
        <f t="shared" si="25"/>
        <v>-2.2999999999910901</v>
      </c>
      <c r="G21" s="26">
        <f t="shared" si="26"/>
        <v>-9.9999999974897905E-2</v>
      </c>
      <c r="H21" s="6">
        <v>8.4915000000000003</v>
      </c>
      <c r="I21" s="35">
        <f t="shared" si="27"/>
        <v>798.44960000000003</v>
      </c>
      <c r="J21" s="24">
        <f t="shared" si="28"/>
        <v>-0.20000000006348301</v>
      </c>
      <c r="K21" s="25">
        <f t="shared" si="29"/>
        <v>-2.79999999997926</v>
      </c>
      <c r="L21" s="26">
        <f t="shared" si="30"/>
        <v>-0.100000000031741</v>
      </c>
      <c r="M21" s="6">
        <v>7.5576999999999996</v>
      </c>
      <c r="N21" s="35">
        <f t="shared" si="31"/>
        <v>797.51580000000001</v>
      </c>
      <c r="O21" s="24">
        <f t="shared" si="32"/>
        <v>0</v>
      </c>
      <c r="P21" s="25">
        <f t="shared" si="33"/>
        <v>-2.2000000000161899</v>
      </c>
      <c r="Q21" s="26">
        <f t="shared" si="34"/>
        <v>0</v>
      </c>
      <c r="R21" s="41"/>
      <c r="S21" s="21">
        <f t="shared" si="35"/>
        <v>44553</v>
      </c>
      <c r="T21" s="42">
        <v>10.337999999999999</v>
      </c>
      <c r="U21" s="43">
        <f t="shared" si="36"/>
        <v>-0.20000000000130999</v>
      </c>
      <c r="V21" s="44">
        <f t="shared" si="37"/>
        <v>-2.6000000000010499</v>
      </c>
      <c r="W21" s="45">
        <f t="shared" si="38"/>
        <v>0.100000000000655</v>
      </c>
      <c r="X21" s="29">
        <v>17.411200000000001</v>
      </c>
      <c r="Y21" s="43">
        <f t="shared" si="39"/>
        <v>-0.29999999999930099</v>
      </c>
      <c r="Z21" s="44">
        <f t="shared" si="40"/>
        <v>-2.3999999999979602</v>
      </c>
      <c r="AA21" s="45">
        <f t="shared" si="41"/>
        <v>-0.14999999999965</v>
      </c>
      <c r="AB21" s="49">
        <v>9.5182000000000002</v>
      </c>
      <c r="AC21" s="43">
        <f t="shared" si="42"/>
        <v>-0.19999999999953399</v>
      </c>
      <c r="AD21" s="44">
        <f t="shared" si="43"/>
        <v>-1.5999999999891701</v>
      </c>
      <c r="AE21" s="45">
        <f t="shared" si="44"/>
        <v>-9.99999999997669E-2</v>
      </c>
      <c r="AF21" s="50">
        <v>79277</v>
      </c>
      <c r="AG21" s="58">
        <f t="shared" si="45"/>
        <v>52</v>
      </c>
      <c r="AH21" s="61"/>
      <c r="AI21" s="60"/>
      <c r="AJ21"/>
      <c r="AK21"/>
      <c r="AL21"/>
      <c r="AM21"/>
    </row>
    <row r="22" spans="1:39">
      <c r="A22" s="21">
        <v>44555</v>
      </c>
      <c r="B22" s="22">
        <v>789.95809999999994</v>
      </c>
      <c r="C22" s="27">
        <v>6.8601999999999999</v>
      </c>
      <c r="D22" s="23">
        <f t="shared" si="23"/>
        <v>796.81830000000002</v>
      </c>
      <c r="E22" s="24">
        <f t="shared" si="24"/>
        <v>-0.10000000008858501</v>
      </c>
      <c r="F22" s="25">
        <f t="shared" si="25"/>
        <v>-2.40000000007967</v>
      </c>
      <c r="G22" s="26">
        <f t="shared" si="26"/>
        <v>-5.0000000044292399E-2</v>
      </c>
      <c r="H22" s="6">
        <v>8.4913000000000007</v>
      </c>
      <c r="I22" s="35">
        <f t="shared" si="27"/>
        <v>798.44939999999997</v>
      </c>
      <c r="J22" s="24">
        <f t="shared" si="28"/>
        <v>-0.199999999949796</v>
      </c>
      <c r="K22" s="25">
        <f t="shared" si="29"/>
        <v>-2.9999999999290599</v>
      </c>
      <c r="L22" s="26">
        <f t="shared" si="30"/>
        <v>-9.9999999974897905E-2</v>
      </c>
      <c r="M22" s="6">
        <v>7.5575000000000001</v>
      </c>
      <c r="N22" s="35">
        <f t="shared" si="31"/>
        <v>797.51559999999995</v>
      </c>
      <c r="O22" s="24">
        <f t="shared" si="32"/>
        <v>-0.199999999949796</v>
      </c>
      <c r="P22" s="25">
        <f t="shared" si="33"/>
        <v>-2.39999999996598</v>
      </c>
      <c r="Q22" s="26">
        <f t="shared" si="34"/>
        <v>-9.9999999974897905E-2</v>
      </c>
      <c r="R22" s="41"/>
      <c r="S22" s="21">
        <f t="shared" si="35"/>
        <v>44555</v>
      </c>
      <c r="T22" s="42">
        <v>10.338100000000001</v>
      </c>
      <c r="U22" s="43">
        <f t="shared" si="36"/>
        <v>0.10000000000154299</v>
      </c>
      <c r="V22" s="44">
        <f t="shared" si="37"/>
        <v>-2.4999999999995</v>
      </c>
      <c r="W22" s="45">
        <f t="shared" si="38"/>
        <v>-5.0000000000771601E-2</v>
      </c>
      <c r="X22" s="29">
        <v>17.411000000000001</v>
      </c>
      <c r="Y22" s="43">
        <f t="shared" si="39"/>
        <v>-0.19999999999953399</v>
      </c>
      <c r="Z22" s="44">
        <f t="shared" si="40"/>
        <v>-2.5999999999974901</v>
      </c>
      <c r="AA22" s="45">
        <f t="shared" si="41"/>
        <v>-9.99999999997669E-2</v>
      </c>
      <c r="AB22" s="49">
        <v>9.5180000000000007</v>
      </c>
      <c r="AC22" s="43">
        <f t="shared" si="42"/>
        <v>-0.19999999999953399</v>
      </c>
      <c r="AD22" s="44">
        <f t="shared" si="43"/>
        <v>-1.7999999999887</v>
      </c>
      <c r="AE22" s="45">
        <f t="shared" si="44"/>
        <v>-9.99999999997669E-2</v>
      </c>
      <c r="AF22" s="50">
        <v>79283</v>
      </c>
      <c r="AG22" s="58">
        <f t="shared" si="45"/>
        <v>58</v>
      </c>
      <c r="AH22" s="61"/>
      <c r="AI22" s="52"/>
      <c r="AJ22" s="52"/>
      <c r="AK22" s="52"/>
      <c r="AL22" s="52"/>
      <c r="AM22" s="52"/>
    </row>
    <row r="23" spans="1:39">
      <c r="A23" s="21">
        <v>44557</v>
      </c>
      <c r="B23" s="22">
        <v>789.95809999999994</v>
      </c>
      <c r="C23" s="27">
        <v>6.86</v>
      </c>
      <c r="D23" s="23">
        <f t="shared" si="23"/>
        <v>796.81809999999996</v>
      </c>
      <c r="E23" s="24">
        <f t="shared" si="24"/>
        <v>-0.199999999949796</v>
      </c>
      <c r="F23" s="25">
        <f t="shared" si="25"/>
        <v>-2.6000000000294698</v>
      </c>
      <c r="G23" s="26">
        <f t="shared" si="26"/>
        <v>-9.9999999974897905E-2</v>
      </c>
      <c r="H23" s="6">
        <v>8.4911999999999992</v>
      </c>
      <c r="I23" s="35">
        <f t="shared" si="27"/>
        <v>798.44929999999999</v>
      </c>
      <c r="J23" s="24">
        <f t="shared" si="28"/>
        <v>-9.9999999974897905E-2</v>
      </c>
      <c r="K23" s="25">
        <f t="shared" si="29"/>
        <v>-3.09999999990396</v>
      </c>
      <c r="L23" s="26">
        <f t="shared" si="30"/>
        <v>-4.9999999987449001E-2</v>
      </c>
      <c r="M23" s="6">
        <v>7.5571999999999999</v>
      </c>
      <c r="N23" s="35">
        <f t="shared" si="31"/>
        <v>797.51530000000002</v>
      </c>
      <c r="O23" s="24">
        <f t="shared" si="32"/>
        <v>-0.30000000003838101</v>
      </c>
      <c r="P23" s="25">
        <f t="shared" si="33"/>
        <v>-2.70000000000437</v>
      </c>
      <c r="Q23" s="26">
        <f t="shared" si="34"/>
        <v>-0.15000000001919001</v>
      </c>
      <c r="S23" s="21">
        <f t="shared" si="35"/>
        <v>44557</v>
      </c>
      <c r="T23" s="42">
        <v>10.3376</v>
      </c>
      <c r="U23" s="43">
        <f t="shared" si="36"/>
        <v>-0.50000000000061096</v>
      </c>
      <c r="V23" s="44">
        <f t="shared" si="37"/>
        <v>-3.0000000000001101</v>
      </c>
      <c r="W23" s="45">
        <f t="shared" si="38"/>
        <v>0.25000000000030598</v>
      </c>
      <c r="X23" s="29">
        <v>17.410799999999998</v>
      </c>
      <c r="Y23" s="43">
        <f t="shared" si="39"/>
        <v>-0.20000000000308699</v>
      </c>
      <c r="Z23" s="44">
        <f t="shared" si="40"/>
        <v>-2.8000000000005798</v>
      </c>
      <c r="AA23" s="45">
        <f t="shared" si="41"/>
        <v>-0.10000000000154299</v>
      </c>
      <c r="AB23" s="49">
        <v>9.5181000000000004</v>
      </c>
      <c r="AC23" s="43">
        <f t="shared" si="42"/>
        <v>9.99999999997669E-2</v>
      </c>
      <c r="AD23" s="44">
        <f t="shared" si="43"/>
        <v>-1.6999999999889299</v>
      </c>
      <c r="AE23" s="45">
        <f t="shared" si="44"/>
        <v>4.9999999999883499E-2</v>
      </c>
      <c r="AF23" s="50">
        <v>79289</v>
      </c>
      <c r="AG23" s="58">
        <f t="shared" si="45"/>
        <v>64</v>
      </c>
      <c r="AH23" s="61"/>
      <c r="AI23" s="52"/>
      <c r="AJ23" s="52"/>
      <c r="AK23" s="52"/>
      <c r="AL23" s="52"/>
      <c r="AM23" s="52"/>
    </row>
    <row r="24" spans="1:39">
      <c r="A24" s="21">
        <v>44559</v>
      </c>
      <c r="B24" s="22">
        <v>789.95809999999994</v>
      </c>
      <c r="C24" s="27">
        <v>6.8598999999999997</v>
      </c>
      <c r="D24" s="23">
        <f t="shared" si="23"/>
        <v>796.81799999999998</v>
      </c>
      <c r="E24" s="24">
        <f t="shared" si="24"/>
        <v>-9.9999999974897905E-2</v>
      </c>
      <c r="F24" s="25">
        <f t="shared" si="25"/>
        <v>-2.70000000000437</v>
      </c>
      <c r="G24" s="26">
        <f t="shared" si="26"/>
        <v>-4.9999999987449001E-2</v>
      </c>
      <c r="H24" s="6">
        <v>8.4909999999999997</v>
      </c>
      <c r="I24" s="35">
        <f t="shared" si="27"/>
        <v>798.44910000000004</v>
      </c>
      <c r="J24" s="24">
        <f t="shared" si="28"/>
        <v>-0.20000000006348301</v>
      </c>
      <c r="K24" s="25">
        <f t="shared" si="29"/>
        <v>-3.2999999999674401</v>
      </c>
      <c r="L24" s="26">
        <f t="shared" si="30"/>
        <v>-0.100000000031741</v>
      </c>
      <c r="M24" s="6">
        <v>7.5570000000000004</v>
      </c>
      <c r="N24" s="35">
        <f t="shared" si="31"/>
        <v>797.51509999999996</v>
      </c>
      <c r="O24" s="24">
        <f t="shared" si="32"/>
        <v>-0.199999999949796</v>
      </c>
      <c r="P24" s="25">
        <f t="shared" si="33"/>
        <v>-2.8999999999541601</v>
      </c>
      <c r="Q24" s="26">
        <f t="shared" si="34"/>
        <v>-9.9999999974897905E-2</v>
      </c>
      <c r="S24" s="21">
        <f t="shared" si="35"/>
        <v>44559</v>
      </c>
      <c r="T24" s="42">
        <v>10.337400000000001</v>
      </c>
      <c r="U24" s="43">
        <f t="shared" si="36"/>
        <v>-0.19999999999953399</v>
      </c>
      <c r="V24" s="44">
        <f t="shared" si="37"/>
        <v>-3.1999999999996498</v>
      </c>
      <c r="W24" s="45">
        <f t="shared" si="38"/>
        <v>9.99999999997669E-2</v>
      </c>
      <c r="X24" s="29">
        <v>17.410900000000002</v>
      </c>
      <c r="Y24" s="43">
        <f t="shared" si="39"/>
        <v>0.10000000000332</v>
      </c>
      <c r="Z24" s="44">
        <f t="shared" si="40"/>
        <v>-2.6999999999972601</v>
      </c>
      <c r="AA24" s="45">
        <f t="shared" si="41"/>
        <v>5.00000000016598E-2</v>
      </c>
      <c r="AB24" s="49">
        <v>9.5183</v>
      </c>
      <c r="AC24" s="43">
        <f t="shared" si="42"/>
        <v>0.19999999999953399</v>
      </c>
      <c r="AD24" s="44">
        <f t="shared" si="43"/>
        <v>-1.4999999999894</v>
      </c>
      <c r="AE24" s="45">
        <f t="shared" si="44"/>
        <v>9.99999999997669E-2</v>
      </c>
      <c r="AF24" s="50">
        <v>79295</v>
      </c>
      <c r="AG24" s="58">
        <f t="shared" si="45"/>
        <v>70</v>
      </c>
      <c r="AH24" s="61"/>
      <c r="AI24" s="52"/>
      <c r="AJ24" s="52"/>
      <c r="AK24" s="52"/>
      <c r="AL24" s="52"/>
      <c r="AM24" s="52"/>
    </row>
    <row r="25" spans="1:39">
      <c r="A25" s="21">
        <v>44561</v>
      </c>
      <c r="B25" s="22">
        <v>789.95809999999994</v>
      </c>
      <c r="C25" s="27">
        <v>6.8593000000000002</v>
      </c>
      <c r="D25" s="23">
        <f t="shared" si="23"/>
        <v>796.81740000000002</v>
      </c>
      <c r="E25" s="24">
        <f t="shared" si="24"/>
        <v>-0.60000000007676102</v>
      </c>
      <c r="F25" s="25">
        <f t="shared" si="25"/>
        <v>-3.30000000008113</v>
      </c>
      <c r="G25" s="26">
        <f t="shared" si="26"/>
        <v>-0.30000000003838101</v>
      </c>
      <c r="H25" s="6">
        <v>8.4910999999999994</v>
      </c>
      <c r="I25" s="35">
        <f t="shared" si="27"/>
        <v>798.44920000000002</v>
      </c>
      <c r="J25" s="24">
        <f t="shared" si="28"/>
        <v>9.9999999974897905E-2</v>
      </c>
      <c r="K25" s="25">
        <f t="shared" si="29"/>
        <v>-3.1999999999925399</v>
      </c>
      <c r="L25" s="26">
        <f t="shared" si="30"/>
        <v>4.9999999987449001E-2</v>
      </c>
      <c r="M25" s="6">
        <v>7.5571000000000002</v>
      </c>
      <c r="N25" s="35">
        <f t="shared" si="31"/>
        <v>797.51520000000005</v>
      </c>
      <c r="O25" s="24">
        <f t="shared" si="32"/>
        <v>9.9999999974897905E-2</v>
      </c>
      <c r="P25" s="25">
        <f t="shared" si="33"/>
        <v>-2.79999999997926</v>
      </c>
      <c r="Q25" s="26">
        <f t="shared" si="34"/>
        <v>4.9999999987449001E-2</v>
      </c>
      <c r="R25" s="41"/>
      <c r="S25" s="21">
        <f t="shared" si="35"/>
        <v>44561</v>
      </c>
      <c r="T25" s="42">
        <v>10.3375</v>
      </c>
      <c r="U25" s="43">
        <f t="shared" si="36"/>
        <v>9.99999999997669E-2</v>
      </c>
      <c r="V25" s="44">
        <f t="shared" si="37"/>
        <v>-3.0999999999998802</v>
      </c>
      <c r="W25" s="45">
        <f t="shared" si="38"/>
        <v>-4.9999999999883499E-2</v>
      </c>
      <c r="X25" s="29">
        <v>17.410399999999999</v>
      </c>
      <c r="Y25" s="43">
        <f t="shared" si="39"/>
        <v>-0.50000000000238698</v>
      </c>
      <c r="Z25" s="44">
        <f t="shared" si="40"/>
        <v>-3.1999999999996498</v>
      </c>
      <c r="AA25" s="45">
        <f t="shared" si="41"/>
        <v>-0.25000000000119399</v>
      </c>
      <c r="AB25" s="49">
        <v>9.5178999999999991</v>
      </c>
      <c r="AC25" s="43">
        <f t="shared" si="42"/>
        <v>-0.40000000000084401</v>
      </c>
      <c r="AD25" s="44">
        <f t="shared" si="43"/>
        <v>-1.8999999999902399</v>
      </c>
      <c r="AE25" s="45">
        <f t="shared" si="44"/>
        <v>-0.20000000000042201</v>
      </c>
      <c r="AF25" s="50">
        <v>79301</v>
      </c>
      <c r="AG25" s="58">
        <f t="shared" si="45"/>
        <v>76</v>
      </c>
      <c r="AH25" s="61"/>
      <c r="AI25" s="52"/>
      <c r="AJ25" s="52"/>
      <c r="AK25" s="52"/>
      <c r="AL25" s="52"/>
      <c r="AM25" s="52"/>
    </row>
    <row r="26" spans="1:39">
      <c r="A26" s="21">
        <v>44563</v>
      </c>
      <c r="B26" s="22">
        <v>789.95809999999994</v>
      </c>
      <c r="C26" s="27">
        <v>6.8597000000000001</v>
      </c>
      <c r="D26" s="23">
        <f t="shared" si="23"/>
        <v>796.81780000000003</v>
      </c>
      <c r="E26" s="24">
        <f t="shared" si="24"/>
        <v>0.40000000001327901</v>
      </c>
      <c r="F26" s="25">
        <f t="shared" si="25"/>
        <v>-2.9000000000678501</v>
      </c>
      <c r="G26" s="26">
        <f t="shared" si="26"/>
        <v>0.20000000000663901</v>
      </c>
      <c r="H26" s="6">
        <v>8.4908000000000001</v>
      </c>
      <c r="I26" s="35">
        <f t="shared" si="27"/>
        <v>798.44889999999998</v>
      </c>
      <c r="J26" s="24">
        <f t="shared" si="28"/>
        <v>-0.29999999992469401</v>
      </c>
      <c r="K26" s="25">
        <f t="shared" si="29"/>
        <v>-3.49999999991724</v>
      </c>
      <c r="L26" s="26">
        <f t="shared" si="30"/>
        <v>-0.149999999962347</v>
      </c>
      <c r="M26" s="6">
        <v>7.5571999999999999</v>
      </c>
      <c r="N26" s="35">
        <f t="shared" si="31"/>
        <v>797.51530000000002</v>
      </c>
      <c r="O26" s="24">
        <f t="shared" si="32"/>
        <v>9.9999999974897905E-2</v>
      </c>
      <c r="P26" s="25">
        <f t="shared" si="33"/>
        <v>-2.70000000000437</v>
      </c>
      <c r="Q26" s="26">
        <f t="shared" si="34"/>
        <v>4.9999999987449001E-2</v>
      </c>
      <c r="R26" s="41"/>
      <c r="S26" s="21">
        <f t="shared" si="35"/>
        <v>44563</v>
      </c>
      <c r="T26" s="42">
        <v>10.337</v>
      </c>
      <c r="U26" s="43">
        <f t="shared" si="36"/>
        <v>-0.50000000000061096</v>
      </c>
      <c r="V26" s="44">
        <f t="shared" si="37"/>
        <v>-3.6000000000004899</v>
      </c>
      <c r="W26" s="45">
        <f t="shared" si="38"/>
        <v>0.25000000000030598</v>
      </c>
      <c r="X26" s="29">
        <v>17.4102</v>
      </c>
      <c r="Y26" s="43">
        <f t="shared" si="39"/>
        <v>-0.19999999999953399</v>
      </c>
      <c r="Z26" s="44">
        <f t="shared" si="40"/>
        <v>-3.3999999999991801</v>
      </c>
      <c r="AA26" s="45">
        <f t="shared" si="41"/>
        <v>-9.99999999997669E-2</v>
      </c>
      <c r="AB26" s="49">
        <v>9.5173000000000005</v>
      </c>
      <c r="AC26" s="43">
        <f t="shared" si="42"/>
        <v>-0.59999999999860198</v>
      </c>
      <c r="AD26" s="44">
        <f t="shared" si="43"/>
        <v>-2.49999999998884</v>
      </c>
      <c r="AE26" s="45">
        <f t="shared" si="44"/>
        <v>-0.29999999999930099</v>
      </c>
      <c r="AF26" s="50">
        <v>79309</v>
      </c>
      <c r="AG26" s="58">
        <f t="shared" si="45"/>
        <v>84</v>
      </c>
      <c r="AH26" s="61"/>
      <c r="AI26" s="60"/>
      <c r="AJ26" s="61"/>
      <c r="AK26" s="62"/>
      <c r="AL26" s="60"/>
      <c r="AM26" s="64"/>
    </row>
    <row r="27" spans="1:39">
      <c r="A27" s="21">
        <v>44565</v>
      </c>
      <c r="B27" s="22">
        <v>789.95809999999994</v>
      </c>
      <c r="C27" s="27">
        <v>6.8593999999999999</v>
      </c>
      <c r="D27" s="23">
        <f t="shared" si="23"/>
        <v>796.8175</v>
      </c>
      <c r="E27" s="24">
        <f t="shared" ref="E27:E30" si="46">(D27-D26)*1000</f>
        <v>-0.29999999992469401</v>
      </c>
      <c r="F27" s="25">
        <f t="shared" ref="F27:F30" si="47">F26+E27</f>
        <v>-3.1999999999925399</v>
      </c>
      <c r="G27" s="26">
        <f t="shared" ref="G27:G30" si="48">E27/(A27-A26)</f>
        <v>-0.149999999962347</v>
      </c>
      <c r="H27" s="6">
        <v>8.4907000000000004</v>
      </c>
      <c r="I27" s="35">
        <f t="shared" si="27"/>
        <v>798.44880000000001</v>
      </c>
      <c r="J27" s="24">
        <f t="shared" ref="J27:J30" si="49">(I27-I26)*1000</f>
        <v>-0.10000000008858501</v>
      </c>
      <c r="K27" s="25">
        <f t="shared" ref="K27:K30" si="50">K26+J27</f>
        <v>-3.6000000000058199</v>
      </c>
      <c r="L27" s="26">
        <f t="shared" ref="L27:L30" si="51">J27/(A27-A26)</f>
        <v>-5.0000000044292399E-2</v>
      </c>
      <c r="M27" s="6">
        <v>7.5572999999999997</v>
      </c>
      <c r="N27" s="35">
        <f t="shared" si="31"/>
        <v>797.5154</v>
      </c>
      <c r="O27" s="24">
        <f t="shared" ref="O27:O30" si="52">(N27-N26)*1000</f>
        <v>0.10000000008858501</v>
      </c>
      <c r="P27" s="25">
        <f t="shared" ref="P27:P30" si="53">P26+O27</f>
        <v>-2.5999999999157799</v>
      </c>
      <c r="Q27" s="26">
        <f t="shared" ref="Q27:Q30" si="54">O27/(A27-A26)</f>
        <v>5.0000000044292399E-2</v>
      </c>
      <c r="R27" s="41"/>
      <c r="S27" s="21">
        <f t="shared" si="35"/>
        <v>44565</v>
      </c>
      <c r="T27" s="42">
        <v>10.3369</v>
      </c>
      <c r="U27" s="43">
        <f t="shared" ref="U27:U30" si="55">(T27-T26)*1000</f>
        <v>-9.99999999997669E-2</v>
      </c>
      <c r="V27" s="44">
        <f t="shared" ref="V27:V30" si="56">V26+U27</f>
        <v>-3.70000000000026</v>
      </c>
      <c r="W27" s="45">
        <f t="shared" ref="W27:W30" si="57">U27/(S26-S27)</f>
        <v>4.9999999999883499E-2</v>
      </c>
      <c r="X27" s="29">
        <v>17.41</v>
      </c>
      <c r="Y27" s="43">
        <f t="shared" ref="Y27:Y30" si="58">(X27-X26)*1000</f>
        <v>-0.19999999999953399</v>
      </c>
      <c r="Z27" s="44">
        <f t="shared" ref="Z27:Z30" si="59">Z26+Y27</f>
        <v>-3.5999999999987198</v>
      </c>
      <c r="AA27" s="45">
        <f t="shared" ref="AA27:AA30" si="60">Y27/(S27-S26)</f>
        <v>-9.99999999997669E-2</v>
      </c>
      <c r="AB27" s="49">
        <v>9.5170999999999992</v>
      </c>
      <c r="AC27" s="43">
        <f t="shared" ref="AC27:AC30" si="61">(AB27-AB26)*1000</f>
        <v>-0.20000000000130999</v>
      </c>
      <c r="AD27" s="44">
        <f t="shared" ref="AD27:AD30" si="62">AD26+AC27</f>
        <v>-2.6999999999901498</v>
      </c>
      <c r="AE27" s="45">
        <f t="shared" ref="AE27:AE30" si="63">AC27/(S27-S26)</f>
        <v>-0.100000000000655</v>
      </c>
      <c r="AF27" s="50">
        <v>79317</v>
      </c>
      <c r="AG27" s="58">
        <f t="shared" si="45"/>
        <v>92</v>
      </c>
      <c r="AH27" s="61"/>
      <c r="AI27" s="60"/>
      <c r="AJ27" s="61"/>
      <c r="AK27" s="62"/>
      <c r="AL27" s="60"/>
      <c r="AM27" s="64"/>
    </row>
    <row r="28" spans="1:39">
      <c r="A28" s="21">
        <v>44567</v>
      </c>
      <c r="B28" s="22">
        <v>789.95809999999994</v>
      </c>
      <c r="C28" s="27">
        <v>6.8593000000000002</v>
      </c>
      <c r="D28" s="23">
        <f t="shared" si="23"/>
        <v>796.81740000000002</v>
      </c>
      <c r="E28" s="24">
        <f t="shared" si="46"/>
        <v>-0.10000000008858501</v>
      </c>
      <c r="F28" s="25">
        <f t="shared" si="47"/>
        <v>-3.30000000008113</v>
      </c>
      <c r="G28" s="26">
        <f t="shared" si="48"/>
        <v>-5.0000000044292399E-2</v>
      </c>
      <c r="H28" s="6">
        <v>8.4905000000000008</v>
      </c>
      <c r="I28" s="35">
        <f t="shared" si="27"/>
        <v>798.44860000000006</v>
      </c>
      <c r="J28" s="24">
        <f t="shared" si="49"/>
        <v>-0.199999999949796</v>
      </c>
      <c r="K28" s="25">
        <f t="shared" si="50"/>
        <v>-3.7999999999556202</v>
      </c>
      <c r="L28" s="26">
        <f t="shared" si="51"/>
        <v>-9.9999999974897905E-2</v>
      </c>
      <c r="M28" s="6">
        <v>7.5568999999999997</v>
      </c>
      <c r="N28" s="35">
        <f t="shared" si="31"/>
        <v>797.51499999999999</v>
      </c>
      <c r="O28" s="24">
        <f t="shared" si="52"/>
        <v>-0.40000000001327901</v>
      </c>
      <c r="P28" s="25">
        <f t="shared" si="53"/>
        <v>-2.9999999999290599</v>
      </c>
      <c r="Q28" s="26">
        <f t="shared" si="54"/>
        <v>-0.20000000000663901</v>
      </c>
      <c r="R28" s="41"/>
      <c r="S28" s="21">
        <f t="shared" si="35"/>
        <v>44567</v>
      </c>
      <c r="T28" s="42">
        <v>10.3368</v>
      </c>
      <c r="U28" s="43">
        <f t="shared" si="55"/>
        <v>-9.99999999997669E-2</v>
      </c>
      <c r="V28" s="44">
        <f t="shared" si="56"/>
        <v>-3.80000000000003</v>
      </c>
      <c r="W28" s="45">
        <f t="shared" si="57"/>
        <v>4.9999999999883499E-2</v>
      </c>
      <c r="X28" s="29">
        <v>17.410299999999999</v>
      </c>
      <c r="Y28" s="43">
        <f t="shared" si="58"/>
        <v>0.29999999999930099</v>
      </c>
      <c r="Z28" s="44">
        <f t="shared" si="59"/>
        <v>-3.2999999999994101</v>
      </c>
      <c r="AA28" s="45">
        <f t="shared" si="60"/>
        <v>0.14999999999965</v>
      </c>
      <c r="AB28" s="49">
        <v>9.5174000000000003</v>
      </c>
      <c r="AC28" s="43">
        <f t="shared" si="61"/>
        <v>0.30000000000107702</v>
      </c>
      <c r="AD28" s="44">
        <f t="shared" si="62"/>
        <v>-2.3999999999890802</v>
      </c>
      <c r="AE28" s="45">
        <f t="shared" si="63"/>
        <v>0.15000000000053901</v>
      </c>
      <c r="AF28" s="50">
        <v>79325</v>
      </c>
      <c r="AG28" s="58">
        <f t="shared" si="45"/>
        <v>100</v>
      </c>
      <c r="AH28" s="61"/>
      <c r="AI28" s="60"/>
      <c r="AJ28" s="61"/>
      <c r="AK28" s="62"/>
      <c r="AL28" s="60"/>
      <c r="AM28" s="64"/>
    </row>
    <row r="29" spans="1:39">
      <c r="A29" s="21">
        <v>44570</v>
      </c>
      <c r="B29" s="22">
        <v>789.95809999999994</v>
      </c>
      <c r="C29" s="27">
        <v>6.8596000000000004</v>
      </c>
      <c r="D29" s="23">
        <f t="shared" si="23"/>
        <v>796.81769999999995</v>
      </c>
      <c r="E29" s="24">
        <f t="shared" si="46"/>
        <v>0.30000000003838101</v>
      </c>
      <c r="F29" s="25">
        <f t="shared" si="47"/>
        <v>-3.0000000000427498</v>
      </c>
      <c r="G29" s="26">
        <f t="shared" si="48"/>
        <v>0.10000000001279399</v>
      </c>
      <c r="H29" s="6">
        <v>8.4908999999999999</v>
      </c>
      <c r="I29" s="35">
        <f t="shared" si="27"/>
        <v>798.44899999999996</v>
      </c>
      <c r="J29" s="24">
        <f t="shared" si="49"/>
        <v>0.40000000001327901</v>
      </c>
      <c r="K29" s="25">
        <f t="shared" si="50"/>
        <v>-3.3999999999423398</v>
      </c>
      <c r="L29" s="26">
        <f t="shared" si="51"/>
        <v>0.13333333333776001</v>
      </c>
      <c r="M29" s="6">
        <v>7.5570000000000004</v>
      </c>
      <c r="N29" s="35">
        <f t="shared" si="31"/>
        <v>797.51509999999996</v>
      </c>
      <c r="O29" s="24">
        <f t="shared" si="52"/>
        <v>9.9999999974897905E-2</v>
      </c>
      <c r="P29" s="25">
        <f t="shared" si="53"/>
        <v>-2.8999999999541601</v>
      </c>
      <c r="Q29" s="26">
        <f t="shared" si="54"/>
        <v>3.3333333324965998E-2</v>
      </c>
      <c r="R29" s="41"/>
      <c r="S29" s="21">
        <f t="shared" si="35"/>
        <v>44570</v>
      </c>
      <c r="T29" s="42">
        <v>10.3371</v>
      </c>
      <c r="U29" s="43">
        <f t="shared" si="55"/>
        <v>0.29999999999930099</v>
      </c>
      <c r="V29" s="44">
        <f t="shared" si="56"/>
        <v>-3.5000000000007199</v>
      </c>
      <c r="W29" s="45">
        <f t="shared" si="57"/>
        <v>-9.99999999997669E-2</v>
      </c>
      <c r="X29" s="29">
        <v>17.410499999999999</v>
      </c>
      <c r="Y29" s="43">
        <f t="shared" si="58"/>
        <v>0.19999999999953399</v>
      </c>
      <c r="Z29" s="44">
        <f t="shared" si="59"/>
        <v>-3.0999999999998802</v>
      </c>
      <c r="AA29" s="45">
        <f t="shared" si="60"/>
        <v>6.6666666666511304E-2</v>
      </c>
      <c r="AB29" s="49">
        <v>9.5172000000000008</v>
      </c>
      <c r="AC29" s="43">
        <f t="shared" si="61"/>
        <v>-0.19999999999953399</v>
      </c>
      <c r="AD29" s="44">
        <f t="shared" si="62"/>
        <v>-2.5999999999886101</v>
      </c>
      <c r="AE29" s="45">
        <f t="shared" si="63"/>
        <v>-6.6666666666511304E-2</v>
      </c>
      <c r="AF29" s="50">
        <v>79346</v>
      </c>
      <c r="AG29" s="58">
        <f t="shared" si="45"/>
        <v>121</v>
      </c>
      <c r="AH29" s="61"/>
      <c r="AI29" s="60"/>
      <c r="AJ29" s="61"/>
      <c r="AK29" s="62"/>
      <c r="AL29" s="60"/>
      <c r="AM29" s="64"/>
    </row>
    <row r="30" spans="1:39">
      <c r="A30" s="21">
        <v>44577</v>
      </c>
      <c r="B30" s="22">
        <v>789.95809999999994</v>
      </c>
      <c r="C30" s="27">
        <v>6.8594999999999997</v>
      </c>
      <c r="D30" s="23">
        <f t="shared" si="23"/>
        <v>796.81759999999997</v>
      </c>
      <c r="E30" s="24">
        <f t="shared" si="46"/>
        <v>-9.9999999974897905E-2</v>
      </c>
      <c r="F30" s="25">
        <f t="shared" si="47"/>
        <v>-3.1000000000176402</v>
      </c>
      <c r="G30" s="26">
        <f t="shared" si="48"/>
        <v>-1.42857142821283E-2</v>
      </c>
      <c r="H30" s="6">
        <v>8.4909999999999997</v>
      </c>
      <c r="I30" s="35">
        <f t="shared" si="27"/>
        <v>798.44910000000004</v>
      </c>
      <c r="J30" s="24">
        <f t="shared" si="49"/>
        <v>9.9999999974897905E-2</v>
      </c>
      <c r="K30" s="25">
        <f t="shared" si="50"/>
        <v>-3.2999999999674401</v>
      </c>
      <c r="L30" s="26">
        <f t="shared" si="51"/>
        <v>1.42857142821283E-2</v>
      </c>
      <c r="M30" s="6">
        <v>7.5568</v>
      </c>
      <c r="N30" s="35">
        <f t="shared" si="31"/>
        <v>797.51490000000001</v>
      </c>
      <c r="O30" s="24">
        <f t="shared" si="52"/>
        <v>-0.20000000006348301</v>
      </c>
      <c r="P30" s="25">
        <f t="shared" si="53"/>
        <v>-3.1000000000176402</v>
      </c>
      <c r="Q30" s="26">
        <f t="shared" si="54"/>
        <v>-2.85714285804975E-2</v>
      </c>
      <c r="R30" s="41"/>
      <c r="S30" s="21">
        <f t="shared" si="35"/>
        <v>44577</v>
      </c>
      <c r="T30" s="42">
        <v>10.337199999999999</v>
      </c>
      <c r="U30" s="43">
        <f t="shared" si="55"/>
        <v>9.99999999997669E-2</v>
      </c>
      <c r="V30" s="44">
        <f t="shared" si="56"/>
        <v>-3.40000000000096</v>
      </c>
      <c r="W30" s="45">
        <f t="shared" si="57"/>
        <v>-1.4285714285680999E-2</v>
      </c>
      <c r="X30" s="29">
        <v>17.410799999999998</v>
      </c>
      <c r="Y30" s="43">
        <f t="shared" si="58"/>
        <v>0.29999999999930099</v>
      </c>
      <c r="Z30" s="44">
        <f t="shared" si="59"/>
        <v>-2.8000000000005798</v>
      </c>
      <c r="AA30" s="45">
        <f t="shared" si="60"/>
        <v>4.2857142857043E-2</v>
      </c>
      <c r="AB30" s="49">
        <v>9.5170999999999992</v>
      </c>
      <c r="AC30" s="43">
        <f t="shared" si="61"/>
        <v>-0.10000000000154299</v>
      </c>
      <c r="AD30" s="44">
        <f t="shared" si="62"/>
        <v>-2.6999999999901498</v>
      </c>
      <c r="AE30" s="45">
        <f t="shared" si="63"/>
        <v>-1.42857142859348E-2</v>
      </c>
      <c r="AF30" s="50">
        <v>79351</v>
      </c>
      <c r="AG30" s="58">
        <f t="shared" si="45"/>
        <v>126</v>
      </c>
      <c r="AH30" s="61"/>
      <c r="AI30" s="60"/>
      <c r="AJ30" s="61"/>
      <c r="AK30" s="62"/>
      <c r="AL30" s="60"/>
      <c r="AM30" s="64"/>
    </row>
    <row r="31" spans="1:39">
      <c r="A31" s="21">
        <v>44584</v>
      </c>
      <c r="B31" s="22">
        <v>789.95809999999994</v>
      </c>
      <c r="C31" s="27">
        <v>6.8593000000000002</v>
      </c>
      <c r="D31" s="23">
        <f t="shared" si="23"/>
        <v>796.81740000000002</v>
      </c>
      <c r="E31" s="24">
        <f t="shared" ref="E31:E32" si="64">(D31-D30)*1000</f>
        <v>-0.20000000006348301</v>
      </c>
      <c r="F31" s="25">
        <f t="shared" ref="F31:F32" si="65">F30+E31</f>
        <v>-3.30000000008113</v>
      </c>
      <c r="G31" s="26">
        <f t="shared" ref="G31:G32" si="66">E31/(A31-A30)</f>
        <v>-2.85714285804975E-2</v>
      </c>
      <c r="H31" s="6">
        <v>8.4913000000000007</v>
      </c>
      <c r="I31" s="35">
        <f t="shared" si="27"/>
        <v>798.44939999999997</v>
      </c>
      <c r="J31" s="24">
        <f t="shared" ref="J31:J33" si="67">(I31-I30)*1000</f>
        <v>0.30000000003838101</v>
      </c>
      <c r="K31" s="25">
        <f t="shared" ref="K31:K33" si="68">K30+J31</f>
        <v>-2.9999999999290599</v>
      </c>
      <c r="L31" s="26">
        <f t="shared" ref="L31:L33" si="69">J31/(A31-A30)</f>
        <v>4.2857142862625798E-2</v>
      </c>
      <c r="M31" s="6">
        <v>7.5566000000000004</v>
      </c>
      <c r="N31" s="35">
        <f t="shared" si="31"/>
        <v>797.51469999999995</v>
      </c>
      <c r="O31" s="24">
        <f t="shared" ref="O31:O33" si="70">(N31-N30)*1000</f>
        <v>-0.199999999949796</v>
      </c>
      <c r="P31" s="25">
        <f t="shared" ref="P31:P33" si="71">P30+O31</f>
        <v>-3.2999999999674401</v>
      </c>
      <c r="Q31" s="26">
        <f t="shared" ref="Q31:Q33" si="72">O31/(A31-A30)</f>
        <v>-2.8571428564256599E-2</v>
      </c>
      <c r="R31" s="41"/>
      <c r="S31" s="21">
        <f t="shared" si="35"/>
        <v>44584</v>
      </c>
      <c r="T31" s="42">
        <v>10.337400000000001</v>
      </c>
      <c r="U31" s="43">
        <f t="shared" ref="U31:U33" si="73">(T31-T30)*1000</f>
        <v>0.20000000000130999</v>
      </c>
      <c r="V31" s="44">
        <f t="shared" ref="V31:V33" si="74">V30+U31</f>
        <v>-3.1999999999996498</v>
      </c>
      <c r="W31" s="45">
        <f t="shared" ref="W31:W33" si="75">U31/(S30-S31)</f>
        <v>-2.8571428571615699E-2</v>
      </c>
      <c r="X31" s="29">
        <v>17.410699999999999</v>
      </c>
      <c r="Y31" s="43">
        <f t="shared" ref="Y31:Y33" si="76">(X31-X30)*1000</f>
        <v>-9.99999999997669E-2</v>
      </c>
      <c r="Z31" s="44">
        <f t="shared" ref="Z31:Z33" si="77">Z30+Y31</f>
        <v>-2.9000000000003499</v>
      </c>
      <c r="AA31" s="45">
        <f t="shared" ref="AA31:AA33" si="78">Y31/(S31-S30)</f>
        <v>-1.4285714285680999E-2</v>
      </c>
      <c r="AB31" s="49">
        <v>9.5169999999999995</v>
      </c>
      <c r="AC31" s="43">
        <f t="shared" ref="AC31:AC33" si="79">(AB31-AB30)*1000</f>
        <v>-9.99999999997669E-2</v>
      </c>
      <c r="AD31" s="44">
        <f t="shared" ref="AD31:AD33" si="80">AD30+AC31</f>
        <v>-2.7999999999899199</v>
      </c>
      <c r="AE31" s="45">
        <f t="shared" ref="AE31:AE33" si="81">AC31/(S31-S30)</f>
        <v>-1.4285714285680999E-2</v>
      </c>
      <c r="AF31" s="50">
        <v>79360</v>
      </c>
      <c r="AG31" s="58">
        <f t="shared" si="45"/>
        <v>135</v>
      </c>
      <c r="AH31" s="61"/>
      <c r="AI31" s="60"/>
      <c r="AJ31" s="61"/>
      <c r="AK31" s="62"/>
      <c r="AL31" s="60"/>
      <c r="AM31" s="64"/>
    </row>
    <row r="32" spans="1:39">
      <c r="A32" s="21">
        <v>44597</v>
      </c>
      <c r="B32" s="22">
        <v>789.95809999999994</v>
      </c>
      <c r="C32" s="27">
        <v>6.8592000000000004</v>
      </c>
      <c r="D32" s="23">
        <f t="shared" si="23"/>
        <v>796.81730000000005</v>
      </c>
      <c r="E32" s="24">
        <f t="shared" si="64"/>
        <v>-9.9999999974897905E-2</v>
      </c>
      <c r="F32" s="25">
        <f t="shared" si="65"/>
        <v>-3.40000000005602</v>
      </c>
      <c r="G32" s="26">
        <f t="shared" si="66"/>
        <v>-7.6923076903767703E-3</v>
      </c>
      <c r="H32" s="6">
        <v>8.4909999999999997</v>
      </c>
      <c r="I32" s="35">
        <f t="shared" si="27"/>
        <v>798.44910000000004</v>
      </c>
      <c r="J32" s="24">
        <f t="shared" si="67"/>
        <v>-0.30000000003838101</v>
      </c>
      <c r="K32" s="25">
        <f t="shared" si="68"/>
        <v>-3.2999999999674401</v>
      </c>
      <c r="L32" s="26">
        <f t="shared" si="69"/>
        <v>-2.3076923079875401E-2</v>
      </c>
      <c r="M32" s="6">
        <v>7.5563000000000002</v>
      </c>
      <c r="N32" s="35">
        <f t="shared" si="31"/>
        <v>797.51440000000002</v>
      </c>
      <c r="O32" s="24">
        <f t="shared" si="70"/>
        <v>-0.30000000003838101</v>
      </c>
      <c r="P32" s="25">
        <f t="shared" si="71"/>
        <v>-3.6000000000058199</v>
      </c>
      <c r="Q32" s="26">
        <f t="shared" si="72"/>
        <v>-2.3076923079875401E-2</v>
      </c>
      <c r="R32" s="41"/>
      <c r="S32" s="21">
        <f t="shared" si="35"/>
        <v>44597</v>
      </c>
      <c r="T32" s="42">
        <v>10.3371</v>
      </c>
      <c r="U32" s="43">
        <f t="shared" si="73"/>
        <v>-0.30000000000107702</v>
      </c>
      <c r="V32" s="44">
        <f t="shared" si="74"/>
        <v>-3.5000000000007199</v>
      </c>
      <c r="W32" s="45">
        <f t="shared" si="75"/>
        <v>2.3076923077005901E-2</v>
      </c>
      <c r="X32" s="29">
        <v>17.410799999999998</v>
      </c>
      <c r="Y32" s="43">
        <f t="shared" si="76"/>
        <v>9.99999999997669E-2</v>
      </c>
      <c r="Z32" s="44">
        <f t="shared" si="77"/>
        <v>-2.8000000000005798</v>
      </c>
      <c r="AA32" s="45">
        <f t="shared" si="78"/>
        <v>7.69230769228976E-3</v>
      </c>
      <c r="AB32" s="49">
        <v>9.5167999999999999</v>
      </c>
      <c r="AC32" s="43">
        <f t="shared" si="79"/>
        <v>-0.19999999999953399</v>
      </c>
      <c r="AD32" s="44">
        <f t="shared" si="80"/>
        <v>-2.99999999998946</v>
      </c>
      <c r="AE32" s="45">
        <f t="shared" si="81"/>
        <v>-1.5384615384579499E-2</v>
      </c>
      <c r="AF32" s="50">
        <v>79383</v>
      </c>
      <c r="AG32" s="58">
        <f t="shared" si="45"/>
        <v>158</v>
      </c>
      <c r="AH32" s="61"/>
      <c r="AI32" s="60"/>
      <c r="AJ32" s="61"/>
      <c r="AK32" s="62"/>
      <c r="AL32" s="60"/>
      <c r="AM32" s="64"/>
    </row>
    <row r="33" spans="1:39" s="67" customFormat="1">
      <c r="A33" s="21">
        <v>44612</v>
      </c>
      <c r="B33" s="22">
        <v>789.95809999999994</v>
      </c>
      <c r="C33" s="27">
        <v>6.8593999999999999</v>
      </c>
      <c r="D33" s="23">
        <f t="shared" si="23"/>
        <v>796.8175</v>
      </c>
      <c r="E33" s="24">
        <f t="shared" ref="E33" si="82">(D33-D32)*1000</f>
        <v>0.20000000006348301</v>
      </c>
      <c r="F33" s="25">
        <f t="shared" ref="F33" si="83">F32+E33</f>
        <v>-3.1999999999925399</v>
      </c>
      <c r="G33" s="26">
        <f t="shared" ref="G33" si="84">E33/(A33-A32)</f>
        <v>1.3333333337565499E-2</v>
      </c>
      <c r="H33" s="6">
        <v>8.4910999999999994</v>
      </c>
      <c r="I33" s="35">
        <f t="shared" si="27"/>
        <v>798.44920000000002</v>
      </c>
      <c r="J33" s="24">
        <f t="shared" si="67"/>
        <v>9.9999999974897905E-2</v>
      </c>
      <c r="K33" s="25">
        <f t="shared" si="68"/>
        <v>-3.1999999999925399</v>
      </c>
      <c r="L33" s="26">
        <f t="shared" si="69"/>
        <v>6.6666666649932002E-3</v>
      </c>
      <c r="M33" s="6">
        <v>7.5566000000000004</v>
      </c>
      <c r="N33" s="35">
        <f t="shared" si="31"/>
        <v>797.51469999999995</v>
      </c>
      <c r="O33" s="24">
        <f t="shared" si="70"/>
        <v>0.30000000003838101</v>
      </c>
      <c r="P33" s="25">
        <f t="shared" si="71"/>
        <v>-3.2999999999674401</v>
      </c>
      <c r="Q33" s="26">
        <f t="shared" si="72"/>
        <v>2.00000000025587E-2</v>
      </c>
      <c r="R33" s="41"/>
      <c r="S33" s="21">
        <v>44612</v>
      </c>
      <c r="T33" s="42">
        <v>10.337300000000001</v>
      </c>
      <c r="U33" s="43">
        <f t="shared" si="73"/>
        <v>0.20000000000130999</v>
      </c>
      <c r="V33" s="44">
        <f t="shared" si="74"/>
        <v>-3.2999999999994101</v>
      </c>
      <c r="W33" s="45">
        <f t="shared" si="75"/>
        <v>-1.33333333334207E-2</v>
      </c>
      <c r="X33" s="29">
        <v>17.411000000000001</v>
      </c>
      <c r="Y33" s="43">
        <f t="shared" si="76"/>
        <v>0.20000000000308699</v>
      </c>
      <c r="Z33" s="44">
        <f t="shared" si="77"/>
        <v>-2.5999999999974901</v>
      </c>
      <c r="AA33" s="45">
        <f t="shared" si="78"/>
        <v>1.33333333335391E-2</v>
      </c>
      <c r="AB33" s="49">
        <v>9.5168999999999997</v>
      </c>
      <c r="AC33" s="43">
        <f t="shared" si="79"/>
        <v>9.99999999997669E-2</v>
      </c>
      <c r="AD33" s="44">
        <f t="shared" si="80"/>
        <v>-2.8999999999896899</v>
      </c>
      <c r="AE33" s="45">
        <f t="shared" si="81"/>
        <v>6.66666666665113E-3</v>
      </c>
      <c r="AF33" s="50">
        <v>79396</v>
      </c>
      <c r="AG33" s="58">
        <f t="shared" si="45"/>
        <v>171</v>
      </c>
      <c r="AH33" s="61"/>
      <c r="AI33" s="60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65">
        <f>F33-F30</f>
        <v>-9.9999999974897905E-2</v>
      </c>
      <c r="F35" s="33">
        <f>K33-K30</f>
        <v>9.9999999974897905E-2</v>
      </c>
      <c r="G35" s="33">
        <f>P33-P30</f>
        <v>-0.199999999949796</v>
      </c>
      <c r="H35" s="68">
        <f>F33</f>
        <v>-3.1999999999925399</v>
      </c>
      <c r="I35" s="69">
        <f>K33</f>
        <v>-3.1999999999925399</v>
      </c>
      <c r="J35" s="65">
        <f>P33</f>
        <v>-3.2999999999674401</v>
      </c>
      <c r="K35" s="33">
        <f>(P33-P30)/30</f>
        <v>-6.6666666649932002E-3</v>
      </c>
      <c r="L35" s="26"/>
      <c r="N35" s="35"/>
      <c r="O35" s="24"/>
      <c r="P35" s="25"/>
      <c r="Q35" s="26"/>
      <c r="R35" s="41"/>
      <c r="S35" s="21"/>
      <c r="T35" s="42"/>
      <c r="U35" s="65">
        <f>V33-V30</f>
        <v>0.10000000000154299</v>
      </c>
      <c r="V35" s="33">
        <f>Z33-Z30</f>
        <v>0.20000000000308699</v>
      </c>
      <c r="W35" s="33">
        <f>AD33-AD30</f>
        <v>-0.19999999999953399</v>
      </c>
      <c r="X35" s="33">
        <f>V33</f>
        <v>-3.2999999999994101</v>
      </c>
      <c r="Y35" s="65">
        <f>Z33</f>
        <v>-2.5999999999974901</v>
      </c>
      <c r="Z35" s="33">
        <f>AD33</f>
        <v>-2.8999999999896899</v>
      </c>
      <c r="AA35" s="33">
        <f>(AD33-AD30)/30</f>
        <v>-6.66666666665113E-3</v>
      </c>
      <c r="AB35" s="49"/>
      <c r="AC35" s="43"/>
      <c r="AD35" s="44"/>
      <c r="AE35" s="45"/>
      <c r="AF35" s="50"/>
      <c r="AG35" s="58"/>
      <c r="AH35" s="61"/>
      <c r="AI35" s="60"/>
      <c r="AJ35"/>
      <c r="AK35"/>
      <c r="AL35"/>
      <c r="AM35"/>
    </row>
    <row r="36" spans="1:39">
      <c r="A36" s="21"/>
      <c r="B36" s="22"/>
      <c r="C36" s="27"/>
      <c r="D36" s="23"/>
      <c r="E36" s="24"/>
      <c r="F36" s="25"/>
      <c r="G36" s="26"/>
      <c r="I36" s="35"/>
      <c r="J36" s="24"/>
      <c r="K36" s="25"/>
      <c r="L36" s="26"/>
      <c r="N36" s="35"/>
      <c r="O36" s="24"/>
      <c r="P36" s="25"/>
      <c r="Q36" s="26"/>
      <c r="R36" s="41"/>
      <c r="S36" s="21"/>
      <c r="T36" s="42"/>
      <c r="U36" s="43"/>
      <c r="V36" s="44"/>
      <c r="W36" s="45"/>
      <c r="X36" s="29"/>
      <c r="Y36" s="43"/>
      <c r="Z36" s="44"/>
      <c r="AA36" s="45"/>
      <c r="AB36" s="49"/>
      <c r="AC36" s="43"/>
      <c r="AD36" s="44"/>
      <c r="AE36" s="45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21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61"/>
      <c r="AI37" s="60"/>
      <c r="AJ37" s="61"/>
      <c r="AK37" s="62"/>
      <c r="AL37" s="60"/>
      <c r="AM37" s="64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47"/>
      <c r="Y41" s="24"/>
      <c r="Z41" s="25"/>
      <c r="AA41" s="26"/>
      <c r="AB41" s="47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2"/>
      <c r="U43" s="24"/>
      <c r="V43" s="25"/>
      <c r="W43" s="26"/>
      <c r="X43" s="29"/>
      <c r="Y43" s="24"/>
      <c r="Z43" s="25"/>
      <c r="AA43" s="26"/>
      <c r="AB43" s="29"/>
      <c r="AC43" s="24"/>
      <c r="AD43" s="25"/>
      <c r="AE43" s="26"/>
      <c r="AF43" s="26"/>
      <c r="AG43" s="26"/>
      <c r="AH43" s="51"/>
    </row>
    <row r="44" spans="1:39">
      <c r="A44" s="31"/>
      <c r="B44" s="30"/>
      <c r="C44" s="32"/>
      <c r="E44" s="24"/>
      <c r="F44" s="25"/>
      <c r="G44" s="26"/>
      <c r="H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0"/>
      <c r="C45" s="32"/>
      <c r="D45" s="32"/>
      <c r="E45" s="24"/>
      <c r="F45" s="25"/>
      <c r="G45" s="26"/>
      <c r="H45" s="29"/>
      <c r="I45" s="29"/>
      <c r="J45" s="24"/>
      <c r="K45" s="25"/>
      <c r="L45" s="26"/>
      <c r="M45" s="29"/>
      <c r="O45" s="24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  <row r="57" spans="1:34">
      <c r="A57" s="31"/>
      <c r="C57" s="32"/>
      <c r="H57" s="29"/>
      <c r="M57" s="29"/>
      <c r="R57" s="41"/>
      <c r="AH57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8"/>
  <sheetViews>
    <sheetView topLeftCell="A16" workbookViewId="0">
      <selection activeCell="E35" sqref="E35:K3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44546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44546</v>
      </c>
      <c r="B6" s="22">
        <v>789.95809999999994</v>
      </c>
      <c r="C6" s="27">
        <v>6.4385000000000003</v>
      </c>
      <c r="D6" s="23">
        <f>C6+B6</f>
        <v>796.39660000000003</v>
      </c>
      <c r="E6" s="24">
        <v>0</v>
      </c>
      <c r="F6" s="25">
        <v>0</v>
      </c>
      <c r="G6" s="26">
        <v>0</v>
      </c>
      <c r="H6" s="6">
        <v>8.3932000000000002</v>
      </c>
      <c r="I6" s="35">
        <f>H6+B6</f>
        <v>798.35130000000004</v>
      </c>
      <c r="J6" s="24">
        <v>0</v>
      </c>
      <c r="K6" s="25">
        <v>0</v>
      </c>
      <c r="L6" s="26">
        <v>0</v>
      </c>
      <c r="M6" s="6">
        <v>7.5345000000000004</v>
      </c>
      <c r="N6" s="35">
        <f>M6+B6</f>
        <v>797.49260000000004</v>
      </c>
      <c r="O6" s="24">
        <v>0</v>
      </c>
      <c r="P6" s="25">
        <v>0</v>
      </c>
      <c r="Q6" s="26">
        <v>0</v>
      </c>
      <c r="R6" s="41"/>
      <c r="S6" s="21">
        <f>A6</f>
        <v>44546</v>
      </c>
      <c r="T6" s="42">
        <v>10.2585</v>
      </c>
      <c r="U6" s="43">
        <v>0</v>
      </c>
      <c r="V6" s="44">
        <v>0</v>
      </c>
      <c r="W6" s="45">
        <f>U6/(S6-S11)</f>
        <v>0</v>
      </c>
      <c r="X6" s="29">
        <v>17.2315</v>
      </c>
      <c r="Y6" s="43">
        <v>0</v>
      </c>
      <c r="Z6" s="44">
        <v>0</v>
      </c>
      <c r="AA6" s="45">
        <v>0</v>
      </c>
      <c r="AB6" s="49">
        <v>11.324199999999999</v>
      </c>
      <c r="AC6" s="43">
        <v>0</v>
      </c>
      <c r="AD6" s="44">
        <v>0</v>
      </c>
      <c r="AE6" s="45">
        <v>0</v>
      </c>
      <c r="AF6" s="50">
        <v>79260</v>
      </c>
      <c r="AG6" s="58">
        <f>AF6-79251</f>
        <v>9</v>
      </c>
      <c r="AH6" s="59"/>
      <c r="AI6" s="60"/>
      <c r="AJ6" s="61"/>
      <c r="AK6" s="62"/>
      <c r="AL6" s="52"/>
      <c r="AM6" s="52"/>
    </row>
    <row r="7" spans="1:39">
      <c r="A7" s="21">
        <v>44547</v>
      </c>
      <c r="B7" s="22">
        <v>789.95809999999994</v>
      </c>
      <c r="C7" s="27">
        <v>6.4379999999999997</v>
      </c>
      <c r="D7" s="23">
        <f>C7+B7</f>
        <v>796.39610000000005</v>
      </c>
      <c r="E7" s="24">
        <f>(D7-D6)*1000</f>
        <v>-0.49999999998817701</v>
      </c>
      <c r="F7" s="25">
        <f>F6+E7</f>
        <v>-0.49999999998817701</v>
      </c>
      <c r="G7" s="26">
        <f>E7/(A7-A6)</f>
        <v>-0.49999999998817701</v>
      </c>
      <c r="H7" s="6">
        <v>8.3934999999999995</v>
      </c>
      <c r="I7" s="35">
        <f>H7+B7</f>
        <v>798.35159999999996</v>
      </c>
      <c r="J7" s="24">
        <f>(I7-I6)*1000</f>
        <v>0.30000000003838101</v>
      </c>
      <c r="K7" s="25">
        <f>K6+J7</f>
        <v>0.30000000003838101</v>
      </c>
      <c r="L7" s="26">
        <f>J7/(A7-A6)</f>
        <v>0.30000000003838101</v>
      </c>
      <c r="M7" s="6">
        <v>7.5339999999999998</v>
      </c>
      <c r="N7" s="35">
        <f>M7+B7</f>
        <v>797.49210000000005</v>
      </c>
      <c r="O7" s="24">
        <f>(N7-N6)*1000</f>
        <v>-0.49999999998817701</v>
      </c>
      <c r="P7" s="25">
        <f>P6+O7</f>
        <v>-0.49999999998817701</v>
      </c>
      <c r="Q7" s="26">
        <f>O7/(A7-A6)</f>
        <v>-0.49999999998817701</v>
      </c>
      <c r="R7" s="41"/>
      <c r="S7" s="21">
        <f>A7</f>
        <v>44547</v>
      </c>
      <c r="T7" s="42">
        <v>10.2583</v>
      </c>
      <c r="U7" s="43">
        <f>(T7-T6)*1000</f>
        <v>-0.19999999999953399</v>
      </c>
      <c r="V7" s="44">
        <f>V6+U7</f>
        <v>-0.19999999999953399</v>
      </c>
      <c r="W7" s="45">
        <f>U7/(S6-S7)</f>
        <v>0.19999999999953399</v>
      </c>
      <c r="X7" s="29">
        <v>17.231400000000001</v>
      </c>
      <c r="Y7" s="43">
        <f>(X7-X6)*1000</f>
        <v>-9.99999999997669E-2</v>
      </c>
      <c r="Z7" s="44">
        <f>Z6+Y7</f>
        <v>-9.99999999997669E-2</v>
      </c>
      <c r="AA7" s="45">
        <f>Y7/(S7-S6)</f>
        <v>-9.99999999997669E-2</v>
      </c>
      <c r="AB7" s="49">
        <v>11.324</v>
      </c>
      <c r="AC7" s="43">
        <f>(AB7-AB6)*1000</f>
        <v>-0.19999999999953399</v>
      </c>
      <c r="AD7" s="44">
        <f>AD6+AC7</f>
        <v>-0.19999999999953399</v>
      </c>
      <c r="AE7" s="45">
        <f>AC7/(S7-S6)</f>
        <v>-0.19999999999953399</v>
      </c>
      <c r="AF7" s="50">
        <v>79263</v>
      </c>
      <c r="AG7" s="58">
        <f t="shared" ref="AG7:AG33" si="0">AF7-79251</f>
        <v>12</v>
      </c>
      <c r="AH7" s="59"/>
      <c r="AI7" s="60"/>
      <c r="AJ7" s="61"/>
      <c r="AK7" s="62"/>
      <c r="AL7" s="52"/>
      <c r="AM7" s="52"/>
    </row>
    <row r="8" spans="1:39">
      <c r="A8" s="21">
        <v>44548</v>
      </c>
      <c r="B8" s="22">
        <v>789.95809999999994</v>
      </c>
      <c r="C8" s="27">
        <v>6.4381000000000004</v>
      </c>
      <c r="D8" s="23">
        <f>C8+B8</f>
        <v>796.39620000000002</v>
      </c>
      <c r="E8" s="24">
        <f>(D8-D7)*1000</f>
        <v>9.9999999974897905E-2</v>
      </c>
      <c r="F8" s="25">
        <f>F7+E8</f>
        <v>-0.40000000001327901</v>
      </c>
      <c r="G8" s="26">
        <f>E8/(A8-A7)</f>
        <v>9.9999999974897905E-2</v>
      </c>
      <c r="H8" s="6">
        <v>8.3930000000000007</v>
      </c>
      <c r="I8" s="35">
        <f>H8+B8</f>
        <v>798.35109999999997</v>
      </c>
      <c r="J8" s="24">
        <f>(I8-I7)*1000</f>
        <v>-0.49999999998817701</v>
      </c>
      <c r="K8" s="25">
        <f>K7+J8</f>
        <v>-0.199999999949796</v>
      </c>
      <c r="L8" s="26">
        <f>J8/(A8-A7)</f>
        <v>-0.49999999998817701</v>
      </c>
      <c r="M8" s="6">
        <v>7.5338000000000003</v>
      </c>
      <c r="N8" s="35">
        <f>M8+B8</f>
        <v>797.49189999999999</v>
      </c>
      <c r="O8" s="24">
        <f>(N8-N7)*1000</f>
        <v>-0.199999999949796</v>
      </c>
      <c r="P8" s="25">
        <f>P7+O8</f>
        <v>-0.69999999993797202</v>
      </c>
      <c r="Q8" s="26">
        <f>O8/(A8-A7)</f>
        <v>-0.199999999949796</v>
      </c>
      <c r="R8" s="41"/>
      <c r="S8" s="21">
        <f>A8</f>
        <v>44548</v>
      </c>
      <c r="T8" s="42">
        <v>10.258900000000001</v>
      </c>
      <c r="U8" s="43">
        <f>(T8-T7)*1000</f>
        <v>0.60000000000037801</v>
      </c>
      <c r="V8" s="44">
        <f>V7+U8</f>
        <v>0.40000000000084401</v>
      </c>
      <c r="W8" s="45">
        <f>U8/(S7-S8)</f>
        <v>-0.60000000000037801</v>
      </c>
      <c r="X8" s="29">
        <v>17.231300000000001</v>
      </c>
      <c r="Y8" s="43">
        <f>(X8-X7)*1000</f>
        <v>-9.99999999997669E-2</v>
      </c>
      <c r="Z8" s="44">
        <f>Z7+Y8</f>
        <v>-0.19999999999953399</v>
      </c>
      <c r="AA8" s="45">
        <f>Y8/(S8-S7)</f>
        <v>-9.99999999997669E-2</v>
      </c>
      <c r="AB8" s="49">
        <v>11.3248</v>
      </c>
      <c r="AC8" s="43">
        <f>(AB8-AB7)*1000</f>
        <v>0.799999999999912</v>
      </c>
      <c r="AD8" s="44">
        <f>AD7+AC8</f>
        <v>0.60000000000037801</v>
      </c>
      <c r="AE8" s="45">
        <f>AC8/(S8-S7)</f>
        <v>0.799999999999912</v>
      </c>
      <c r="AF8" s="50">
        <v>79266</v>
      </c>
      <c r="AG8" s="58">
        <f t="shared" si="0"/>
        <v>15</v>
      </c>
      <c r="AH8" s="59"/>
      <c r="AI8" s="60"/>
      <c r="AJ8" s="61"/>
      <c r="AK8" s="62"/>
      <c r="AL8" s="52"/>
      <c r="AM8" s="52"/>
    </row>
    <row r="9" spans="1:39">
      <c r="A9" s="21">
        <v>44549</v>
      </c>
      <c r="B9" s="22">
        <v>789.95809999999994</v>
      </c>
      <c r="C9" s="27">
        <v>6.4378000000000002</v>
      </c>
      <c r="D9" s="23">
        <f>C9+B9</f>
        <v>796.39589999999998</v>
      </c>
      <c r="E9" s="24">
        <f>(D9-D8)*1000</f>
        <v>-0.29999999992469401</v>
      </c>
      <c r="F9" s="25">
        <f>F8+E9</f>
        <v>-0.69999999993797202</v>
      </c>
      <c r="G9" s="26">
        <f>E9/(A9-A8)</f>
        <v>-0.29999999992469401</v>
      </c>
      <c r="H9" s="6">
        <v>8.3927999999999994</v>
      </c>
      <c r="I9" s="35">
        <f>H9+B9</f>
        <v>798.35090000000002</v>
      </c>
      <c r="J9" s="24">
        <f>(I9-I8)*1000</f>
        <v>-0.20000000006348301</v>
      </c>
      <c r="K9" s="25">
        <f>K8+J9</f>
        <v>-0.40000000001327901</v>
      </c>
      <c r="L9" s="26">
        <f>J9/(A9-A8)</f>
        <v>-0.20000000006348301</v>
      </c>
      <c r="M9" s="6">
        <v>7.5330000000000004</v>
      </c>
      <c r="N9" s="35">
        <f>M9+B9</f>
        <v>797.49109999999996</v>
      </c>
      <c r="O9" s="24">
        <f>(N9-N8)*1000</f>
        <v>-0.80000000002655702</v>
      </c>
      <c r="P9" s="25">
        <f>P8+O9</f>
        <v>-1.4999999999645299</v>
      </c>
      <c r="Q9" s="26">
        <f>O9/(A9-A8)</f>
        <v>-0.80000000002655702</v>
      </c>
      <c r="R9" s="41"/>
      <c r="S9" s="21">
        <f>A9</f>
        <v>44549</v>
      </c>
      <c r="T9" s="42">
        <v>10.257899999999999</v>
      </c>
      <c r="U9" s="43">
        <f>(T9-T8)*1000</f>
        <v>-1.0000000000012199</v>
      </c>
      <c r="V9" s="44">
        <f>V8+U9</f>
        <v>-0.60000000000037801</v>
      </c>
      <c r="W9" s="45">
        <f>U9/(S8-S9)</f>
        <v>1.0000000000012199</v>
      </c>
      <c r="X9" s="29">
        <v>17.231200000000001</v>
      </c>
      <c r="Y9" s="43">
        <f>(X9-X8)*1000</f>
        <v>-9.99999999997669E-2</v>
      </c>
      <c r="Z9" s="44">
        <f>Z8+Y9</f>
        <v>-0.29999999999930099</v>
      </c>
      <c r="AA9" s="45">
        <f>Y9/(S9-S8)</f>
        <v>-9.99999999997669E-2</v>
      </c>
      <c r="AB9" s="49">
        <v>11.324199999999999</v>
      </c>
      <c r="AC9" s="43">
        <f>(AB9-AB8)*1000</f>
        <v>-0.60000000000037801</v>
      </c>
      <c r="AD9" s="44">
        <f>AD8+AC9</f>
        <v>0</v>
      </c>
      <c r="AE9" s="45">
        <f>AC9/(S9-S8)</f>
        <v>-0.60000000000037801</v>
      </c>
      <c r="AF9" s="50">
        <v>79269</v>
      </c>
      <c r="AG9" s="58">
        <f t="shared" si="0"/>
        <v>18</v>
      </c>
      <c r="AH9" s="59"/>
      <c r="AI9" s="60"/>
      <c r="AJ9" s="61"/>
      <c r="AK9" s="62"/>
      <c r="AL9" s="52"/>
      <c r="AM9" s="52"/>
    </row>
    <row r="10" spans="1:39">
      <c r="A10" s="21">
        <v>44550</v>
      </c>
      <c r="B10" s="22">
        <v>789.95809999999994</v>
      </c>
      <c r="C10" s="27">
        <v>6.4375999999999998</v>
      </c>
      <c r="D10" s="23">
        <f>C10+B10</f>
        <v>796.39570000000003</v>
      </c>
      <c r="E10" s="24">
        <f>(D10-D9)*1000</f>
        <v>-0.20000000006348301</v>
      </c>
      <c r="F10" s="25">
        <f>F9+E10</f>
        <v>-0.90000000000145497</v>
      </c>
      <c r="G10" s="26">
        <f>E10/(A10-A9)</f>
        <v>-0.20000000006348301</v>
      </c>
      <c r="H10" s="6">
        <v>8.3925000000000001</v>
      </c>
      <c r="I10" s="35">
        <f>H10+B10</f>
        <v>798.35059999999999</v>
      </c>
      <c r="J10" s="24">
        <f>(I10-I9)*1000</f>
        <v>-0.29999999992469401</v>
      </c>
      <c r="K10" s="25">
        <f>K9+J10</f>
        <v>-0.69999999993797202</v>
      </c>
      <c r="L10" s="26">
        <f>J10/(A10-A9)</f>
        <v>-0.29999999992469401</v>
      </c>
      <c r="M10" s="6">
        <v>7.5331999999999999</v>
      </c>
      <c r="N10" s="35">
        <f>M10+B10</f>
        <v>797.49130000000002</v>
      </c>
      <c r="O10" s="24">
        <f>(N10-N9)*1000</f>
        <v>0.199999999949796</v>
      </c>
      <c r="P10" s="25">
        <f>P9+O10</f>
        <v>-1.30000000001473</v>
      </c>
      <c r="Q10" s="26">
        <f>O10/(A10-A9)</f>
        <v>0.199999999949796</v>
      </c>
      <c r="R10" s="41"/>
      <c r="S10" s="21">
        <f>A10</f>
        <v>44550</v>
      </c>
      <c r="T10" s="42">
        <v>10.2577</v>
      </c>
      <c r="U10" s="43">
        <f>(T10-T9)*1000</f>
        <v>-0.19999999999953399</v>
      </c>
      <c r="V10" s="44">
        <f>V9+U10</f>
        <v>-0.799999999999912</v>
      </c>
      <c r="W10" s="45">
        <f>U10/(S9-S10)</f>
        <v>0.19999999999953399</v>
      </c>
      <c r="X10" s="29">
        <v>17.231000000000002</v>
      </c>
      <c r="Y10" s="43">
        <f>(X10-X9)*1000</f>
        <v>-0.19999999999953399</v>
      </c>
      <c r="Z10" s="44">
        <f>Z9+Y10</f>
        <v>-0.49999999999883499</v>
      </c>
      <c r="AA10" s="45">
        <f>Y10/(S10-S9)</f>
        <v>-0.19999999999953399</v>
      </c>
      <c r="AB10" s="49">
        <v>11.3241</v>
      </c>
      <c r="AC10" s="43">
        <f>(AB10-AB9)*1000</f>
        <v>-9.99999999997669E-2</v>
      </c>
      <c r="AD10" s="44">
        <f>AD9+AC10</f>
        <v>-9.99999999997669E-2</v>
      </c>
      <c r="AE10" s="45">
        <f>AC10/(S10-S9)</f>
        <v>-9.99999999997669E-2</v>
      </c>
      <c r="AF10" s="50">
        <v>79272</v>
      </c>
      <c r="AG10" s="58">
        <f t="shared" si="0"/>
        <v>21</v>
      </c>
      <c r="AH10" s="59"/>
      <c r="AI10" s="60"/>
      <c r="AJ10" s="61"/>
      <c r="AK10" s="62"/>
      <c r="AL10" s="52"/>
      <c r="AM10" s="52"/>
    </row>
    <row r="11" spans="1:39">
      <c r="A11" s="21">
        <v>44551</v>
      </c>
      <c r="B11" s="22">
        <v>789.95809999999994</v>
      </c>
      <c r="C11" s="27">
        <v>6.4377000000000004</v>
      </c>
      <c r="D11" s="23">
        <f t="shared" ref="D11:D33" si="1">C11+B11</f>
        <v>796.39580000000001</v>
      </c>
      <c r="E11" s="24">
        <f t="shared" ref="E11:E25" si="2">(D11-D10)*1000</f>
        <v>9.9999999974897905E-2</v>
      </c>
      <c r="F11" s="25">
        <f t="shared" ref="F11:F25" si="3">F10+E11</f>
        <v>-0.80000000002655702</v>
      </c>
      <c r="G11" s="26">
        <f t="shared" ref="G11:G25" si="4">E11/(A11-A10)</f>
        <v>9.9999999974897905E-2</v>
      </c>
      <c r="H11" s="6">
        <v>8.3922000000000008</v>
      </c>
      <c r="I11" s="35">
        <f t="shared" ref="I11:I33" si="5">H11+B11</f>
        <v>798.35029999999995</v>
      </c>
      <c r="J11" s="24">
        <f t="shared" ref="J11:J25" si="6">(I11-I10)*1000</f>
        <v>-0.30000000003838101</v>
      </c>
      <c r="K11" s="25">
        <f t="shared" ref="K11:K25" si="7">K10+J11</f>
        <v>-0.99999999997635303</v>
      </c>
      <c r="L11" s="26">
        <f t="shared" ref="L11:L25" si="8">J11/(A11-A10)</f>
        <v>-0.30000000003838101</v>
      </c>
      <c r="M11" s="6">
        <v>7.5334000000000003</v>
      </c>
      <c r="N11" s="35">
        <f t="shared" ref="N11:N33" si="9">M11+B11</f>
        <v>797.49149999999997</v>
      </c>
      <c r="O11" s="24">
        <f t="shared" ref="O11:O25" si="10">(N11-N10)*1000</f>
        <v>0.20000000006348301</v>
      </c>
      <c r="P11" s="25">
        <f t="shared" ref="P11:P25" si="11">P10+O11</f>
        <v>-1.09999999995125</v>
      </c>
      <c r="Q11" s="26">
        <f t="shared" ref="Q11:Q25" si="12">O11/(A11-A10)</f>
        <v>0.20000000006348301</v>
      </c>
      <c r="R11" s="41"/>
      <c r="S11" s="21">
        <f t="shared" ref="S11:S32" si="13">A11</f>
        <v>44551</v>
      </c>
      <c r="T11" s="42">
        <v>10.257300000000001</v>
      </c>
      <c r="U11" s="43">
        <f t="shared" ref="U11:U25" si="14">(T11-T10)*1000</f>
        <v>-0.39999999999906799</v>
      </c>
      <c r="V11" s="44">
        <f t="shared" ref="V11:V25" si="15">V10+U11</f>
        <v>-1.1999999999989801</v>
      </c>
      <c r="W11" s="45">
        <f t="shared" ref="W11:W25" si="16">U11/(S10-S11)</f>
        <v>0.39999999999906799</v>
      </c>
      <c r="X11" s="29">
        <v>17.230499999999999</v>
      </c>
      <c r="Y11" s="43">
        <f t="shared" ref="Y11:Y25" si="17">(X11-X10)*1000</f>
        <v>-0.50000000000238698</v>
      </c>
      <c r="Z11" s="44">
        <f t="shared" ref="Z11:Z25" si="18">Z10+Y11</f>
        <v>-1.0000000000012199</v>
      </c>
      <c r="AA11" s="45">
        <f t="shared" ref="AA11:AA25" si="19">Y11/(S11-S10)</f>
        <v>-0.50000000000238698</v>
      </c>
      <c r="AB11" s="49">
        <v>11.324</v>
      </c>
      <c r="AC11" s="43">
        <f t="shared" ref="AC11:AC25" si="20">(AB11-AB10)*1000</f>
        <v>-9.99999999997669E-2</v>
      </c>
      <c r="AD11" s="44">
        <f t="shared" ref="AD11:AD25" si="21">AD10+AC11</f>
        <v>-0.19999999999953399</v>
      </c>
      <c r="AE11" s="45">
        <f t="shared" ref="AE11:AE25" si="22">AC11/(S11-S10)</f>
        <v>-9.99999999997669E-2</v>
      </c>
      <c r="AF11" s="50">
        <v>79275</v>
      </c>
      <c r="AG11" s="58">
        <f t="shared" si="0"/>
        <v>24</v>
      </c>
      <c r="AH11" s="61"/>
      <c r="AI11" s="60"/>
      <c r="AJ11" s="52"/>
      <c r="AK11" s="52"/>
      <c r="AL11" s="52"/>
      <c r="AM11" s="52"/>
    </row>
    <row r="12" spans="1:39">
      <c r="A12" s="21">
        <v>44552</v>
      </c>
      <c r="B12" s="22">
        <v>789.95809999999994</v>
      </c>
      <c r="C12" s="27">
        <v>6.4371999999999998</v>
      </c>
      <c r="D12" s="23">
        <f t="shared" si="1"/>
        <v>796.39530000000002</v>
      </c>
      <c r="E12" s="24">
        <f t="shared" si="2"/>
        <v>-0.49999999998817701</v>
      </c>
      <c r="F12" s="25">
        <f t="shared" si="3"/>
        <v>-1.30000000001473</v>
      </c>
      <c r="G12" s="26">
        <f t="shared" si="4"/>
        <v>-0.49999999998817701</v>
      </c>
      <c r="H12" s="6">
        <v>8.3920999999999992</v>
      </c>
      <c r="I12" s="35">
        <f t="shared" si="5"/>
        <v>798.35019999999997</v>
      </c>
      <c r="J12" s="24">
        <f t="shared" si="6"/>
        <v>-9.9999999974897905E-2</v>
      </c>
      <c r="K12" s="25">
        <f t="shared" si="7"/>
        <v>-1.09999999995125</v>
      </c>
      <c r="L12" s="26">
        <f t="shared" si="8"/>
        <v>-9.9999999974897905E-2</v>
      </c>
      <c r="M12" s="6">
        <v>7.5331999999999999</v>
      </c>
      <c r="N12" s="35">
        <f t="shared" si="9"/>
        <v>797.49130000000002</v>
      </c>
      <c r="O12" s="24">
        <f t="shared" si="10"/>
        <v>-0.20000000006348301</v>
      </c>
      <c r="P12" s="25">
        <f t="shared" si="11"/>
        <v>-1.30000000001473</v>
      </c>
      <c r="Q12" s="26">
        <f t="shared" si="12"/>
        <v>-0.20000000006348301</v>
      </c>
      <c r="R12" s="41"/>
      <c r="S12" s="21">
        <f t="shared" si="13"/>
        <v>44552</v>
      </c>
      <c r="T12" s="42">
        <v>10.257300000000001</v>
      </c>
      <c r="U12" s="43">
        <f t="shared" si="14"/>
        <v>0</v>
      </c>
      <c r="V12" s="44">
        <f t="shared" si="15"/>
        <v>-1.1999999999989801</v>
      </c>
      <c r="W12" s="45">
        <f t="shared" si="16"/>
        <v>0</v>
      </c>
      <c r="X12" s="29">
        <v>17.230599999999999</v>
      </c>
      <c r="Y12" s="43">
        <f t="shared" si="17"/>
        <v>9.99999999997669E-2</v>
      </c>
      <c r="Z12" s="44">
        <f t="shared" si="18"/>
        <v>-0.90000000000145497</v>
      </c>
      <c r="AA12" s="45">
        <f t="shared" si="19"/>
        <v>9.99999999997669E-2</v>
      </c>
      <c r="AB12" s="49">
        <v>11.3239</v>
      </c>
      <c r="AC12" s="43">
        <f t="shared" si="20"/>
        <v>-9.99999999997669E-2</v>
      </c>
      <c r="AD12" s="44">
        <f t="shared" si="21"/>
        <v>-0.29999999999930099</v>
      </c>
      <c r="AE12" s="45">
        <f t="shared" si="22"/>
        <v>-9.99999999997669E-2</v>
      </c>
      <c r="AF12" s="50">
        <v>79278</v>
      </c>
      <c r="AG12" s="58">
        <f t="shared" si="0"/>
        <v>27</v>
      </c>
      <c r="AH12" s="61"/>
      <c r="AI12" s="60"/>
      <c r="AJ12"/>
      <c r="AK12"/>
      <c r="AL12"/>
      <c r="AM12"/>
    </row>
    <row r="13" spans="1:39">
      <c r="A13" s="21">
        <v>44553</v>
      </c>
      <c r="B13" s="22">
        <v>789.95809999999994</v>
      </c>
      <c r="C13" s="27">
        <v>6.4370000000000003</v>
      </c>
      <c r="D13" s="23">
        <f t="shared" si="1"/>
        <v>796.39509999999996</v>
      </c>
      <c r="E13" s="24">
        <f t="shared" si="2"/>
        <v>-0.199999999949796</v>
      </c>
      <c r="F13" s="25">
        <f t="shared" si="3"/>
        <v>-1.4999999999645299</v>
      </c>
      <c r="G13" s="26">
        <f t="shared" si="4"/>
        <v>-0.199999999949796</v>
      </c>
      <c r="H13" s="6">
        <v>8.3918999999999997</v>
      </c>
      <c r="I13" s="35">
        <f t="shared" si="5"/>
        <v>798.35</v>
      </c>
      <c r="J13" s="24">
        <f t="shared" si="6"/>
        <v>-0.20000000006348301</v>
      </c>
      <c r="K13" s="25">
        <f t="shared" si="7"/>
        <v>-1.30000000001473</v>
      </c>
      <c r="L13" s="26">
        <f t="shared" si="8"/>
        <v>-0.20000000006348301</v>
      </c>
      <c r="M13" s="6">
        <v>7.5330000000000004</v>
      </c>
      <c r="N13" s="35">
        <f t="shared" si="9"/>
        <v>797.49109999999996</v>
      </c>
      <c r="O13" s="24">
        <f t="shared" si="10"/>
        <v>-0.199999999949796</v>
      </c>
      <c r="P13" s="25">
        <f t="shared" si="11"/>
        <v>-1.4999999999645299</v>
      </c>
      <c r="Q13" s="26">
        <f t="shared" si="12"/>
        <v>-0.199999999949796</v>
      </c>
      <c r="R13" s="41"/>
      <c r="S13" s="21">
        <f t="shared" si="13"/>
        <v>44553</v>
      </c>
      <c r="T13" s="42">
        <v>10.257099999999999</v>
      </c>
      <c r="U13" s="43">
        <f t="shared" si="14"/>
        <v>-0.20000000000130999</v>
      </c>
      <c r="V13" s="44">
        <f t="shared" si="15"/>
        <v>-1.4000000000002899</v>
      </c>
      <c r="W13" s="45">
        <f t="shared" si="16"/>
        <v>0.20000000000130999</v>
      </c>
      <c r="X13" s="29">
        <v>17.230499999999999</v>
      </c>
      <c r="Y13" s="43">
        <f t="shared" si="17"/>
        <v>-9.99999999997669E-2</v>
      </c>
      <c r="Z13" s="44">
        <f t="shared" si="18"/>
        <v>-1.0000000000012199</v>
      </c>
      <c r="AA13" s="45">
        <f t="shared" si="19"/>
        <v>-9.99999999997669E-2</v>
      </c>
      <c r="AB13" s="49">
        <v>11.324299999999999</v>
      </c>
      <c r="AC13" s="43">
        <f t="shared" si="20"/>
        <v>0.39999999999906799</v>
      </c>
      <c r="AD13" s="44">
        <f t="shared" si="21"/>
        <v>9.99999999997669E-2</v>
      </c>
      <c r="AE13" s="45">
        <f t="shared" si="22"/>
        <v>0.39999999999906799</v>
      </c>
      <c r="AF13" s="50">
        <v>79281</v>
      </c>
      <c r="AG13" s="58">
        <f t="shared" si="0"/>
        <v>30</v>
      </c>
      <c r="AH13" s="61"/>
      <c r="AI13" s="60"/>
      <c r="AJ13"/>
      <c r="AK13"/>
      <c r="AL13"/>
      <c r="AM13"/>
    </row>
    <row r="14" spans="1:39">
      <c r="A14" s="21">
        <v>44554</v>
      </c>
      <c r="B14" s="22">
        <v>789.95809999999994</v>
      </c>
      <c r="C14" s="27">
        <v>6.4371</v>
      </c>
      <c r="D14" s="23">
        <f t="shared" si="1"/>
        <v>796.39520000000005</v>
      </c>
      <c r="E14" s="24">
        <f t="shared" si="2"/>
        <v>9.9999999974897905E-2</v>
      </c>
      <c r="F14" s="25">
        <f t="shared" si="3"/>
        <v>-1.39999999998963</v>
      </c>
      <c r="G14" s="26">
        <f t="shared" si="4"/>
        <v>9.9999999974897905E-2</v>
      </c>
      <c r="H14" s="6">
        <v>8.3917000000000002</v>
      </c>
      <c r="I14" s="35">
        <f t="shared" si="5"/>
        <v>798.34979999999996</v>
      </c>
      <c r="J14" s="24">
        <f t="shared" si="6"/>
        <v>-0.199999999949796</v>
      </c>
      <c r="K14" s="25">
        <f t="shared" si="7"/>
        <v>-1.4999999999645299</v>
      </c>
      <c r="L14" s="26">
        <f t="shared" si="8"/>
        <v>-0.199999999949796</v>
      </c>
      <c r="M14" s="6">
        <v>7.5328999999999997</v>
      </c>
      <c r="N14" s="35">
        <f t="shared" si="9"/>
        <v>797.49099999999999</v>
      </c>
      <c r="O14" s="24">
        <f t="shared" si="10"/>
        <v>-9.9999999974897905E-2</v>
      </c>
      <c r="P14" s="25">
        <f t="shared" si="11"/>
        <v>-1.5999999999394301</v>
      </c>
      <c r="Q14" s="26">
        <f t="shared" si="12"/>
        <v>-9.9999999974897905E-2</v>
      </c>
      <c r="R14" s="41"/>
      <c r="S14" s="21">
        <f t="shared" si="13"/>
        <v>44554</v>
      </c>
      <c r="T14" s="42">
        <v>10.257199999999999</v>
      </c>
      <c r="U14" s="43">
        <f t="shared" si="14"/>
        <v>9.99999999997669E-2</v>
      </c>
      <c r="V14" s="44">
        <f t="shared" si="15"/>
        <v>-1.3000000000005201</v>
      </c>
      <c r="W14" s="45">
        <f t="shared" si="16"/>
        <v>-9.99999999997669E-2</v>
      </c>
      <c r="X14" s="29">
        <v>17.2302</v>
      </c>
      <c r="Y14" s="43">
        <f t="shared" si="17"/>
        <v>-0.29999999999930099</v>
      </c>
      <c r="Z14" s="44">
        <f t="shared" si="18"/>
        <v>-1.3000000000005201</v>
      </c>
      <c r="AA14" s="45">
        <f t="shared" si="19"/>
        <v>-0.29999999999930099</v>
      </c>
      <c r="AB14" s="49">
        <v>11.323700000000001</v>
      </c>
      <c r="AC14" s="43">
        <f t="shared" si="20"/>
        <v>-0.59999999999860198</v>
      </c>
      <c r="AD14" s="44">
        <f t="shared" si="21"/>
        <v>-0.49999999999883499</v>
      </c>
      <c r="AE14" s="45">
        <f t="shared" si="22"/>
        <v>-0.59999999999860198</v>
      </c>
      <c r="AF14" s="50">
        <v>79284</v>
      </c>
      <c r="AG14" s="58">
        <f t="shared" si="0"/>
        <v>33</v>
      </c>
      <c r="AH14" s="61"/>
      <c r="AI14" s="60"/>
      <c r="AJ14" s="52"/>
      <c r="AK14" s="52"/>
      <c r="AL14" s="52"/>
      <c r="AM14" s="52"/>
    </row>
    <row r="15" spans="1:39">
      <c r="A15" s="21">
        <v>44555</v>
      </c>
      <c r="B15" s="22">
        <v>789.95809999999994</v>
      </c>
      <c r="C15" s="27">
        <v>6.4366000000000003</v>
      </c>
      <c r="D15" s="23">
        <f t="shared" si="1"/>
        <v>796.39469999999994</v>
      </c>
      <c r="E15" s="24">
        <f t="shared" si="2"/>
        <v>-0.49999999998817701</v>
      </c>
      <c r="F15" s="25">
        <f t="shared" si="3"/>
        <v>-1.8999999999778101</v>
      </c>
      <c r="G15" s="26">
        <f t="shared" si="4"/>
        <v>-0.49999999998817701</v>
      </c>
      <c r="H15" s="6">
        <v>8.3916000000000004</v>
      </c>
      <c r="I15" s="35">
        <f t="shared" si="5"/>
        <v>798.34969999999998</v>
      </c>
      <c r="J15" s="24">
        <f t="shared" si="6"/>
        <v>-9.9999999974897905E-2</v>
      </c>
      <c r="K15" s="25">
        <f t="shared" si="7"/>
        <v>-1.5999999999394301</v>
      </c>
      <c r="L15" s="26">
        <f t="shared" si="8"/>
        <v>-9.9999999974897905E-2</v>
      </c>
      <c r="M15" s="6">
        <v>7.5327999999999999</v>
      </c>
      <c r="N15" s="35">
        <f t="shared" si="9"/>
        <v>797.49090000000001</v>
      </c>
      <c r="O15" s="24">
        <f t="shared" si="10"/>
        <v>-0.10000000008858501</v>
      </c>
      <c r="P15" s="25">
        <f t="shared" si="11"/>
        <v>-1.70000000002801</v>
      </c>
      <c r="Q15" s="26">
        <f t="shared" si="12"/>
        <v>-0.10000000008858501</v>
      </c>
      <c r="R15" s="41"/>
      <c r="S15" s="21">
        <f t="shared" si="13"/>
        <v>44555</v>
      </c>
      <c r="T15" s="42">
        <v>10.256399999999999</v>
      </c>
      <c r="U15" s="43">
        <f t="shared" si="14"/>
        <v>-0.799999999999912</v>
      </c>
      <c r="V15" s="44">
        <f t="shared" si="15"/>
        <v>-2.10000000000043</v>
      </c>
      <c r="W15" s="45">
        <f t="shared" si="16"/>
        <v>0.799999999999912</v>
      </c>
      <c r="X15" s="29">
        <v>17.23</v>
      </c>
      <c r="Y15" s="43">
        <f t="shared" si="17"/>
        <v>-0.19999999999953399</v>
      </c>
      <c r="Z15" s="44">
        <f t="shared" si="18"/>
        <v>-1.50000000000006</v>
      </c>
      <c r="AA15" s="45">
        <f t="shared" si="19"/>
        <v>-0.19999999999953399</v>
      </c>
      <c r="AB15" s="49">
        <v>11.323600000000001</v>
      </c>
      <c r="AC15" s="43">
        <f t="shared" si="20"/>
        <v>-9.99999999997669E-2</v>
      </c>
      <c r="AD15" s="44">
        <f t="shared" si="21"/>
        <v>-0.59999999999860198</v>
      </c>
      <c r="AE15" s="45">
        <f t="shared" si="22"/>
        <v>-9.99999999997669E-2</v>
      </c>
      <c r="AF15" s="50">
        <v>79287</v>
      </c>
      <c r="AG15" s="58">
        <f t="shared" si="0"/>
        <v>36</v>
      </c>
      <c r="AH15" s="61"/>
      <c r="AI15" s="60"/>
      <c r="AJ15" s="52"/>
      <c r="AK15" s="52"/>
      <c r="AL15" s="52"/>
      <c r="AM15" s="52"/>
    </row>
    <row r="16" spans="1:39">
      <c r="A16" s="21">
        <v>44556</v>
      </c>
      <c r="B16" s="22">
        <v>789.95809999999994</v>
      </c>
      <c r="C16" s="27">
        <v>6.4363999999999999</v>
      </c>
      <c r="D16" s="23">
        <f t="shared" si="1"/>
        <v>796.39449999999999</v>
      </c>
      <c r="E16" s="24">
        <f t="shared" si="2"/>
        <v>-0.199999999949796</v>
      </c>
      <c r="F16" s="25">
        <f t="shared" si="3"/>
        <v>-2.0999999999275998</v>
      </c>
      <c r="G16" s="26">
        <f t="shared" si="4"/>
        <v>-0.199999999949796</v>
      </c>
      <c r="H16" s="6">
        <v>8.3912999999999993</v>
      </c>
      <c r="I16" s="35">
        <f t="shared" si="5"/>
        <v>798.34939999999995</v>
      </c>
      <c r="J16" s="24">
        <f t="shared" si="6"/>
        <v>-0.30000000003838101</v>
      </c>
      <c r="K16" s="25">
        <f t="shared" si="7"/>
        <v>-1.8999999999778101</v>
      </c>
      <c r="L16" s="26">
        <f t="shared" si="8"/>
        <v>-0.30000000003838101</v>
      </c>
      <c r="M16" s="6">
        <v>7.5324999999999998</v>
      </c>
      <c r="N16" s="35">
        <f t="shared" si="9"/>
        <v>797.49059999999997</v>
      </c>
      <c r="O16" s="24">
        <f t="shared" si="10"/>
        <v>-0.29999999992469401</v>
      </c>
      <c r="P16" s="25">
        <f t="shared" si="11"/>
        <v>-1.9999999999527101</v>
      </c>
      <c r="Q16" s="26">
        <f t="shared" si="12"/>
        <v>-0.29999999992469401</v>
      </c>
      <c r="R16" s="41"/>
      <c r="S16" s="21">
        <f t="shared" si="13"/>
        <v>44556</v>
      </c>
      <c r="T16" s="42">
        <v>10.256500000000001</v>
      </c>
      <c r="U16" s="43">
        <f t="shared" si="14"/>
        <v>0.10000000000154299</v>
      </c>
      <c r="V16" s="44">
        <f t="shared" si="15"/>
        <v>-1.99999999999889</v>
      </c>
      <c r="W16" s="45">
        <f t="shared" si="16"/>
        <v>-0.10000000000154299</v>
      </c>
      <c r="X16" s="29">
        <v>17.229800000000001</v>
      </c>
      <c r="Y16" s="43">
        <f t="shared" si="17"/>
        <v>-0.19999999999953399</v>
      </c>
      <c r="Z16" s="44">
        <f t="shared" si="18"/>
        <v>-1.6999999999995901</v>
      </c>
      <c r="AA16" s="45">
        <f t="shared" si="19"/>
        <v>-0.19999999999953399</v>
      </c>
      <c r="AB16" s="49">
        <v>11.324</v>
      </c>
      <c r="AC16" s="43">
        <f t="shared" si="20"/>
        <v>0.39999999999906799</v>
      </c>
      <c r="AD16" s="44">
        <f t="shared" si="21"/>
        <v>-0.19999999999953399</v>
      </c>
      <c r="AE16" s="45">
        <f t="shared" si="22"/>
        <v>0.39999999999906799</v>
      </c>
      <c r="AF16" s="50">
        <v>79290</v>
      </c>
      <c r="AG16" s="58">
        <f t="shared" si="0"/>
        <v>39</v>
      </c>
      <c r="AH16" s="61"/>
      <c r="AI16" s="60"/>
      <c r="AJ16" s="52"/>
      <c r="AK16" s="52"/>
      <c r="AL16" s="52"/>
      <c r="AM16" s="52"/>
    </row>
    <row r="17" spans="1:39">
      <c r="A17" s="21">
        <v>44557</v>
      </c>
      <c r="B17" s="22">
        <v>789.95809999999994</v>
      </c>
      <c r="C17" s="27">
        <v>6.4364999999999997</v>
      </c>
      <c r="D17" s="23">
        <f t="shared" si="1"/>
        <v>796.39459999999997</v>
      </c>
      <c r="E17" s="24">
        <f t="shared" si="2"/>
        <v>9.9999999974897905E-2</v>
      </c>
      <c r="F17" s="25">
        <f t="shared" si="3"/>
        <v>-1.9999999999527101</v>
      </c>
      <c r="G17" s="26">
        <f t="shared" si="4"/>
        <v>9.9999999974897905E-2</v>
      </c>
      <c r="H17" s="6">
        <v>8.3910999999999998</v>
      </c>
      <c r="I17" s="35">
        <f t="shared" si="5"/>
        <v>798.3492</v>
      </c>
      <c r="J17" s="24">
        <f t="shared" si="6"/>
        <v>-0.199999999949796</v>
      </c>
      <c r="K17" s="25">
        <f t="shared" si="7"/>
        <v>-2.0999999999275998</v>
      </c>
      <c r="L17" s="26">
        <f t="shared" si="8"/>
        <v>-0.199999999949796</v>
      </c>
      <c r="M17" s="6">
        <v>7.5326000000000004</v>
      </c>
      <c r="N17" s="35">
        <f t="shared" si="9"/>
        <v>797.49069999999995</v>
      </c>
      <c r="O17" s="24">
        <f t="shared" si="10"/>
        <v>9.9999999974897905E-2</v>
      </c>
      <c r="P17" s="25">
        <f t="shared" si="11"/>
        <v>-1.8999999999778101</v>
      </c>
      <c r="Q17" s="26">
        <f t="shared" si="12"/>
        <v>9.9999999974897905E-2</v>
      </c>
      <c r="R17" s="41"/>
      <c r="S17" s="21">
        <f t="shared" si="13"/>
        <v>44557</v>
      </c>
      <c r="T17" s="42">
        <v>10.2563</v>
      </c>
      <c r="U17" s="43">
        <f t="shared" si="14"/>
        <v>-0.20000000000130999</v>
      </c>
      <c r="V17" s="44">
        <f t="shared" si="15"/>
        <v>-2.2000000000002</v>
      </c>
      <c r="W17" s="45">
        <f t="shared" si="16"/>
        <v>0.20000000000130999</v>
      </c>
      <c r="X17" s="29">
        <v>17.23</v>
      </c>
      <c r="Y17" s="43">
        <f t="shared" si="17"/>
        <v>0.19999999999953399</v>
      </c>
      <c r="Z17" s="44">
        <f t="shared" si="18"/>
        <v>-1.50000000000006</v>
      </c>
      <c r="AA17" s="45">
        <f t="shared" si="19"/>
        <v>0.19999999999953399</v>
      </c>
      <c r="AB17" s="49">
        <v>11.323399999999999</v>
      </c>
      <c r="AC17" s="43">
        <f t="shared" si="20"/>
        <v>-0.60000000000037801</v>
      </c>
      <c r="AD17" s="44">
        <f t="shared" si="21"/>
        <v>-0.799999999999912</v>
      </c>
      <c r="AE17" s="45">
        <f t="shared" si="22"/>
        <v>-0.60000000000037801</v>
      </c>
      <c r="AF17" s="50">
        <v>79293</v>
      </c>
      <c r="AG17" s="58">
        <f t="shared" si="0"/>
        <v>42</v>
      </c>
      <c r="AH17" s="61"/>
      <c r="AI17" s="52"/>
      <c r="AJ17" s="52"/>
      <c r="AK17" s="52"/>
      <c r="AL17" s="52"/>
      <c r="AM17" s="52"/>
    </row>
    <row r="18" spans="1:39">
      <c r="A18" s="21">
        <v>44558</v>
      </c>
      <c r="B18" s="22">
        <v>789.95809999999994</v>
      </c>
      <c r="C18" s="27">
        <v>6.4359999999999999</v>
      </c>
      <c r="D18" s="23">
        <f t="shared" si="1"/>
        <v>796.39409999999998</v>
      </c>
      <c r="E18" s="24">
        <f t="shared" si="2"/>
        <v>-0.49999999998817701</v>
      </c>
      <c r="F18" s="25">
        <f t="shared" si="3"/>
        <v>-2.4999999999408802</v>
      </c>
      <c r="G18" s="26">
        <f t="shared" si="4"/>
        <v>-0.49999999998817701</v>
      </c>
      <c r="H18" s="6">
        <v>8.3914000000000009</v>
      </c>
      <c r="I18" s="35">
        <f t="shared" si="5"/>
        <v>798.34950000000003</v>
      </c>
      <c r="J18" s="24">
        <f t="shared" si="6"/>
        <v>0.29999999992469401</v>
      </c>
      <c r="K18" s="25">
        <f t="shared" si="7"/>
        <v>-1.8000000000029099</v>
      </c>
      <c r="L18" s="26">
        <f t="shared" si="8"/>
        <v>0.29999999992469401</v>
      </c>
      <c r="M18" s="6">
        <v>7.5324999999999998</v>
      </c>
      <c r="N18" s="35">
        <f t="shared" si="9"/>
        <v>797.49059999999997</v>
      </c>
      <c r="O18" s="24">
        <f t="shared" si="10"/>
        <v>-9.9999999974897905E-2</v>
      </c>
      <c r="P18" s="25">
        <f t="shared" si="11"/>
        <v>-1.9999999999527101</v>
      </c>
      <c r="Q18" s="26">
        <f t="shared" si="12"/>
        <v>-9.9999999974897905E-2</v>
      </c>
      <c r="R18" s="41"/>
      <c r="S18" s="21">
        <f t="shared" si="13"/>
        <v>44558</v>
      </c>
      <c r="T18" s="42">
        <v>10.2561</v>
      </c>
      <c r="U18" s="43">
        <f t="shared" si="14"/>
        <v>-0.19999999999953399</v>
      </c>
      <c r="V18" s="44">
        <f t="shared" si="15"/>
        <v>-2.3999999999997401</v>
      </c>
      <c r="W18" s="45">
        <f t="shared" si="16"/>
        <v>0.19999999999953399</v>
      </c>
      <c r="X18" s="29">
        <v>17.229399999999998</v>
      </c>
      <c r="Y18" s="43">
        <f t="shared" si="17"/>
        <v>-0.60000000000215403</v>
      </c>
      <c r="Z18" s="44">
        <f t="shared" si="18"/>
        <v>-2.1000000000022099</v>
      </c>
      <c r="AA18" s="45">
        <f t="shared" si="19"/>
        <v>-0.60000000000215403</v>
      </c>
      <c r="AB18" s="49">
        <v>11.3233</v>
      </c>
      <c r="AC18" s="43">
        <f t="shared" si="20"/>
        <v>-9.99999999997669E-2</v>
      </c>
      <c r="AD18" s="44">
        <f t="shared" si="21"/>
        <v>-0.89999999999967895</v>
      </c>
      <c r="AE18" s="45">
        <f t="shared" si="22"/>
        <v>-9.99999999997669E-2</v>
      </c>
      <c r="AF18" s="50">
        <v>79296</v>
      </c>
      <c r="AG18" s="58">
        <f t="shared" si="0"/>
        <v>45</v>
      </c>
      <c r="AH18" s="61"/>
      <c r="AI18" s="52"/>
      <c r="AJ18" s="52"/>
      <c r="AK18" s="52"/>
      <c r="AL18" s="52"/>
      <c r="AM18" s="52"/>
    </row>
    <row r="19" spans="1:39">
      <c r="A19" s="21">
        <v>44559</v>
      </c>
      <c r="B19" s="22">
        <v>789.95809999999994</v>
      </c>
      <c r="C19" s="27">
        <v>6.4358000000000004</v>
      </c>
      <c r="D19" s="23">
        <f t="shared" si="1"/>
        <v>796.39390000000003</v>
      </c>
      <c r="E19" s="24">
        <f t="shared" si="2"/>
        <v>-0.20000000006348301</v>
      </c>
      <c r="F19" s="25">
        <f t="shared" si="3"/>
        <v>-2.70000000000437</v>
      </c>
      <c r="G19" s="26">
        <f t="shared" si="4"/>
        <v>-0.20000000006348301</v>
      </c>
      <c r="H19" s="6">
        <v>8.3907000000000007</v>
      </c>
      <c r="I19" s="35">
        <f t="shared" si="5"/>
        <v>798.34879999999998</v>
      </c>
      <c r="J19" s="24">
        <f t="shared" si="6"/>
        <v>-0.69999999993797202</v>
      </c>
      <c r="K19" s="25">
        <f t="shared" si="7"/>
        <v>-2.4999999999408802</v>
      </c>
      <c r="L19" s="26">
        <f t="shared" si="8"/>
        <v>-0.69999999993797202</v>
      </c>
      <c r="M19" s="6">
        <v>7.5320999999999998</v>
      </c>
      <c r="N19" s="35">
        <f t="shared" si="9"/>
        <v>797.49019999999996</v>
      </c>
      <c r="O19" s="24">
        <f t="shared" si="10"/>
        <v>-0.40000000001327901</v>
      </c>
      <c r="P19" s="25">
        <f t="shared" si="11"/>
        <v>-2.39999999996598</v>
      </c>
      <c r="Q19" s="26">
        <f t="shared" si="12"/>
        <v>-0.40000000001327901</v>
      </c>
      <c r="R19" s="41"/>
      <c r="S19" s="21">
        <f t="shared" si="13"/>
        <v>44559</v>
      </c>
      <c r="T19" s="42">
        <v>10.2562</v>
      </c>
      <c r="U19" s="43">
        <f t="shared" si="14"/>
        <v>9.99999999997669E-2</v>
      </c>
      <c r="V19" s="44">
        <f t="shared" si="15"/>
        <v>-2.2999999999999701</v>
      </c>
      <c r="W19" s="45">
        <f t="shared" si="16"/>
        <v>-9.99999999997669E-2</v>
      </c>
      <c r="X19" s="29">
        <v>17.229199999999999</v>
      </c>
      <c r="Y19" s="43">
        <f t="shared" si="17"/>
        <v>-0.19999999999953399</v>
      </c>
      <c r="Z19" s="44">
        <f t="shared" si="18"/>
        <v>-2.3000000000017402</v>
      </c>
      <c r="AA19" s="45">
        <f t="shared" si="19"/>
        <v>-0.19999999999953399</v>
      </c>
      <c r="AB19" s="49">
        <v>11.323</v>
      </c>
      <c r="AC19" s="43">
        <f t="shared" si="20"/>
        <v>-0.29999999999930099</v>
      </c>
      <c r="AD19" s="44">
        <f t="shared" si="21"/>
        <v>-1.1999999999989801</v>
      </c>
      <c r="AE19" s="45">
        <f t="shared" si="22"/>
        <v>-0.29999999999930099</v>
      </c>
      <c r="AF19" s="50">
        <v>79299</v>
      </c>
      <c r="AG19" s="58">
        <f t="shared" si="0"/>
        <v>48</v>
      </c>
      <c r="AH19" s="61"/>
      <c r="AI19" s="52"/>
      <c r="AJ19" s="52"/>
      <c r="AK19" s="52"/>
      <c r="AL19" s="52"/>
      <c r="AM19" s="52"/>
    </row>
    <row r="20" spans="1:39">
      <c r="A20" s="21">
        <v>44560</v>
      </c>
      <c r="B20" s="22">
        <v>789.95809999999994</v>
      </c>
      <c r="C20" s="27">
        <v>6.4362000000000004</v>
      </c>
      <c r="D20" s="23">
        <f t="shared" si="1"/>
        <v>796.39430000000004</v>
      </c>
      <c r="E20" s="24">
        <f t="shared" si="2"/>
        <v>0.40000000001327901</v>
      </c>
      <c r="F20" s="25">
        <f t="shared" si="3"/>
        <v>-2.2999999999910901</v>
      </c>
      <c r="G20" s="26">
        <f t="shared" si="4"/>
        <v>0.40000000001327901</v>
      </c>
      <c r="H20" s="6">
        <v>8.3904999999999994</v>
      </c>
      <c r="I20" s="35">
        <f t="shared" si="5"/>
        <v>798.34860000000003</v>
      </c>
      <c r="J20" s="24">
        <f t="shared" si="6"/>
        <v>-0.20000000006348301</v>
      </c>
      <c r="K20" s="25">
        <f t="shared" si="7"/>
        <v>-2.70000000000437</v>
      </c>
      <c r="L20" s="26">
        <f t="shared" si="8"/>
        <v>-0.20000000006348301</v>
      </c>
      <c r="M20" s="6">
        <v>7.5323000000000002</v>
      </c>
      <c r="N20" s="35">
        <f t="shared" si="9"/>
        <v>797.49040000000002</v>
      </c>
      <c r="O20" s="24">
        <f t="shared" si="10"/>
        <v>0.199999999949796</v>
      </c>
      <c r="P20" s="25">
        <f t="shared" si="11"/>
        <v>-2.2000000000161899</v>
      </c>
      <c r="Q20" s="26">
        <f t="shared" si="12"/>
        <v>0.199999999949796</v>
      </c>
      <c r="R20" s="41"/>
      <c r="S20" s="21">
        <f t="shared" si="13"/>
        <v>44560</v>
      </c>
      <c r="T20" s="42">
        <v>10.255699999999999</v>
      </c>
      <c r="U20" s="43">
        <f t="shared" si="14"/>
        <v>-0.50000000000061096</v>
      </c>
      <c r="V20" s="44">
        <f t="shared" si="15"/>
        <v>-2.8000000000005798</v>
      </c>
      <c r="W20" s="45">
        <f t="shared" si="16"/>
        <v>0.50000000000061096</v>
      </c>
      <c r="X20" s="29">
        <v>17.228999999999999</v>
      </c>
      <c r="Y20" s="43">
        <f t="shared" si="17"/>
        <v>-0.19999999999953399</v>
      </c>
      <c r="Z20" s="44">
        <f t="shared" si="18"/>
        <v>-2.5000000000012799</v>
      </c>
      <c r="AA20" s="45">
        <f t="shared" si="19"/>
        <v>-0.19999999999953399</v>
      </c>
      <c r="AB20" s="49">
        <v>11.322900000000001</v>
      </c>
      <c r="AC20" s="43">
        <f t="shared" si="20"/>
        <v>-9.99999999997669E-2</v>
      </c>
      <c r="AD20" s="44">
        <f t="shared" si="21"/>
        <v>-1.2999999999987499</v>
      </c>
      <c r="AE20" s="45">
        <f t="shared" si="22"/>
        <v>-9.99999999997669E-2</v>
      </c>
      <c r="AF20" s="50">
        <v>79302</v>
      </c>
      <c r="AG20" s="58">
        <f t="shared" si="0"/>
        <v>51</v>
      </c>
      <c r="AH20" s="61"/>
      <c r="AI20" s="52"/>
      <c r="AJ20" s="52"/>
      <c r="AK20" s="52"/>
      <c r="AL20" s="52"/>
      <c r="AM20" s="52"/>
    </row>
    <row r="21" spans="1:39">
      <c r="A21" s="21">
        <v>44562</v>
      </c>
      <c r="B21" s="22">
        <v>789.95809999999994</v>
      </c>
      <c r="C21" s="27">
        <v>6.4353999999999996</v>
      </c>
      <c r="D21" s="23">
        <f t="shared" si="1"/>
        <v>796.39350000000002</v>
      </c>
      <c r="E21" s="24">
        <f t="shared" si="2"/>
        <v>-0.80000000002655702</v>
      </c>
      <c r="F21" s="25">
        <f t="shared" si="3"/>
        <v>-3.1000000000176402</v>
      </c>
      <c r="G21" s="26">
        <f t="shared" si="4"/>
        <v>-0.40000000001327901</v>
      </c>
      <c r="H21" s="6">
        <v>8.391</v>
      </c>
      <c r="I21" s="35">
        <f t="shared" si="5"/>
        <v>798.34910000000002</v>
      </c>
      <c r="J21" s="24">
        <f t="shared" si="6"/>
        <v>0.49999999998817701</v>
      </c>
      <c r="K21" s="25">
        <f t="shared" si="7"/>
        <v>-2.2000000000161899</v>
      </c>
      <c r="L21" s="26">
        <f t="shared" si="8"/>
        <v>0.24999999999408801</v>
      </c>
      <c r="M21" s="6">
        <v>7.5321999999999996</v>
      </c>
      <c r="N21" s="35">
        <f t="shared" si="9"/>
        <v>797.49030000000005</v>
      </c>
      <c r="O21" s="24">
        <f t="shared" si="10"/>
        <v>-9.9999999974897905E-2</v>
      </c>
      <c r="P21" s="25">
        <f t="shared" si="11"/>
        <v>-2.2999999999910901</v>
      </c>
      <c r="Q21" s="26">
        <f t="shared" si="12"/>
        <v>-4.9999999987449001E-2</v>
      </c>
      <c r="R21" s="41"/>
      <c r="S21" s="21">
        <f t="shared" si="13"/>
        <v>44562</v>
      </c>
      <c r="T21" s="42">
        <v>10.2555</v>
      </c>
      <c r="U21" s="43">
        <f t="shared" si="14"/>
        <v>-0.19999999999953399</v>
      </c>
      <c r="V21" s="44">
        <f t="shared" si="15"/>
        <v>-3.0000000000001101</v>
      </c>
      <c r="W21" s="45">
        <f t="shared" si="16"/>
        <v>9.99999999997669E-2</v>
      </c>
      <c r="X21" s="29">
        <v>17.229500000000002</v>
      </c>
      <c r="Y21" s="43">
        <f t="shared" si="17"/>
        <v>0.50000000000238698</v>
      </c>
      <c r="Z21" s="44">
        <f t="shared" si="18"/>
        <v>-1.99999999999889</v>
      </c>
      <c r="AA21" s="45">
        <f t="shared" si="19"/>
        <v>0.25000000000119399</v>
      </c>
      <c r="AB21" s="49">
        <v>11.323</v>
      </c>
      <c r="AC21" s="43">
        <f t="shared" si="20"/>
        <v>9.99999999997669E-2</v>
      </c>
      <c r="AD21" s="44">
        <f t="shared" si="21"/>
        <v>-1.1999999999989801</v>
      </c>
      <c r="AE21" s="45">
        <f t="shared" si="22"/>
        <v>4.9999999999883499E-2</v>
      </c>
      <c r="AF21" s="50">
        <v>79305</v>
      </c>
      <c r="AG21" s="58">
        <f t="shared" si="0"/>
        <v>54</v>
      </c>
      <c r="AH21" s="61"/>
      <c r="AI21" s="52"/>
      <c r="AJ21" s="52"/>
      <c r="AK21" s="52"/>
      <c r="AL21" s="52"/>
      <c r="AM21" s="52"/>
    </row>
    <row r="22" spans="1:39">
      <c r="A22" s="21">
        <v>44564</v>
      </c>
      <c r="B22" s="22">
        <v>789.95809999999994</v>
      </c>
      <c r="C22" s="27">
        <v>6.4351999999999903</v>
      </c>
      <c r="D22" s="23">
        <f t="shared" si="1"/>
        <v>796.39329999999995</v>
      </c>
      <c r="E22" s="24">
        <f t="shared" si="2"/>
        <v>-0.199999999949796</v>
      </c>
      <c r="F22" s="25">
        <f t="shared" si="3"/>
        <v>-3.2999999999674401</v>
      </c>
      <c r="G22" s="26">
        <f t="shared" si="4"/>
        <v>-9.9999999974897905E-2</v>
      </c>
      <c r="H22" s="6">
        <v>8.3901000000000003</v>
      </c>
      <c r="I22" s="35">
        <f t="shared" si="5"/>
        <v>798.34820000000002</v>
      </c>
      <c r="J22" s="24">
        <f t="shared" si="6"/>
        <v>-0.90000000000145497</v>
      </c>
      <c r="K22" s="25">
        <f t="shared" si="7"/>
        <v>-3.1000000000176402</v>
      </c>
      <c r="L22" s="26">
        <f t="shared" si="8"/>
        <v>-0.45000000000072798</v>
      </c>
      <c r="M22" s="6">
        <v>7.5326000000000004</v>
      </c>
      <c r="N22" s="35">
        <f t="shared" si="9"/>
        <v>797.49069999999995</v>
      </c>
      <c r="O22" s="24">
        <f t="shared" si="10"/>
        <v>0.40000000001327901</v>
      </c>
      <c r="P22" s="25">
        <f t="shared" si="11"/>
        <v>-1.8999999999778101</v>
      </c>
      <c r="Q22" s="26">
        <f t="shared" si="12"/>
        <v>0.20000000000663901</v>
      </c>
      <c r="R22" s="41"/>
      <c r="S22" s="21">
        <f t="shared" si="13"/>
        <v>44564</v>
      </c>
      <c r="T22" s="42">
        <v>10.2553</v>
      </c>
      <c r="U22" s="43">
        <f t="shared" si="14"/>
        <v>-0.19999999999953399</v>
      </c>
      <c r="V22" s="44">
        <f t="shared" si="15"/>
        <v>-3.1999999999996498</v>
      </c>
      <c r="W22" s="45">
        <f t="shared" si="16"/>
        <v>9.99999999997669E-2</v>
      </c>
      <c r="X22" s="29">
        <v>17.2286</v>
      </c>
      <c r="Y22" s="43">
        <f t="shared" si="17"/>
        <v>-0.90000000000145497</v>
      </c>
      <c r="Z22" s="44">
        <f t="shared" si="18"/>
        <v>-2.9000000000003499</v>
      </c>
      <c r="AA22" s="45">
        <f t="shared" si="19"/>
        <v>-0.45000000000072798</v>
      </c>
      <c r="AB22" s="49">
        <v>11.322900000000001</v>
      </c>
      <c r="AC22" s="43">
        <f t="shared" si="20"/>
        <v>-9.99999999997669E-2</v>
      </c>
      <c r="AD22" s="44">
        <f t="shared" si="21"/>
        <v>-1.2999999999987499</v>
      </c>
      <c r="AE22" s="45">
        <f t="shared" si="22"/>
        <v>-4.9999999999883499E-2</v>
      </c>
      <c r="AF22" s="50">
        <v>79315</v>
      </c>
      <c r="AG22" s="58">
        <f t="shared" si="0"/>
        <v>64</v>
      </c>
      <c r="AH22" s="61"/>
      <c r="AI22" s="52"/>
      <c r="AJ22" s="52"/>
      <c r="AK22" s="52"/>
      <c r="AL22" s="52"/>
      <c r="AM22" s="52"/>
    </row>
    <row r="23" spans="1:39">
      <c r="A23" s="21">
        <v>44566</v>
      </c>
      <c r="B23" s="22">
        <v>789.95809999999994</v>
      </c>
      <c r="C23" s="27">
        <v>6.4358000000000004</v>
      </c>
      <c r="D23" s="23">
        <f t="shared" si="1"/>
        <v>796.39390000000003</v>
      </c>
      <c r="E23" s="24">
        <f t="shared" si="2"/>
        <v>0.59999999996307496</v>
      </c>
      <c r="F23" s="25">
        <f t="shared" si="3"/>
        <v>-2.70000000000437</v>
      </c>
      <c r="G23" s="26">
        <f t="shared" si="4"/>
        <v>0.29999999998153698</v>
      </c>
      <c r="H23" s="6">
        <v>8.3899000000000008</v>
      </c>
      <c r="I23" s="35">
        <f t="shared" si="5"/>
        <v>798.34799999999996</v>
      </c>
      <c r="J23" s="24">
        <f t="shared" si="6"/>
        <v>-0.199999999949796</v>
      </c>
      <c r="K23" s="25">
        <f t="shared" si="7"/>
        <v>-3.2999999999674401</v>
      </c>
      <c r="L23" s="26">
        <f t="shared" si="8"/>
        <v>-9.9999999974897905E-2</v>
      </c>
      <c r="M23" s="6">
        <v>7.5319999999999903</v>
      </c>
      <c r="N23" s="35">
        <f t="shared" si="9"/>
        <v>797.49009999999998</v>
      </c>
      <c r="O23" s="24">
        <f t="shared" si="10"/>
        <v>-0.59999999996307496</v>
      </c>
      <c r="P23" s="25">
        <f t="shared" si="11"/>
        <v>-2.4999999999408802</v>
      </c>
      <c r="Q23" s="26">
        <f t="shared" si="12"/>
        <v>-0.29999999998153698</v>
      </c>
      <c r="S23" s="21">
        <f t="shared" si="13"/>
        <v>44566</v>
      </c>
      <c r="T23" s="42">
        <v>10.255599999999999</v>
      </c>
      <c r="U23" s="43">
        <f t="shared" si="14"/>
        <v>0.29999999999930099</v>
      </c>
      <c r="V23" s="44">
        <f t="shared" si="15"/>
        <v>-2.9000000000003499</v>
      </c>
      <c r="W23" s="45">
        <f t="shared" si="16"/>
        <v>-0.14999999999965</v>
      </c>
      <c r="X23" s="29">
        <v>17.228400000000001</v>
      </c>
      <c r="Y23" s="43">
        <f t="shared" si="17"/>
        <v>-0.19999999999953399</v>
      </c>
      <c r="Z23" s="44">
        <f t="shared" si="18"/>
        <v>-3.0999999999998802</v>
      </c>
      <c r="AA23" s="45">
        <f t="shared" si="19"/>
        <v>-9.99999999997669E-2</v>
      </c>
      <c r="AB23" s="49">
        <v>11.3232</v>
      </c>
      <c r="AC23" s="43">
        <f t="shared" si="20"/>
        <v>0.29999999999930099</v>
      </c>
      <c r="AD23" s="44">
        <f t="shared" si="21"/>
        <v>-0.999999999999446</v>
      </c>
      <c r="AE23" s="45">
        <f t="shared" si="22"/>
        <v>0.14999999999965</v>
      </c>
      <c r="AF23" s="50">
        <v>79327</v>
      </c>
      <c r="AG23" s="58">
        <f t="shared" si="0"/>
        <v>76</v>
      </c>
      <c r="AH23" s="61"/>
      <c r="AI23" s="52"/>
      <c r="AJ23" s="52"/>
      <c r="AK23" s="52"/>
      <c r="AL23" s="52"/>
      <c r="AM23" s="52"/>
    </row>
    <row r="24" spans="1:39">
      <c r="A24" s="21">
        <v>44568</v>
      </c>
      <c r="B24" s="22">
        <v>789.95809999999994</v>
      </c>
      <c r="C24" s="27">
        <v>6.4355000000000002</v>
      </c>
      <c r="D24" s="23">
        <f t="shared" si="1"/>
        <v>796.39359999999999</v>
      </c>
      <c r="E24" s="24">
        <f t="shared" si="2"/>
        <v>-0.29999999992469401</v>
      </c>
      <c r="F24" s="25">
        <f t="shared" si="3"/>
        <v>-2.9999999999290599</v>
      </c>
      <c r="G24" s="26">
        <f t="shared" si="4"/>
        <v>-0.149999999962347</v>
      </c>
      <c r="H24" s="6">
        <v>8.3902000000000001</v>
      </c>
      <c r="I24" s="35">
        <f t="shared" si="5"/>
        <v>798.34829999999999</v>
      </c>
      <c r="J24" s="24">
        <f t="shared" si="6"/>
        <v>0.30000000003838101</v>
      </c>
      <c r="K24" s="25">
        <f t="shared" si="7"/>
        <v>-2.9999999999290599</v>
      </c>
      <c r="L24" s="26">
        <f t="shared" si="8"/>
        <v>0.15000000001919001</v>
      </c>
      <c r="M24" s="6">
        <v>7.5317999999999996</v>
      </c>
      <c r="N24" s="35">
        <f t="shared" si="9"/>
        <v>797.48990000000003</v>
      </c>
      <c r="O24" s="24">
        <f t="shared" si="10"/>
        <v>-0.20000000006348301</v>
      </c>
      <c r="P24" s="25">
        <f t="shared" si="11"/>
        <v>-2.70000000000437</v>
      </c>
      <c r="Q24" s="26">
        <f t="shared" si="12"/>
        <v>-0.100000000031741</v>
      </c>
      <c r="S24" s="21">
        <f t="shared" si="13"/>
        <v>44568</v>
      </c>
      <c r="T24" s="42">
        <v>10.254899999999999</v>
      </c>
      <c r="U24" s="43">
        <f t="shared" si="14"/>
        <v>-0.70000000000014495</v>
      </c>
      <c r="V24" s="44">
        <f t="shared" si="15"/>
        <v>-3.6000000000004899</v>
      </c>
      <c r="W24" s="45">
        <f t="shared" si="16"/>
        <v>0.35000000000007198</v>
      </c>
      <c r="X24" s="29">
        <v>17.228999999999999</v>
      </c>
      <c r="Y24" s="43">
        <f t="shared" si="17"/>
        <v>0.59999999999860198</v>
      </c>
      <c r="Z24" s="44">
        <f t="shared" si="18"/>
        <v>-2.5000000000012799</v>
      </c>
      <c r="AA24" s="45">
        <f t="shared" si="19"/>
        <v>0.29999999999930099</v>
      </c>
      <c r="AB24" s="49">
        <v>11.322699999999999</v>
      </c>
      <c r="AC24" s="43">
        <f t="shared" si="20"/>
        <v>-0.50000000000061096</v>
      </c>
      <c r="AD24" s="44">
        <f t="shared" si="21"/>
        <v>-1.50000000000006</v>
      </c>
      <c r="AE24" s="45">
        <f t="shared" si="22"/>
        <v>-0.25000000000030598</v>
      </c>
      <c r="AF24" s="50">
        <v>79339</v>
      </c>
      <c r="AG24" s="58">
        <f t="shared" si="0"/>
        <v>88</v>
      </c>
      <c r="AH24" s="61"/>
      <c r="AI24" s="52"/>
      <c r="AJ24" s="52"/>
      <c r="AK24" s="52"/>
      <c r="AL24" s="52"/>
      <c r="AM24" s="52"/>
    </row>
    <row r="25" spans="1:39">
      <c r="A25" s="21">
        <v>44570</v>
      </c>
      <c r="B25" s="22">
        <v>789.95809999999994</v>
      </c>
      <c r="C25" s="27">
        <v>6.4356999999999998</v>
      </c>
      <c r="D25" s="23">
        <f t="shared" si="1"/>
        <v>796.39380000000006</v>
      </c>
      <c r="E25" s="24">
        <f t="shared" si="2"/>
        <v>0.199999999949796</v>
      </c>
      <c r="F25" s="25">
        <f t="shared" si="3"/>
        <v>-2.79999999997926</v>
      </c>
      <c r="G25" s="26">
        <f t="shared" si="4"/>
        <v>9.9999999974897905E-2</v>
      </c>
      <c r="H25" s="6">
        <v>8.3901000000000003</v>
      </c>
      <c r="I25" s="35">
        <f t="shared" si="5"/>
        <v>798.34820000000002</v>
      </c>
      <c r="J25" s="24">
        <f t="shared" si="6"/>
        <v>-0.10000000008858501</v>
      </c>
      <c r="K25" s="25">
        <f t="shared" si="7"/>
        <v>-3.1000000000176402</v>
      </c>
      <c r="L25" s="26">
        <f t="shared" si="8"/>
        <v>-5.0000000044292399E-2</v>
      </c>
      <c r="M25" s="6">
        <v>7.5319000000000003</v>
      </c>
      <c r="N25" s="35">
        <f t="shared" si="9"/>
        <v>797.49</v>
      </c>
      <c r="O25" s="24">
        <f t="shared" si="10"/>
        <v>9.9999999974897905E-2</v>
      </c>
      <c r="P25" s="25">
        <f t="shared" si="11"/>
        <v>-2.6000000000294698</v>
      </c>
      <c r="Q25" s="26">
        <f t="shared" si="12"/>
        <v>4.9999999987449001E-2</v>
      </c>
      <c r="R25" s="41"/>
      <c r="S25" s="21">
        <f t="shared" si="13"/>
        <v>44570</v>
      </c>
      <c r="T25" s="42">
        <v>10.255100000000001</v>
      </c>
      <c r="U25" s="43">
        <f t="shared" si="14"/>
        <v>0.20000000000130999</v>
      </c>
      <c r="V25" s="44">
        <f t="shared" si="15"/>
        <v>-3.3999999999991801</v>
      </c>
      <c r="W25" s="45">
        <f t="shared" si="16"/>
        <v>-0.100000000000655</v>
      </c>
      <c r="X25" s="29">
        <v>17.229099999999999</v>
      </c>
      <c r="Y25" s="43">
        <f t="shared" si="17"/>
        <v>9.99999999997669E-2</v>
      </c>
      <c r="Z25" s="44">
        <f t="shared" si="18"/>
        <v>-2.4000000000015098</v>
      </c>
      <c r="AA25" s="45">
        <f t="shared" si="19"/>
        <v>4.9999999999883499E-2</v>
      </c>
      <c r="AB25" s="49">
        <v>11.3225</v>
      </c>
      <c r="AC25" s="43">
        <f t="shared" si="20"/>
        <v>-0.19999999999953399</v>
      </c>
      <c r="AD25" s="44">
        <f t="shared" si="21"/>
        <v>-1.6999999999995901</v>
      </c>
      <c r="AE25" s="45">
        <f t="shared" si="22"/>
        <v>-9.99999999997669E-2</v>
      </c>
      <c r="AF25" s="50">
        <v>79346</v>
      </c>
      <c r="AG25" s="58">
        <f t="shared" si="0"/>
        <v>95</v>
      </c>
      <c r="AH25" s="61"/>
      <c r="AI25" s="52"/>
      <c r="AJ25" s="52"/>
      <c r="AK25" s="52"/>
      <c r="AL25" s="52"/>
      <c r="AM25" s="52"/>
    </row>
    <row r="26" spans="1:39">
      <c r="A26" s="21">
        <v>44572</v>
      </c>
      <c r="B26" s="22">
        <v>789.95809999999994</v>
      </c>
      <c r="C26" s="27">
        <v>6.4355000000000002</v>
      </c>
      <c r="D26" s="23">
        <f t="shared" si="1"/>
        <v>796.39359999999999</v>
      </c>
      <c r="E26" s="24">
        <f t="shared" ref="E26:E29" si="23">(D26-D25)*1000</f>
        <v>-0.199999999949796</v>
      </c>
      <c r="F26" s="25">
        <f t="shared" ref="F26:F29" si="24">F25+E26</f>
        <v>-2.9999999999290599</v>
      </c>
      <c r="G26" s="26">
        <f t="shared" ref="G26:G29" si="25">E26/(A26-A25)</f>
        <v>-9.9999999974897905E-2</v>
      </c>
      <c r="H26" s="6">
        <v>8.3899000000000008</v>
      </c>
      <c r="I26" s="35">
        <f t="shared" si="5"/>
        <v>798.34799999999996</v>
      </c>
      <c r="J26" s="24">
        <f t="shared" ref="J26:J29" si="26">(I26-I25)*1000</f>
        <v>-0.199999999949796</v>
      </c>
      <c r="K26" s="25">
        <f t="shared" ref="K26:K29" si="27">K25+J26</f>
        <v>-3.2999999999674401</v>
      </c>
      <c r="L26" s="26">
        <f t="shared" ref="L26:L29" si="28">J26/(A26-A25)</f>
        <v>-9.9999999974897905E-2</v>
      </c>
      <c r="M26" s="6">
        <v>7.5320999999999998</v>
      </c>
      <c r="N26" s="35">
        <f t="shared" si="9"/>
        <v>797.49019999999996</v>
      </c>
      <c r="O26" s="24">
        <f t="shared" ref="O26:O29" si="29">(N26-N25)*1000</f>
        <v>0.20000000006348301</v>
      </c>
      <c r="P26" s="25">
        <f t="shared" ref="P26:P29" si="30">P25+O26</f>
        <v>-2.39999999996598</v>
      </c>
      <c r="Q26" s="26">
        <f t="shared" ref="Q26:Q29" si="31">O26/(A26-A25)</f>
        <v>0.100000000031741</v>
      </c>
      <c r="R26" s="41"/>
      <c r="S26" s="21">
        <f t="shared" si="13"/>
        <v>44572</v>
      </c>
      <c r="T26" s="42">
        <v>10.254799999999999</v>
      </c>
      <c r="U26" s="43">
        <f t="shared" ref="U26:U29" si="32">(T26-T25)*1000</f>
        <v>-0.30000000000107702</v>
      </c>
      <c r="V26" s="44">
        <f t="shared" ref="V26:V29" si="33">V25+U26</f>
        <v>-3.70000000000026</v>
      </c>
      <c r="W26" s="45">
        <f t="shared" ref="W26:W29" si="34">U26/(S25-S26)</f>
        <v>0.15000000000053901</v>
      </c>
      <c r="X26" s="29">
        <v>17.228999999999999</v>
      </c>
      <c r="Y26" s="43">
        <f t="shared" ref="Y26:Y29" si="35">(X26-X25)*1000</f>
        <v>-9.99999999997669E-2</v>
      </c>
      <c r="Z26" s="44">
        <f t="shared" ref="Z26:Z29" si="36">Z25+Y26</f>
        <v>-2.5000000000012799</v>
      </c>
      <c r="AA26" s="45">
        <f t="shared" ref="AA26:AA29" si="37">Y26/(S26-S25)</f>
        <v>-4.9999999999883499E-2</v>
      </c>
      <c r="AB26" s="49">
        <v>11.3222</v>
      </c>
      <c r="AC26" s="43">
        <f t="shared" ref="AC26:AC29" si="38">(AB26-AB25)*1000</f>
        <v>-0.29999999999930099</v>
      </c>
      <c r="AD26" s="44">
        <f t="shared" ref="AD26:AD29" si="39">AD25+AC26</f>
        <v>-1.99999999999889</v>
      </c>
      <c r="AE26" s="45">
        <f t="shared" ref="AE26:AE29" si="40">AC26/(S26-S25)</f>
        <v>-0.14999999999965</v>
      </c>
      <c r="AF26" s="50">
        <v>79353</v>
      </c>
      <c r="AG26" s="58">
        <f t="shared" si="0"/>
        <v>102</v>
      </c>
      <c r="AH26" s="61"/>
      <c r="AI26" s="52"/>
      <c r="AJ26" s="52"/>
      <c r="AK26" s="52"/>
      <c r="AL26" s="52"/>
      <c r="AM26" s="52"/>
    </row>
    <row r="27" spans="1:39">
      <c r="A27" s="21">
        <v>44574</v>
      </c>
      <c r="B27" s="22">
        <v>789.95809999999994</v>
      </c>
      <c r="C27" s="27">
        <v>6.4356</v>
      </c>
      <c r="D27" s="23">
        <f t="shared" si="1"/>
        <v>796.39369999999997</v>
      </c>
      <c r="E27" s="24">
        <f t="shared" si="23"/>
        <v>9.9999999974897905E-2</v>
      </c>
      <c r="F27" s="25">
        <f t="shared" si="24"/>
        <v>-2.8999999999541601</v>
      </c>
      <c r="G27" s="26">
        <f t="shared" si="25"/>
        <v>4.9999999987449001E-2</v>
      </c>
      <c r="H27" s="6">
        <v>8.3897999999999993</v>
      </c>
      <c r="I27" s="35">
        <f t="shared" si="5"/>
        <v>798.34789999999998</v>
      </c>
      <c r="J27" s="24">
        <f t="shared" si="26"/>
        <v>-9.9999999974897905E-2</v>
      </c>
      <c r="K27" s="25">
        <f t="shared" si="27"/>
        <v>-3.3999999999423398</v>
      </c>
      <c r="L27" s="26">
        <f t="shared" si="28"/>
        <v>-4.9999999987449001E-2</v>
      </c>
      <c r="M27" s="6">
        <v>7.5321999999999996</v>
      </c>
      <c r="N27" s="35">
        <f t="shared" si="9"/>
        <v>797.49030000000005</v>
      </c>
      <c r="O27" s="24">
        <f t="shared" si="29"/>
        <v>9.9999999974897905E-2</v>
      </c>
      <c r="P27" s="25">
        <f t="shared" si="30"/>
        <v>-2.2999999999910901</v>
      </c>
      <c r="Q27" s="26">
        <f t="shared" si="31"/>
        <v>4.9999999987449001E-2</v>
      </c>
      <c r="R27" s="41"/>
      <c r="S27" s="21">
        <f t="shared" si="13"/>
        <v>44574</v>
      </c>
      <c r="T27" s="42">
        <v>10.254899999999999</v>
      </c>
      <c r="U27" s="43">
        <f t="shared" si="32"/>
        <v>9.99999999997669E-2</v>
      </c>
      <c r="V27" s="44">
        <f t="shared" si="33"/>
        <v>-3.6000000000004899</v>
      </c>
      <c r="W27" s="45">
        <f t="shared" si="34"/>
        <v>-4.9999999999883499E-2</v>
      </c>
      <c r="X27" s="29">
        <v>17.2288</v>
      </c>
      <c r="Y27" s="43">
        <f t="shared" si="35"/>
        <v>-0.19999999999953399</v>
      </c>
      <c r="Z27" s="44">
        <f t="shared" si="36"/>
        <v>-2.7000000000008102</v>
      </c>
      <c r="AA27" s="45">
        <f t="shared" si="37"/>
        <v>-9.99999999997669E-2</v>
      </c>
      <c r="AB27" s="49">
        <v>11.321999999999999</v>
      </c>
      <c r="AC27" s="43">
        <f t="shared" si="38"/>
        <v>-0.20000000000130999</v>
      </c>
      <c r="AD27" s="44">
        <f t="shared" si="39"/>
        <v>-2.2000000000002</v>
      </c>
      <c r="AE27" s="45">
        <f t="shared" si="40"/>
        <v>-0.100000000000655</v>
      </c>
      <c r="AF27" s="50">
        <v>79360</v>
      </c>
      <c r="AG27" s="58">
        <f t="shared" si="0"/>
        <v>109</v>
      </c>
      <c r="AH27" s="61"/>
      <c r="AI27" s="52"/>
      <c r="AJ27" s="52"/>
      <c r="AK27" s="52"/>
      <c r="AL27" s="52"/>
      <c r="AM27" s="52"/>
    </row>
    <row r="28" spans="1:39">
      <c r="A28" s="21">
        <v>44576</v>
      </c>
      <c r="B28" s="22">
        <v>789.95809999999994</v>
      </c>
      <c r="C28" s="27">
        <v>6.4359000000000002</v>
      </c>
      <c r="D28" s="23">
        <f t="shared" si="1"/>
        <v>796.39400000000001</v>
      </c>
      <c r="E28" s="24">
        <f t="shared" si="23"/>
        <v>0.29999999992469401</v>
      </c>
      <c r="F28" s="25">
        <f t="shared" si="24"/>
        <v>-2.6000000000294698</v>
      </c>
      <c r="G28" s="26">
        <f t="shared" si="25"/>
        <v>0.149999999962347</v>
      </c>
      <c r="H28" s="6">
        <v>8.39</v>
      </c>
      <c r="I28" s="35">
        <f t="shared" si="5"/>
        <v>798.34810000000004</v>
      </c>
      <c r="J28" s="24">
        <f t="shared" si="26"/>
        <v>0.199999999949796</v>
      </c>
      <c r="K28" s="25">
        <f t="shared" si="27"/>
        <v>-3.1999999999925399</v>
      </c>
      <c r="L28" s="26">
        <f t="shared" si="28"/>
        <v>9.9999999974897905E-2</v>
      </c>
      <c r="M28" s="6">
        <v>7.532</v>
      </c>
      <c r="N28" s="35">
        <f t="shared" si="9"/>
        <v>797.49009999999998</v>
      </c>
      <c r="O28" s="24">
        <f t="shared" si="29"/>
        <v>-0.199999999949796</v>
      </c>
      <c r="P28" s="25">
        <f t="shared" si="30"/>
        <v>-2.4999999999408802</v>
      </c>
      <c r="Q28" s="26">
        <f t="shared" si="31"/>
        <v>-9.9999999974897905E-2</v>
      </c>
      <c r="S28" s="21">
        <f t="shared" si="13"/>
        <v>44576</v>
      </c>
      <c r="T28" s="42">
        <v>10.2553</v>
      </c>
      <c r="U28" s="43">
        <f t="shared" si="32"/>
        <v>0.40000000000084401</v>
      </c>
      <c r="V28" s="44">
        <f t="shared" si="33"/>
        <v>-3.1999999999996498</v>
      </c>
      <c r="W28" s="45">
        <f t="shared" si="34"/>
        <v>-0.20000000000042201</v>
      </c>
      <c r="X28" s="29">
        <v>17.229199999999999</v>
      </c>
      <c r="Y28" s="43">
        <f t="shared" si="35"/>
        <v>0.39999999999906799</v>
      </c>
      <c r="Z28" s="44">
        <f t="shared" si="36"/>
        <v>-2.3000000000017402</v>
      </c>
      <c r="AA28" s="45">
        <f t="shared" si="37"/>
        <v>0.19999999999953399</v>
      </c>
      <c r="AB28" s="49">
        <v>11.3223</v>
      </c>
      <c r="AC28" s="43">
        <f t="shared" si="38"/>
        <v>0.30000000000107702</v>
      </c>
      <c r="AD28" s="44">
        <f t="shared" si="39"/>
        <v>-1.8999999999991199</v>
      </c>
      <c r="AE28" s="45">
        <f t="shared" si="40"/>
        <v>0.15000000000053901</v>
      </c>
      <c r="AF28" s="50">
        <v>79365.8</v>
      </c>
      <c r="AG28" s="58">
        <f t="shared" si="0"/>
        <v>114.800000000003</v>
      </c>
      <c r="AH28" s="61"/>
      <c r="AI28" s="52"/>
      <c r="AJ28" s="61"/>
      <c r="AK28" s="62"/>
      <c r="AL28" s="60"/>
      <c r="AM28" s="64"/>
    </row>
    <row r="29" spans="1:39">
      <c r="A29" s="21">
        <v>44581</v>
      </c>
      <c r="B29" s="22">
        <v>789.95809999999994</v>
      </c>
      <c r="C29" s="27">
        <v>6.4360999999999997</v>
      </c>
      <c r="D29" s="23">
        <f t="shared" si="1"/>
        <v>796.39419999999996</v>
      </c>
      <c r="E29" s="24">
        <f t="shared" si="23"/>
        <v>0.20000000006348301</v>
      </c>
      <c r="F29" s="25">
        <f t="shared" si="24"/>
        <v>-2.39999999996598</v>
      </c>
      <c r="G29" s="26">
        <f t="shared" si="25"/>
        <v>4.0000000012696497E-2</v>
      </c>
      <c r="H29" s="6">
        <v>8.3899000000000008</v>
      </c>
      <c r="I29" s="35">
        <f t="shared" si="5"/>
        <v>798.34799999999996</v>
      </c>
      <c r="J29" s="24">
        <f t="shared" si="26"/>
        <v>-9.9999999974897905E-2</v>
      </c>
      <c r="K29" s="25">
        <f t="shared" si="27"/>
        <v>-3.2999999999674401</v>
      </c>
      <c r="L29" s="26">
        <f t="shared" si="28"/>
        <v>-1.99999999949796E-2</v>
      </c>
      <c r="M29" s="6">
        <v>7.5320999999999998</v>
      </c>
      <c r="N29" s="35">
        <f t="shared" si="9"/>
        <v>797.49019999999996</v>
      </c>
      <c r="O29" s="24">
        <f t="shared" si="29"/>
        <v>9.9999999974897905E-2</v>
      </c>
      <c r="P29" s="25">
        <f t="shared" si="30"/>
        <v>-2.39999999996598</v>
      </c>
      <c r="Q29" s="26">
        <f t="shared" si="31"/>
        <v>1.99999999949796E-2</v>
      </c>
      <c r="R29" s="41"/>
      <c r="S29" s="21">
        <f t="shared" si="13"/>
        <v>44581</v>
      </c>
      <c r="T29" s="42">
        <v>10.2555</v>
      </c>
      <c r="U29" s="43">
        <f t="shared" si="32"/>
        <v>0.19999999999953399</v>
      </c>
      <c r="V29" s="44">
        <f t="shared" si="33"/>
        <v>-3.0000000000001101</v>
      </c>
      <c r="W29" s="45">
        <f t="shared" si="34"/>
        <v>-3.9999999999906798E-2</v>
      </c>
      <c r="X29" s="29">
        <v>17.229299999999999</v>
      </c>
      <c r="Y29" s="43">
        <f t="shared" si="35"/>
        <v>9.99999999997669E-2</v>
      </c>
      <c r="Z29" s="44">
        <f t="shared" si="36"/>
        <v>-2.2000000000019799</v>
      </c>
      <c r="AA29" s="45">
        <f t="shared" si="37"/>
        <v>1.9999999999953399E-2</v>
      </c>
      <c r="AB29" s="49">
        <v>11.322100000000001</v>
      </c>
      <c r="AC29" s="43">
        <f t="shared" si="38"/>
        <v>-0.19999999999953399</v>
      </c>
      <c r="AD29" s="44">
        <f t="shared" si="39"/>
        <v>-2.0999999999986598</v>
      </c>
      <c r="AE29" s="45">
        <f t="shared" si="40"/>
        <v>-3.9999999999906798E-2</v>
      </c>
      <c r="AF29" s="50">
        <v>79385.2</v>
      </c>
      <c r="AG29" s="58">
        <f t="shared" si="0"/>
        <v>134.199999999997</v>
      </c>
      <c r="AH29" s="61"/>
      <c r="AI29" s="52"/>
      <c r="AJ29" s="61"/>
      <c r="AK29" s="62"/>
      <c r="AL29" s="60"/>
      <c r="AM29" s="64"/>
    </row>
    <row r="30" spans="1:39">
      <c r="A30" s="21">
        <v>44586</v>
      </c>
      <c r="B30" s="22">
        <v>789.95809999999994</v>
      </c>
      <c r="C30" s="27">
        <v>6.4359999999999999</v>
      </c>
      <c r="D30" s="23">
        <f t="shared" si="1"/>
        <v>796.39409999999998</v>
      </c>
      <c r="E30" s="24">
        <f t="shared" ref="E30:E31" si="41">(D30-D29)*1000</f>
        <v>-9.9999999974897905E-2</v>
      </c>
      <c r="F30" s="25">
        <f t="shared" ref="F30:F31" si="42">F29+E30</f>
        <v>-2.4999999999408802</v>
      </c>
      <c r="G30" s="26">
        <f t="shared" ref="G30:G31" si="43">E30/(A30-A29)</f>
        <v>-1.99999999949796E-2</v>
      </c>
      <c r="H30" s="6">
        <v>8.3896999999999995</v>
      </c>
      <c r="I30" s="35">
        <f t="shared" si="5"/>
        <v>798.34780000000001</v>
      </c>
      <c r="J30" s="24">
        <f t="shared" ref="J30:J33" si="44">(I30-I29)*1000</f>
        <v>-0.20000000006348301</v>
      </c>
      <c r="K30" s="25">
        <f t="shared" ref="K30:K33" si="45">K29+J30</f>
        <v>-3.5000000000309202</v>
      </c>
      <c r="L30" s="26">
        <f t="shared" ref="L30:L33" si="46">J30/(A30-A29)</f>
        <v>-4.0000000012696497E-2</v>
      </c>
      <c r="M30" s="6">
        <v>7.5321999999999996</v>
      </c>
      <c r="N30" s="35">
        <f t="shared" si="9"/>
        <v>797.49030000000005</v>
      </c>
      <c r="O30" s="24">
        <f t="shared" ref="O30:O33" si="47">(N30-N29)*1000</f>
        <v>9.9999999974897905E-2</v>
      </c>
      <c r="P30" s="25">
        <f t="shared" ref="P30:P33" si="48">P29+O30</f>
        <v>-2.2999999999910901</v>
      </c>
      <c r="Q30" s="26">
        <f t="shared" ref="Q30:Q33" si="49">O30/(A30-A29)</f>
        <v>1.99999999949796E-2</v>
      </c>
      <c r="R30" s="41"/>
      <c r="S30" s="21">
        <f t="shared" si="13"/>
        <v>44586</v>
      </c>
      <c r="T30" s="42">
        <v>10.2554</v>
      </c>
      <c r="U30" s="43">
        <f t="shared" ref="U30:U33" si="50">(T30-T29)*1000</f>
        <v>-9.99999999997669E-2</v>
      </c>
      <c r="V30" s="44">
        <f t="shared" ref="V30:V33" si="51">V29+U30</f>
        <v>-3.0999999999998802</v>
      </c>
      <c r="W30" s="45">
        <f t="shared" ref="W30:W33" si="52">U30/(S29-S30)</f>
        <v>1.9999999999953399E-2</v>
      </c>
      <c r="X30" s="29">
        <v>17.229099999999999</v>
      </c>
      <c r="Y30" s="43">
        <f t="shared" ref="Y30:Y33" si="53">(X30-X29)*1000</f>
        <v>-0.19999999999953399</v>
      </c>
      <c r="Z30" s="44">
        <f t="shared" ref="Z30:Z33" si="54">Z29+Y30</f>
        <v>-2.4000000000015098</v>
      </c>
      <c r="AA30" s="45">
        <f t="shared" ref="AA30:AA33" si="55">Y30/(S30-S29)</f>
        <v>-3.9999999999906798E-2</v>
      </c>
      <c r="AB30" s="49">
        <v>11.321999999999999</v>
      </c>
      <c r="AC30" s="43">
        <f t="shared" ref="AC30:AC33" si="56">(AB30-AB29)*1000</f>
        <v>-0.10000000000154299</v>
      </c>
      <c r="AD30" s="44">
        <f t="shared" ref="AD30:AD33" si="57">AD29+AC30</f>
        <v>-2.2000000000002</v>
      </c>
      <c r="AE30" s="45">
        <f t="shared" ref="AE30:AE33" si="58">AC30/(S30-S29)</f>
        <v>-2.0000000000308701E-2</v>
      </c>
      <c r="AF30" s="50">
        <v>79385.2</v>
      </c>
      <c r="AG30" s="58">
        <f t="shared" si="0"/>
        <v>134.199999999997</v>
      </c>
      <c r="AH30" s="61"/>
      <c r="AI30" s="52"/>
      <c r="AJ30" s="61"/>
      <c r="AK30" s="62"/>
      <c r="AL30" s="60"/>
      <c r="AM30" s="64"/>
    </row>
    <row r="31" spans="1:39">
      <c r="A31" s="21">
        <v>44597</v>
      </c>
      <c r="B31" s="22">
        <v>789.95809999999994</v>
      </c>
      <c r="C31" s="27">
        <v>6.4358000000000004</v>
      </c>
      <c r="D31" s="23">
        <f t="shared" si="1"/>
        <v>796.39390000000003</v>
      </c>
      <c r="E31" s="24">
        <f t="shared" si="41"/>
        <v>-0.20000000006348301</v>
      </c>
      <c r="F31" s="25">
        <f t="shared" si="42"/>
        <v>-2.70000000000437</v>
      </c>
      <c r="G31" s="26">
        <f t="shared" si="43"/>
        <v>-1.8181818187589301E-2</v>
      </c>
      <c r="H31" s="6">
        <v>8.3895999999999997</v>
      </c>
      <c r="I31" s="35">
        <f t="shared" si="5"/>
        <v>798.34770000000003</v>
      </c>
      <c r="J31" s="24">
        <f t="shared" si="44"/>
        <v>-9.9999999974897905E-2</v>
      </c>
      <c r="K31" s="25">
        <f t="shared" si="45"/>
        <v>-3.6000000000058199</v>
      </c>
      <c r="L31" s="26">
        <f t="shared" si="46"/>
        <v>-9.0909090886270895E-3</v>
      </c>
      <c r="M31" s="6">
        <v>7.5323000000000002</v>
      </c>
      <c r="N31" s="35">
        <f t="shared" si="9"/>
        <v>797.49040000000002</v>
      </c>
      <c r="O31" s="24">
        <f t="shared" si="47"/>
        <v>9.9999999974897905E-2</v>
      </c>
      <c r="P31" s="25">
        <f t="shared" si="48"/>
        <v>-2.2000000000161899</v>
      </c>
      <c r="Q31" s="26">
        <f t="shared" si="49"/>
        <v>9.0909090886270895E-3</v>
      </c>
      <c r="R31" s="41"/>
      <c r="S31" s="21">
        <f t="shared" si="13"/>
        <v>44597</v>
      </c>
      <c r="T31" s="42">
        <v>10.2553</v>
      </c>
      <c r="U31" s="43">
        <f t="shared" si="50"/>
        <v>-9.99999999997669E-2</v>
      </c>
      <c r="V31" s="44">
        <f t="shared" si="51"/>
        <v>-3.1999999999996498</v>
      </c>
      <c r="W31" s="45">
        <f t="shared" si="52"/>
        <v>9.0909090908879008E-3</v>
      </c>
      <c r="X31" s="29">
        <v>17.229199999999999</v>
      </c>
      <c r="Y31" s="43">
        <f t="shared" si="53"/>
        <v>9.99999999997669E-2</v>
      </c>
      <c r="Z31" s="44">
        <f t="shared" si="54"/>
        <v>-2.3000000000017402</v>
      </c>
      <c r="AA31" s="45">
        <f t="shared" si="55"/>
        <v>9.0909090908879008E-3</v>
      </c>
      <c r="AB31" s="49">
        <v>11.3222</v>
      </c>
      <c r="AC31" s="43">
        <f t="shared" si="56"/>
        <v>0.20000000000130999</v>
      </c>
      <c r="AD31" s="44">
        <f t="shared" si="57"/>
        <v>-1.99999999999889</v>
      </c>
      <c r="AE31" s="45">
        <f t="shared" si="58"/>
        <v>1.8181818181937301E-2</v>
      </c>
      <c r="AF31" s="50">
        <v>79385.2</v>
      </c>
      <c r="AG31" s="58">
        <f t="shared" si="0"/>
        <v>134.199999999997</v>
      </c>
      <c r="AH31" s="61"/>
      <c r="AI31" s="52"/>
      <c r="AJ31" s="61"/>
      <c r="AK31" s="62"/>
      <c r="AL31" s="60"/>
      <c r="AM31" s="64"/>
    </row>
    <row r="32" spans="1:39">
      <c r="A32" s="21">
        <v>44602</v>
      </c>
      <c r="B32" s="22">
        <v>789.95809999999994</v>
      </c>
      <c r="C32" s="27">
        <v>6.4359999999999999</v>
      </c>
      <c r="D32" s="23">
        <f t="shared" si="1"/>
        <v>796.39409999999998</v>
      </c>
      <c r="E32" s="24">
        <f t="shared" ref="E32" si="59">(D32-D31)*1000</f>
        <v>0.20000000006348301</v>
      </c>
      <c r="F32" s="25">
        <f t="shared" ref="F32" si="60">F31+E32</f>
        <v>-2.4999999999408802</v>
      </c>
      <c r="G32" s="26">
        <f t="shared" ref="G32" si="61">E32/(A32-A31)</f>
        <v>4.0000000012696497E-2</v>
      </c>
      <c r="H32" s="6">
        <v>8.3895</v>
      </c>
      <c r="I32" s="35">
        <f t="shared" si="5"/>
        <v>798.34760000000006</v>
      </c>
      <c r="J32" s="24">
        <f t="shared" si="44"/>
        <v>-9.9999999974897905E-2</v>
      </c>
      <c r="K32" s="25">
        <f t="shared" si="45"/>
        <v>-3.69999999998072</v>
      </c>
      <c r="L32" s="26">
        <f t="shared" si="46"/>
        <v>-1.99999999949796E-2</v>
      </c>
      <c r="M32" s="6">
        <v>7.532</v>
      </c>
      <c r="N32" s="35">
        <f t="shared" si="9"/>
        <v>797.49009999999998</v>
      </c>
      <c r="O32" s="24">
        <f t="shared" si="47"/>
        <v>-0.29999999992469401</v>
      </c>
      <c r="P32" s="25">
        <f t="shared" si="48"/>
        <v>-2.4999999999408802</v>
      </c>
      <c r="Q32" s="26">
        <f t="shared" si="49"/>
        <v>-5.9999999984938802E-2</v>
      </c>
      <c r="R32" s="41"/>
      <c r="S32" s="21">
        <f t="shared" si="13"/>
        <v>44602</v>
      </c>
      <c r="T32" s="42">
        <v>10.2555</v>
      </c>
      <c r="U32" s="43">
        <f t="shared" si="50"/>
        <v>0.19999999999953399</v>
      </c>
      <c r="V32" s="44">
        <f t="shared" si="51"/>
        <v>-3.0000000000001101</v>
      </c>
      <c r="W32" s="45">
        <f t="shared" si="52"/>
        <v>-3.9999999999906798E-2</v>
      </c>
      <c r="X32" s="29">
        <v>17.229099999999999</v>
      </c>
      <c r="Y32" s="43">
        <f t="shared" si="53"/>
        <v>-9.99999999997669E-2</v>
      </c>
      <c r="Z32" s="44">
        <f t="shared" si="54"/>
        <v>-2.4000000000015098</v>
      </c>
      <c r="AA32" s="45">
        <f t="shared" si="55"/>
        <v>-1.9999999999953399E-2</v>
      </c>
      <c r="AB32" s="49">
        <v>11.322100000000001</v>
      </c>
      <c r="AC32" s="43">
        <f t="shared" si="56"/>
        <v>-9.99999999997669E-2</v>
      </c>
      <c r="AD32" s="44">
        <f t="shared" si="57"/>
        <v>-2.0999999999986598</v>
      </c>
      <c r="AE32" s="45">
        <f t="shared" si="58"/>
        <v>-1.9999999999953399E-2</v>
      </c>
      <c r="AF32" s="50">
        <v>79393</v>
      </c>
      <c r="AG32" s="58">
        <f t="shared" si="0"/>
        <v>142</v>
      </c>
      <c r="AH32" s="61"/>
      <c r="AI32" s="52"/>
      <c r="AJ32" s="61"/>
      <c r="AK32" s="62"/>
      <c r="AL32" s="60"/>
      <c r="AM32" s="64"/>
    </row>
    <row r="33" spans="1:39" s="67" customFormat="1">
      <c r="A33" s="21">
        <v>44612</v>
      </c>
      <c r="B33" s="22">
        <v>789.95809999999994</v>
      </c>
      <c r="C33" s="27">
        <v>6.4363000000000001</v>
      </c>
      <c r="D33" s="23">
        <f t="shared" si="1"/>
        <v>796.39440000000002</v>
      </c>
      <c r="E33" s="24">
        <f t="shared" ref="E33" si="62">(D33-D32)*1000</f>
        <v>0.29999999992469401</v>
      </c>
      <c r="F33" s="25">
        <f t="shared" ref="F33" si="63">F32+E33</f>
        <v>-2.2000000000161899</v>
      </c>
      <c r="G33" s="26">
        <f t="shared" ref="G33" si="64">E33/(A33-A32)</f>
        <v>2.9999999992469401E-2</v>
      </c>
      <c r="H33" s="6">
        <v>8.3897999999999993</v>
      </c>
      <c r="I33" s="35">
        <f t="shared" si="5"/>
        <v>798.34789999999998</v>
      </c>
      <c r="J33" s="24">
        <f t="shared" si="44"/>
        <v>0.30000000003838101</v>
      </c>
      <c r="K33" s="25">
        <f t="shared" si="45"/>
        <v>-3.3999999999423398</v>
      </c>
      <c r="L33" s="26">
        <f t="shared" si="46"/>
        <v>3.0000000003838099E-2</v>
      </c>
      <c r="M33" s="6">
        <v>7.5321999999999996</v>
      </c>
      <c r="N33" s="35">
        <f t="shared" si="9"/>
        <v>797.49030000000005</v>
      </c>
      <c r="O33" s="24">
        <f t="shared" si="47"/>
        <v>0.199999999949796</v>
      </c>
      <c r="P33" s="25">
        <f t="shared" si="48"/>
        <v>-2.2999999999910901</v>
      </c>
      <c r="Q33" s="26">
        <f t="shared" si="49"/>
        <v>1.99999999949796E-2</v>
      </c>
      <c r="R33" s="41"/>
      <c r="S33" s="21">
        <v>44612</v>
      </c>
      <c r="T33" s="42">
        <v>10.255699999999999</v>
      </c>
      <c r="U33" s="43">
        <f t="shared" si="50"/>
        <v>0.19999999999953399</v>
      </c>
      <c r="V33" s="44">
        <f t="shared" si="51"/>
        <v>-2.8000000000005798</v>
      </c>
      <c r="W33" s="45">
        <f t="shared" si="52"/>
        <v>-1.9999999999953399E-2</v>
      </c>
      <c r="X33" s="29">
        <v>17.229399999999998</v>
      </c>
      <c r="Y33" s="43">
        <f t="shared" si="53"/>
        <v>0.29999999999930099</v>
      </c>
      <c r="Z33" s="44">
        <f t="shared" si="54"/>
        <v>-2.1000000000022099</v>
      </c>
      <c r="AA33" s="45">
        <f t="shared" si="55"/>
        <v>2.99999999999301E-2</v>
      </c>
      <c r="AB33" s="49">
        <v>11.321899999999999</v>
      </c>
      <c r="AC33" s="43">
        <f t="shared" si="56"/>
        <v>-0.20000000000130999</v>
      </c>
      <c r="AD33" s="44">
        <f t="shared" si="57"/>
        <v>-2.2999999999999701</v>
      </c>
      <c r="AE33" s="45">
        <f t="shared" si="58"/>
        <v>-2.0000000000131E-2</v>
      </c>
      <c r="AF33" s="50">
        <v>79404.600000000006</v>
      </c>
      <c r="AG33" s="58">
        <f t="shared" si="0"/>
        <v>153.60000000000599</v>
      </c>
      <c r="AH33" s="61"/>
      <c r="AI33" s="60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65">
        <f>F33-F29</f>
        <v>0.199999999949796</v>
      </c>
      <c r="F35" s="33">
        <f>K33-K29</f>
        <v>-9.9999999974897905E-2</v>
      </c>
      <c r="G35" s="33">
        <f>P33-P29</f>
        <v>9.9999999974897905E-2</v>
      </c>
      <c r="H35" s="68">
        <f>F33</f>
        <v>-2.2000000000161899</v>
      </c>
      <c r="I35" s="69">
        <f>K33</f>
        <v>-3.3999999999423398</v>
      </c>
      <c r="J35" s="65">
        <f>P33</f>
        <v>-2.2999999999910901</v>
      </c>
      <c r="K35" s="33">
        <f>(F33-F29)/30</f>
        <v>6.6666666649932002E-3</v>
      </c>
      <c r="L35" s="26"/>
      <c r="N35" s="35"/>
      <c r="O35" s="24"/>
      <c r="P35" s="25"/>
      <c r="Q35" s="26"/>
      <c r="R35" s="41"/>
      <c r="S35" s="21"/>
      <c r="T35" s="42"/>
      <c r="U35" s="65">
        <f>V33-V29</f>
        <v>0.19999999999953399</v>
      </c>
      <c r="V35" s="33">
        <f>Z33-Z29</f>
        <v>9.99999999997669E-2</v>
      </c>
      <c r="W35" s="33">
        <f>AD33-AD29</f>
        <v>-0.20000000000130999</v>
      </c>
      <c r="X35" s="33">
        <f>V33</f>
        <v>-2.8000000000005798</v>
      </c>
      <c r="Y35" s="65">
        <f>Z33</f>
        <v>-2.1000000000022099</v>
      </c>
      <c r="Z35" s="33">
        <f>AD33</f>
        <v>-2.2999999999999701</v>
      </c>
      <c r="AA35" s="33">
        <f>(AD33-AD29)/30</f>
        <v>-6.6666666667103396E-3</v>
      </c>
      <c r="AB35" s="49"/>
      <c r="AC35" s="43"/>
      <c r="AD35" s="44"/>
      <c r="AE35" s="45"/>
      <c r="AF35" s="50"/>
      <c r="AG35" s="58"/>
      <c r="AH35" s="61"/>
      <c r="AI35" s="60"/>
      <c r="AJ35"/>
      <c r="AK35"/>
      <c r="AL35"/>
      <c r="AM35"/>
    </row>
    <row r="36" spans="1:39">
      <c r="A36" s="21"/>
      <c r="B36" s="22"/>
      <c r="C36" s="27"/>
      <c r="D36" s="23"/>
      <c r="E36" s="24"/>
      <c r="F36" s="25"/>
      <c r="G36" s="26"/>
      <c r="I36" s="35"/>
      <c r="J36" s="24"/>
      <c r="K36" s="25"/>
      <c r="L36" s="26"/>
      <c r="N36" s="35"/>
      <c r="O36" s="24"/>
      <c r="P36" s="25"/>
      <c r="Q36" s="26"/>
      <c r="R36" s="41"/>
      <c r="S36" s="21"/>
      <c r="T36" s="42"/>
      <c r="U36" s="43"/>
      <c r="V36" s="44"/>
      <c r="W36" s="45"/>
      <c r="X36" s="29"/>
      <c r="Y36" s="43"/>
      <c r="Z36" s="44"/>
      <c r="AA36" s="45"/>
      <c r="AB36" s="49"/>
      <c r="AC36" s="43"/>
      <c r="AD36" s="44"/>
      <c r="AE36" s="45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21"/>
      <c r="B37" s="22"/>
      <c r="C37" s="27"/>
      <c r="D37" s="23"/>
      <c r="E37" s="24"/>
      <c r="F37" s="25"/>
      <c r="G37" s="26"/>
      <c r="I37" s="35"/>
      <c r="J37" s="24"/>
      <c r="K37" s="25"/>
      <c r="L37" s="26"/>
      <c r="N37" s="35"/>
      <c r="O37" s="24"/>
      <c r="P37" s="25"/>
      <c r="Q37" s="26"/>
      <c r="R37" s="41"/>
      <c r="S37" s="21"/>
      <c r="T37" s="42"/>
      <c r="U37" s="43"/>
      <c r="V37" s="44"/>
      <c r="W37" s="45"/>
      <c r="X37" s="29"/>
      <c r="Y37" s="43"/>
      <c r="Z37" s="44"/>
      <c r="AA37" s="45"/>
      <c r="AB37" s="49"/>
      <c r="AC37" s="43"/>
      <c r="AD37" s="44"/>
      <c r="AE37" s="45"/>
      <c r="AF37" s="50"/>
      <c r="AG37" s="58"/>
      <c r="AH37" s="61"/>
      <c r="AI37" s="60"/>
      <c r="AJ37" s="61"/>
      <c r="AK37" s="62"/>
      <c r="AL37" s="60"/>
      <c r="AM37" s="64"/>
    </row>
    <row r="38" spans="1:39">
      <c r="A38" s="21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61"/>
      <c r="AI38" s="60"/>
      <c r="AJ38" s="61"/>
      <c r="AK38" s="62"/>
      <c r="AL38" s="60"/>
      <c r="AM38" s="64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47"/>
      <c r="Y42" s="24"/>
      <c r="Z42" s="25"/>
      <c r="AA42" s="26"/>
      <c r="AB42" s="47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6"/>
      <c r="U43" s="24"/>
      <c r="V43" s="25"/>
      <c r="W43" s="26"/>
      <c r="X43" s="29"/>
      <c r="Y43" s="24"/>
      <c r="Z43" s="25"/>
      <c r="AA43" s="26"/>
      <c r="AB43" s="29"/>
      <c r="AC43" s="24"/>
      <c r="AD43" s="25"/>
      <c r="AE43" s="26"/>
      <c r="AF43" s="50"/>
      <c r="AG43" s="58"/>
      <c r="AH43" s="51"/>
    </row>
    <row r="44" spans="1:39">
      <c r="A44" s="30"/>
      <c r="B44" s="22"/>
      <c r="C44" s="22"/>
      <c r="D44" s="28"/>
      <c r="E44" s="24"/>
      <c r="F44" s="25"/>
      <c r="G44" s="26"/>
      <c r="H44" s="29"/>
      <c r="I44" s="35"/>
      <c r="J44" s="24"/>
      <c r="K44" s="25"/>
      <c r="L44" s="26"/>
      <c r="M44" s="29"/>
      <c r="N44" s="35"/>
      <c r="O44" s="24"/>
      <c r="P44" s="25"/>
      <c r="Q44" s="26"/>
      <c r="R44" s="41"/>
      <c r="S44" s="30"/>
      <c r="T44" s="42"/>
      <c r="U44" s="24"/>
      <c r="V44" s="25"/>
      <c r="W44" s="26"/>
      <c r="X44" s="29"/>
      <c r="Y44" s="24"/>
      <c r="Z44" s="25"/>
      <c r="AA44" s="26"/>
      <c r="AB44" s="29"/>
      <c r="AC44" s="24"/>
      <c r="AD44" s="25"/>
      <c r="AE44" s="26"/>
      <c r="AF44" s="26"/>
      <c r="AG44" s="26"/>
      <c r="AH44" s="51"/>
    </row>
    <row r="45" spans="1:39">
      <c r="A45" s="31"/>
      <c r="B45" s="30"/>
      <c r="C45" s="32"/>
      <c r="E45" s="24"/>
      <c r="F45" s="25"/>
      <c r="G45" s="26"/>
      <c r="H45" s="29"/>
      <c r="J45" s="24"/>
      <c r="K45" s="25"/>
      <c r="L45" s="26"/>
      <c r="M45" s="29"/>
      <c r="O45" s="24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0"/>
      <c r="C46" s="32"/>
      <c r="D46" s="32"/>
      <c r="E46" s="24"/>
      <c r="F46" s="25"/>
      <c r="G46" s="26"/>
      <c r="H46" s="29"/>
      <c r="I46" s="29"/>
      <c r="J46" s="24"/>
      <c r="K46" s="25"/>
      <c r="L46" s="26"/>
      <c r="M46" s="29"/>
      <c r="O46" s="24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B54" s="31"/>
      <c r="C54" s="32"/>
      <c r="D54" s="32"/>
      <c r="E54" s="33"/>
      <c r="F54" s="25"/>
      <c r="G54" s="26"/>
      <c r="H54" s="29"/>
      <c r="I54" s="29"/>
      <c r="J54" s="33"/>
      <c r="K54" s="25"/>
      <c r="L54" s="26"/>
      <c r="M54" s="29"/>
      <c r="N54" s="29"/>
      <c r="O54" s="33"/>
      <c r="P54" s="25"/>
      <c r="Q54" s="26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C55" s="32"/>
      <c r="H55" s="29"/>
      <c r="M55" s="29"/>
      <c r="R55" s="41"/>
      <c r="S55" s="30"/>
      <c r="T55" s="42"/>
      <c r="U55" s="33"/>
      <c r="V55" s="25"/>
      <c r="W55" s="26"/>
      <c r="X55" s="29"/>
      <c r="Y55" s="33"/>
      <c r="Z55" s="25"/>
      <c r="AA55" s="26"/>
      <c r="AB55" s="29"/>
      <c r="AC55" s="33"/>
      <c r="AD55" s="25"/>
      <c r="AE55" s="26"/>
      <c r="AF55" s="26"/>
      <c r="AG55" s="26"/>
      <c r="AH55" s="51"/>
    </row>
    <row r="56" spans="1:34">
      <c r="A56" s="31"/>
      <c r="C56" s="32"/>
      <c r="H56" s="29"/>
      <c r="M56" s="29"/>
      <c r="R56" s="41"/>
      <c r="AH56" s="51"/>
    </row>
    <row r="57" spans="1:34">
      <c r="A57" s="31"/>
      <c r="C57" s="32"/>
      <c r="H57" s="29"/>
      <c r="M57" s="29"/>
      <c r="R57" s="41"/>
      <c r="AH57" s="51"/>
    </row>
    <row r="58" spans="1:34">
      <c r="A58" s="31"/>
      <c r="C58" s="32"/>
      <c r="H58" s="29"/>
      <c r="M58" s="29"/>
      <c r="R58" s="41"/>
      <c r="AH58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6"/>
  <sheetViews>
    <sheetView topLeftCell="P12" workbookViewId="0">
      <selection activeCell="U33" sqref="U33:AA3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44552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44552</v>
      </c>
      <c r="B6" s="22">
        <v>792.27269999999999</v>
      </c>
      <c r="C6" s="27">
        <v>5.3541999999999996</v>
      </c>
      <c r="D6" s="23">
        <f t="shared" ref="D6:D31" si="0">C6+B6</f>
        <v>797.62689999999998</v>
      </c>
      <c r="E6" s="24">
        <v>0</v>
      </c>
      <c r="F6" s="25">
        <v>0</v>
      </c>
      <c r="G6" s="26">
        <v>0</v>
      </c>
      <c r="H6" s="6">
        <v>6.3784999999999998</v>
      </c>
      <c r="I6" s="35">
        <f t="shared" ref="I6:I31" si="1">H6+B6</f>
        <v>798.65120000000002</v>
      </c>
      <c r="J6" s="24">
        <v>0</v>
      </c>
      <c r="K6" s="25">
        <v>0</v>
      </c>
      <c r="L6" s="26">
        <v>0</v>
      </c>
      <c r="M6" s="6">
        <v>5.7232000000000003</v>
      </c>
      <c r="N6" s="35">
        <f t="shared" ref="N6:N31" si="2">M6+B6</f>
        <v>797.99590000000001</v>
      </c>
      <c r="O6" s="24">
        <v>0</v>
      </c>
      <c r="P6" s="25">
        <v>0</v>
      </c>
      <c r="Q6" s="26">
        <v>0</v>
      </c>
      <c r="R6" s="41"/>
      <c r="S6" s="21">
        <f t="shared" ref="S6:S28" si="3">A6</f>
        <v>44552</v>
      </c>
      <c r="T6" s="42">
        <v>8.3425999999999991</v>
      </c>
      <c r="U6" s="43">
        <v>0</v>
      </c>
      <c r="V6" s="44">
        <v>0</v>
      </c>
      <c r="W6" s="45">
        <f>U6/(S6-S11)</f>
        <v>0</v>
      </c>
      <c r="X6" s="29">
        <v>11.948499999999999</v>
      </c>
      <c r="Y6" s="43">
        <v>0</v>
      </c>
      <c r="Z6" s="44">
        <v>0</v>
      </c>
      <c r="AA6" s="45">
        <v>0</v>
      </c>
      <c r="AB6" s="49">
        <v>7.8986999999999998</v>
      </c>
      <c r="AC6" s="43">
        <v>0</v>
      </c>
      <c r="AD6" s="44">
        <v>0</v>
      </c>
      <c r="AE6" s="45">
        <v>0</v>
      </c>
      <c r="AF6" s="50">
        <v>79282</v>
      </c>
      <c r="AG6" s="58">
        <f>AF6-79277</f>
        <v>5</v>
      </c>
      <c r="AH6" s="59"/>
      <c r="AI6" s="60"/>
      <c r="AJ6" s="61"/>
      <c r="AK6" s="62"/>
      <c r="AL6" s="52"/>
      <c r="AM6" s="52"/>
    </row>
    <row r="7" spans="1:39">
      <c r="A7" s="21">
        <v>44553</v>
      </c>
      <c r="B7" s="22">
        <v>792.27269999999999</v>
      </c>
      <c r="C7" s="27">
        <v>5.3544</v>
      </c>
      <c r="D7" s="23">
        <f t="shared" si="0"/>
        <v>797.62710000000004</v>
      </c>
      <c r="E7" s="24">
        <f t="shared" ref="E7:E27" si="4">(D7-D6)*1000</f>
        <v>0.20000000006348301</v>
      </c>
      <c r="F7" s="25">
        <f t="shared" ref="F7:F27" si="5">F6+E7</f>
        <v>0.20000000006348301</v>
      </c>
      <c r="G7" s="26">
        <f t="shared" ref="G7:G27" si="6">E7/(A7-A6)</f>
        <v>0.20000000006348301</v>
      </c>
      <c r="H7" s="6">
        <v>6.3784999999999998</v>
      </c>
      <c r="I7" s="35">
        <f t="shared" si="1"/>
        <v>798.65120000000002</v>
      </c>
      <c r="J7" s="24">
        <f t="shared" ref="J7:J27" si="7">(I7-I6)*1000</f>
        <v>0</v>
      </c>
      <c r="K7" s="25">
        <f t="shared" ref="K7:K27" si="8">K6+J7</f>
        <v>0</v>
      </c>
      <c r="L7" s="26">
        <f t="shared" ref="L7:L27" si="9">J7/(A7-A6)</f>
        <v>0</v>
      </c>
      <c r="M7" s="6">
        <v>5.7233000000000001</v>
      </c>
      <c r="N7" s="35">
        <f t="shared" si="2"/>
        <v>797.99599999999998</v>
      </c>
      <c r="O7" s="24">
        <f t="shared" ref="O7:O27" si="10">(N7-N6)*1000</f>
        <v>9.9999999974897905E-2</v>
      </c>
      <c r="P7" s="25">
        <f t="shared" ref="P7:P27" si="11">P6+O7</f>
        <v>9.9999999974897905E-2</v>
      </c>
      <c r="Q7" s="26">
        <f t="shared" ref="Q7:Q27" si="12">O7/(A7-A6)</f>
        <v>9.9999999974897905E-2</v>
      </c>
      <c r="R7" s="41"/>
      <c r="S7" s="21">
        <f t="shared" si="3"/>
        <v>44553</v>
      </c>
      <c r="T7" s="42">
        <v>8.3423999999999996</v>
      </c>
      <c r="U7" s="43">
        <f t="shared" ref="U7:U27" si="13">(T7-T6)*1000</f>
        <v>-0.19999999999953399</v>
      </c>
      <c r="V7" s="44">
        <f t="shared" ref="V7:V27" si="14">V6+U7</f>
        <v>-0.19999999999953399</v>
      </c>
      <c r="W7" s="45">
        <f t="shared" ref="W7:W27" si="15">U7/(S6-S7)</f>
        <v>0.19999999999953399</v>
      </c>
      <c r="X7" s="29">
        <v>11.9482</v>
      </c>
      <c r="Y7" s="43">
        <f t="shared" ref="Y7:Y27" si="16">(X7-X6)*1000</f>
        <v>-0.29999999999930099</v>
      </c>
      <c r="Z7" s="44">
        <f t="shared" ref="Z7:Z27" si="17">Z6+Y7</f>
        <v>-0.29999999999930099</v>
      </c>
      <c r="AA7" s="45">
        <f t="shared" ref="AA7:AA27" si="18">Y7/(S7-S6)</f>
        <v>-0.29999999999930099</v>
      </c>
      <c r="AB7" s="49">
        <v>7.8982000000000001</v>
      </c>
      <c r="AC7" s="43">
        <f t="shared" ref="AC7:AC27" si="19">(AB7-AB6)*1000</f>
        <v>-0.499999999999723</v>
      </c>
      <c r="AD7" s="44">
        <f t="shared" ref="AD7:AD27" si="20">AD6+AC7</f>
        <v>-0.499999999999723</v>
      </c>
      <c r="AE7" s="45">
        <f t="shared" ref="AE7:AE27" si="21">AC7/(S7-S6)</f>
        <v>-0.499999999999723</v>
      </c>
      <c r="AF7" s="50">
        <v>79285</v>
      </c>
      <c r="AG7" s="58">
        <f t="shared" ref="AG7:AG31" si="22">AF7-79277</f>
        <v>8</v>
      </c>
      <c r="AH7" s="59"/>
      <c r="AI7" s="60"/>
      <c r="AJ7" s="61"/>
      <c r="AK7" s="62"/>
      <c r="AL7" s="52"/>
      <c r="AM7" s="52"/>
    </row>
    <row r="8" spans="1:39">
      <c r="A8" s="21">
        <v>44554</v>
      </c>
      <c r="B8" s="22">
        <v>792.27269999999999</v>
      </c>
      <c r="C8" s="27">
        <v>5.3540000000000001</v>
      </c>
      <c r="D8" s="23">
        <f t="shared" si="0"/>
        <v>797.62670000000003</v>
      </c>
      <c r="E8" s="24">
        <f t="shared" si="4"/>
        <v>-0.40000000001327901</v>
      </c>
      <c r="F8" s="25">
        <f t="shared" si="5"/>
        <v>-0.199999999949796</v>
      </c>
      <c r="G8" s="26">
        <f t="shared" si="6"/>
        <v>-0.40000000001327901</v>
      </c>
      <c r="H8" s="6">
        <v>6.3783000000000003</v>
      </c>
      <c r="I8" s="35">
        <f t="shared" si="1"/>
        <v>798.65099999999995</v>
      </c>
      <c r="J8" s="24">
        <f t="shared" si="7"/>
        <v>-0.20000000006348301</v>
      </c>
      <c r="K8" s="25">
        <f t="shared" si="8"/>
        <v>-0.20000000006348301</v>
      </c>
      <c r="L8" s="26">
        <f t="shared" si="9"/>
        <v>-0.20000000006348301</v>
      </c>
      <c r="M8" s="6">
        <v>5.7229999999999999</v>
      </c>
      <c r="N8" s="35">
        <f t="shared" si="2"/>
        <v>797.99570000000006</v>
      </c>
      <c r="O8" s="24">
        <f t="shared" si="10"/>
        <v>-0.30000000003838101</v>
      </c>
      <c r="P8" s="25">
        <f t="shared" si="11"/>
        <v>-0.20000000006348301</v>
      </c>
      <c r="Q8" s="26">
        <f t="shared" si="12"/>
        <v>-0.30000000003838101</v>
      </c>
      <c r="R8" s="41"/>
      <c r="S8" s="21">
        <f t="shared" si="3"/>
        <v>44554</v>
      </c>
      <c r="T8" s="42">
        <v>8.3424999999999994</v>
      </c>
      <c r="U8" s="43">
        <f t="shared" si="13"/>
        <v>9.99999999997669E-2</v>
      </c>
      <c r="V8" s="44">
        <f t="shared" si="14"/>
        <v>-9.99999999997669E-2</v>
      </c>
      <c r="W8" s="45">
        <f t="shared" si="15"/>
        <v>-9.99999999997669E-2</v>
      </c>
      <c r="X8" s="29">
        <v>11.9483</v>
      </c>
      <c r="Y8" s="43">
        <f t="shared" si="16"/>
        <v>9.99999999997669E-2</v>
      </c>
      <c r="Z8" s="44">
        <f t="shared" si="17"/>
        <v>-0.19999999999953399</v>
      </c>
      <c r="AA8" s="45">
        <f t="shared" si="18"/>
        <v>9.99999999997669E-2</v>
      </c>
      <c r="AB8" s="49">
        <v>7.8989000000000003</v>
      </c>
      <c r="AC8" s="43">
        <f t="shared" si="19"/>
        <v>0.70000000000014495</v>
      </c>
      <c r="AD8" s="44">
        <f t="shared" si="20"/>
        <v>0.20000000000042201</v>
      </c>
      <c r="AE8" s="45">
        <f t="shared" si="21"/>
        <v>0.70000000000014495</v>
      </c>
      <c r="AF8" s="50">
        <v>79288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39">
      <c r="A9" s="21">
        <v>44555</v>
      </c>
      <c r="B9" s="22">
        <v>792.27269999999999</v>
      </c>
      <c r="C9" s="27">
        <v>5.3540999999999999</v>
      </c>
      <c r="D9" s="23">
        <f t="shared" si="0"/>
        <v>797.6268</v>
      </c>
      <c r="E9" s="24">
        <f t="shared" si="4"/>
        <v>9.9999999974897905E-2</v>
      </c>
      <c r="F9" s="25">
        <f t="shared" si="5"/>
        <v>-9.9999999974897905E-2</v>
      </c>
      <c r="G9" s="26">
        <f t="shared" si="6"/>
        <v>9.9999999974897905E-2</v>
      </c>
      <c r="H9" s="6">
        <v>6.3780999999999999</v>
      </c>
      <c r="I9" s="35">
        <f t="shared" si="1"/>
        <v>798.6508</v>
      </c>
      <c r="J9" s="24">
        <f t="shared" si="7"/>
        <v>-0.199999999949796</v>
      </c>
      <c r="K9" s="25">
        <f t="shared" si="8"/>
        <v>-0.40000000001327901</v>
      </c>
      <c r="L9" s="26">
        <f t="shared" si="9"/>
        <v>-0.199999999949796</v>
      </c>
      <c r="M9" s="6">
        <v>5.7228000000000003</v>
      </c>
      <c r="N9" s="35">
        <f t="shared" si="2"/>
        <v>797.99549999999999</v>
      </c>
      <c r="O9" s="24">
        <f t="shared" si="10"/>
        <v>-0.199999999949796</v>
      </c>
      <c r="P9" s="25">
        <f t="shared" si="11"/>
        <v>-0.40000000001327901</v>
      </c>
      <c r="Q9" s="26">
        <f t="shared" si="12"/>
        <v>-0.199999999949796</v>
      </c>
      <c r="R9" s="41"/>
      <c r="S9" s="21">
        <f t="shared" si="3"/>
        <v>44555</v>
      </c>
      <c r="T9" s="42">
        <v>8.3420000000000005</v>
      </c>
      <c r="U9" s="43">
        <f t="shared" si="13"/>
        <v>-0.49999999999883499</v>
      </c>
      <c r="V9" s="44">
        <f t="shared" si="14"/>
        <v>-0.59999999999860198</v>
      </c>
      <c r="W9" s="45">
        <f t="shared" si="15"/>
        <v>0.49999999999883499</v>
      </c>
      <c r="X9" s="29">
        <v>11.9481</v>
      </c>
      <c r="Y9" s="43">
        <f t="shared" si="16"/>
        <v>-0.19999999999953399</v>
      </c>
      <c r="Z9" s="44">
        <f t="shared" si="17"/>
        <v>-0.39999999999906799</v>
      </c>
      <c r="AA9" s="45">
        <f t="shared" si="18"/>
        <v>-0.19999999999953399</v>
      </c>
      <c r="AB9" s="49">
        <v>7.8982999999999999</v>
      </c>
      <c r="AC9" s="43">
        <f t="shared" si="19"/>
        <v>-0.60000000000037801</v>
      </c>
      <c r="AD9" s="44">
        <f t="shared" si="20"/>
        <v>-0.399999999999956</v>
      </c>
      <c r="AE9" s="45">
        <f t="shared" si="21"/>
        <v>-0.60000000000037801</v>
      </c>
      <c r="AF9" s="50">
        <v>79291</v>
      </c>
      <c r="AG9" s="58">
        <f t="shared" si="22"/>
        <v>14</v>
      </c>
      <c r="AH9" s="59"/>
      <c r="AI9" s="60"/>
      <c r="AJ9" s="61"/>
      <c r="AK9" s="62"/>
      <c r="AL9" s="52"/>
      <c r="AM9" s="52"/>
    </row>
    <row r="10" spans="1:39">
      <c r="A10" s="21">
        <v>44556</v>
      </c>
      <c r="B10" s="22">
        <v>792.27269999999999</v>
      </c>
      <c r="C10" s="27">
        <v>5.3539000000000003</v>
      </c>
      <c r="D10" s="23">
        <f t="shared" si="0"/>
        <v>797.62660000000005</v>
      </c>
      <c r="E10" s="24">
        <f t="shared" si="4"/>
        <v>-0.20000000006348301</v>
      </c>
      <c r="F10" s="25">
        <f t="shared" si="5"/>
        <v>-0.30000000003838101</v>
      </c>
      <c r="G10" s="26">
        <f t="shared" si="6"/>
        <v>-0.20000000006348301</v>
      </c>
      <c r="H10" s="6">
        <v>6.3780000000000001</v>
      </c>
      <c r="I10" s="35">
        <f t="shared" si="1"/>
        <v>798.65070000000003</v>
      </c>
      <c r="J10" s="24">
        <f t="shared" si="7"/>
        <v>-9.9999999974897905E-2</v>
      </c>
      <c r="K10" s="25">
        <f t="shared" si="8"/>
        <v>-0.49999999998817701</v>
      </c>
      <c r="L10" s="26">
        <f t="shared" si="9"/>
        <v>-9.9999999974897905E-2</v>
      </c>
      <c r="M10" s="6">
        <v>5.7226999999999997</v>
      </c>
      <c r="N10" s="35">
        <f t="shared" si="2"/>
        <v>797.99540000000002</v>
      </c>
      <c r="O10" s="24">
        <f t="shared" si="10"/>
        <v>-9.9999999974897905E-2</v>
      </c>
      <c r="P10" s="25">
        <f t="shared" si="11"/>
        <v>-0.49999999998817701</v>
      </c>
      <c r="Q10" s="26">
        <f t="shared" si="12"/>
        <v>-9.9999999974897905E-2</v>
      </c>
      <c r="R10" s="41"/>
      <c r="S10" s="21">
        <f t="shared" si="3"/>
        <v>44556</v>
      </c>
      <c r="T10" s="42">
        <v>8.3417999999999992</v>
      </c>
      <c r="U10" s="43">
        <f t="shared" si="13"/>
        <v>-0.20000000000130999</v>
      </c>
      <c r="V10" s="44">
        <f t="shared" si="14"/>
        <v>-0.799999999999912</v>
      </c>
      <c r="W10" s="45">
        <f t="shared" si="15"/>
        <v>0.20000000000130999</v>
      </c>
      <c r="X10" s="29">
        <v>11.947900000000001</v>
      </c>
      <c r="Y10" s="43">
        <f t="shared" si="16"/>
        <v>-0.19999999999953399</v>
      </c>
      <c r="Z10" s="44">
        <f t="shared" si="17"/>
        <v>-0.59999999999860198</v>
      </c>
      <c r="AA10" s="45">
        <f t="shared" si="18"/>
        <v>-0.19999999999953399</v>
      </c>
      <c r="AB10" s="49">
        <v>7.8982000000000001</v>
      </c>
      <c r="AC10" s="43">
        <f t="shared" si="19"/>
        <v>-9.99999999997669E-2</v>
      </c>
      <c r="AD10" s="44">
        <f t="shared" si="20"/>
        <v>-0.499999999999723</v>
      </c>
      <c r="AE10" s="45">
        <f t="shared" si="21"/>
        <v>-9.99999999997669E-2</v>
      </c>
      <c r="AF10" s="50">
        <v>79294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39">
      <c r="A11" s="21">
        <v>44557</v>
      </c>
      <c r="B11" s="22">
        <v>792.27269999999999</v>
      </c>
      <c r="C11" s="27">
        <v>5.3536999999999999</v>
      </c>
      <c r="D11" s="23">
        <f t="shared" si="0"/>
        <v>797.62639999999999</v>
      </c>
      <c r="E11" s="24">
        <f t="shared" si="4"/>
        <v>-0.199999999949796</v>
      </c>
      <c r="F11" s="25">
        <f t="shared" si="5"/>
        <v>-0.49999999998817701</v>
      </c>
      <c r="G11" s="26">
        <f t="shared" si="6"/>
        <v>-0.199999999949796</v>
      </c>
      <c r="H11" s="6">
        <v>6.3777999999999997</v>
      </c>
      <c r="I11" s="35">
        <f t="shared" si="1"/>
        <v>798.65049999999997</v>
      </c>
      <c r="J11" s="24">
        <f t="shared" si="7"/>
        <v>-0.20000000006348301</v>
      </c>
      <c r="K11" s="25">
        <f t="shared" si="8"/>
        <v>-0.70000000005165897</v>
      </c>
      <c r="L11" s="26">
        <f t="shared" si="9"/>
        <v>-0.20000000006348301</v>
      </c>
      <c r="M11" s="6">
        <v>5.7224000000000004</v>
      </c>
      <c r="N11" s="35">
        <f t="shared" si="2"/>
        <v>797.99509999999998</v>
      </c>
      <c r="O11" s="24">
        <f t="shared" si="10"/>
        <v>-0.30000000003838101</v>
      </c>
      <c r="P11" s="25">
        <f t="shared" si="11"/>
        <v>-0.80000000002655702</v>
      </c>
      <c r="Q11" s="26">
        <f t="shared" si="12"/>
        <v>-0.30000000003838101</v>
      </c>
      <c r="R11" s="41"/>
      <c r="S11" s="21">
        <f t="shared" si="3"/>
        <v>44557</v>
      </c>
      <c r="T11" s="42">
        <v>8.3421000000000003</v>
      </c>
      <c r="U11" s="43">
        <f t="shared" si="13"/>
        <v>0.30000000000107702</v>
      </c>
      <c r="V11" s="44">
        <f t="shared" si="14"/>
        <v>-0.49999999999883499</v>
      </c>
      <c r="W11" s="45">
        <f t="shared" si="15"/>
        <v>-0.30000000000107702</v>
      </c>
      <c r="X11" s="29">
        <v>11.948</v>
      </c>
      <c r="Y11" s="43">
        <f t="shared" si="16"/>
        <v>9.99999999997669E-2</v>
      </c>
      <c r="Z11" s="44">
        <f t="shared" si="17"/>
        <v>-0.49999999999883499</v>
      </c>
      <c r="AA11" s="45">
        <f t="shared" si="18"/>
        <v>9.99999999997669E-2</v>
      </c>
      <c r="AB11" s="49">
        <v>7.8979999999999997</v>
      </c>
      <c r="AC11" s="43">
        <f t="shared" si="19"/>
        <v>-0.20000000000042201</v>
      </c>
      <c r="AD11" s="44">
        <f t="shared" si="20"/>
        <v>-0.70000000000014495</v>
      </c>
      <c r="AE11" s="45">
        <f t="shared" si="21"/>
        <v>-0.20000000000042201</v>
      </c>
      <c r="AF11" s="50">
        <v>79297</v>
      </c>
      <c r="AG11" s="58">
        <f t="shared" si="22"/>
        <v>20</v>
      </c>
      <c r="AH11" s="61"/>
      <c r="AI11" s="60"/>
      <c r="AJ11" s="52"/>
      <c r="AK11" s="52"/>
      <c r="AL11" s="52"/>
      <c r="AM11" s="52"/>
    </row>
    <row r="12" spans="1:39">
      <c r="A12" s="21">
        <v>44558</v>
      </c>
      <c r="B12" s="22">
        <v>792.27269999999999</v>
      </c>
      <c r="C12" s="27">
        <v>5.3536000000000001</v>
      </c>
      <c r="D12" s="23">
        <f t="shared" si="0"/>
        <v>797.62630000000001</v>
      </c>
      <c r="E12" s="24">
        <f t="shared" si="4"/>
        <v>-9.9999999974897905E-2</v>
      </c>
      <c r="F12" s="25">
        <f t="shared" si="5"/>
        <v>-0.59999999996307496</v>
      </c>
      <c r="G12" s="26">
        <f t="shared" si="6"/>
        <v>-9.9999999974897905E-2</v>
      </c>
      <c r="H12" s="6">
        <v>6.3776000000000002</v>
      </c>
      <c r="I12" s="35">
        <f t="shared" si="1"/>
        <v>798.65030000000002</v>
      </c>
      <c r="J12" s="24">
        <f t="shared" si="7"/>
        <v>-0.199999999949796</v>
      </c>
      <c r="K12" s="25">
        <f t="shared" si="8"/>
        <v>-0.90000000000145497</v>
      </c>
      <c r="L12" s="26">
        <f t="shared" si="9"/>
        <v>-0.199999999949796</v>
      </c>
      <c r="M12" s="6">
        <v>5.7221000000000002</v>
      </c>
      <c r="N12" s="35">
        <f t="shared" si="2"/>
        <v>797.99480000000005</v>
      </c>
      <c r="O12" s="24">
        <f t="shared" si="10"/>
        <v>-0.30000000003838101</v>
      </c>
      <c r="P12" s="25">
        <f t="shared" si="11"/>
        <v>-1.1000000000649399</v>
      </c>
      <c r="Q12" s="26">
        <f t="shared" si="12"/>
        <v>-0.30000000003838101</v>
      </c>
      <c r="R12" s="41"/>
      <c r="S12" s="21">
        <f t="shared" si="3"/>
        <v>44558</v>
      </c>
      <c r="T12" s="42">
        <v>8.3414000000000001</v>
      </c>
      <c r="U12" s="43">
        <f t="shared" si="13"/>
        <v>-0.70000000000014495</v>
      </c>
      <c r="V12" s="44">
        <f t="shared" si="14"/>
        <v>-1.1999999999989801</v>
      </c>
      <c r="W12" s="45">
        <f t="shared" si="15"/>
        <v>0.70000000000014495</v>
      </c>
      <c r="X12" s="29">
        <v>11.9475</v>
      </c>
      <c r="Y12" s="43">
        <f t="shared" si="16"/>
        <v>-0.50000000000061096</v>
      </c>
      <c r="Z12" s="44">
        <f t="shared" si="17"/>
        <v>-0.999999999999446</v>
      </c>
      <c r="AA12" s="45">
        <f t="shared" si="18"/>
        <v>-0.50000000000061096</v>
      </c>
      <c r="AB12" s="49">
        <v>7.8978000000000002</v>
      </c>
      <c r="AC12" s="43">
        <f t="shared" si="19"/>
        <v>-0.19999999999953399</v>
      </c>
      <c r="AD12" s="44">
        <f t="shared" si="20"/>
        <v>-0.89999999999967895</v>
      </c>
      <c r="AE12" s="45">
        <f t="shared" si="21"/>
        <v>-0.19999999999953399</v>
      </c>
      <c r="AF12" s="50">
        <v>79300</v>
      </c>
      <c r="AG12" s="58">
        <f t="shared" si="22"/>
        <v>23</v>
      </c>
      <c r="AH12" s="61"/>
      <c r="AI12" s="60"/>
      <c r="AJ12"/>
      <c r="AK12"/>
      <c r="AL12"/>
      <c r="AM12"/>
    </row>
    <row r="13" spans="1:39">
      <c r="A13" s="21">
        <v>44559</v>
      </c>
      <c r="B13" s="22">
        <v>792.27269999999999</v>
      </c>
      <c r="C13" s="27">
        <v>5.3532999999999999</v>
      </c>
      <c r="D13" s="23">
        <f t="shared" si="0"/>
        <v>797.62599999999998</v>
      </c>
      <c r="E13" s="24">
        <f t="shared" si="4"/>
        <v>-0.30000000003838101</v>
      </c>
      <c r="F13" s="25">
        <f t="shared" si="5"/>
        <v>-0.90000000000145497</v>
      </c>
      <c r="G13" s="26">
        <f t="shared" si="6"/>
        <v>-0.30000000003838101</v>
      </c>
      <c r="H13" s="6">
        <v>6.3775000000000004</v>
      </c>
      <c r="I13" s="35">
        <f t="shared" si="1"/>
        <v>798.65020000000004</v>
      </c>
      <c r="J13" s="24">
        <f t="shared" si="7"/>
        <v>-9.9999999974897905E-2</v>
      </c>
      <c r="K13" s="25">
        <f t="shared" si="8"/>
        <v>-0.99999999997635303</v>
      </c>
      <c r="L13" s="26">
        <f t="shared" si="9"/>
        <v>-9.9999999974897905E-2</v>
      </c>
      <c r="M13" s="6">
        <v>5.7222</v>
      </c>
      <c r="N13" s="35">
        <f t="shared" si="2"/>
        <v>797.99490000000003</v>
      </c>
      <c r="O13" s="24">
        <f t="shared" si="10"/>
        <v>0.10000000008858501</v>
      </c>
      <c r="P13" s="25">
        <f t="shared" si="11"/>
        <v>-0.99999999997635303</v>
      </c>
      <c r="Q13" s="26">
        <f t="shared" si="12"/>
        <v>0.10000000008858501</v>
      </c>
      <c r="R13" s="41"/>
      <c r="S13" s="21">
        <f t="shared" si="3"/>
        <v>44559</v>
      </c>
      <c r="T13" s="42">
        <v>8.3412000000000006</v>
      </c>
      <c r="U13" s="43">
        <f t="shared" si="13"/>
        <v>-0.19999999999953399</v>
      </c>
      <c r="V13" s="44">
        <f t="shared" si="14"/>
        <v>-1.39999999999851</v>
      </c>
      <c r="W13" s="45">
        <f t="shared" si="15"/>
        <v>0.19999999999953399</v>
      </c>
      <c r="X13" s="29">
        <v>11.9473</v>
      </c>
      <c r="Y13" s="43">
        <f t="shared" si="16"/>
        <v>-0.19999999999953399</v>
      </c>
      <c r="Z13" s="44">
        <f t="shared" si="17"/>
        <v>-1.1999999999989801</v>
      </c>
      <c r="AA13" s="45">
        <f t="shared" si="18"/>
        <v>-0.19999999999953399</v>
      </c>
      <c r="AB13" s="49">
        <v>7.8979999999999997</v>
      </c>
      <c r="AC13" s="43">
        <f t="shared" si="19"/>
        <v>0.19999999999953399</v>
      </c>
      <c r="AD13" s="44">
        <f t="shared" si="20"/>
        <v>-0.70000000000014495</v>
      </c>
      <c r="AE13" s="45">
        <f t="shared" si="21"/>
        <v>0.19999999999953399</v>
      </c>
      <c r="AF13" s="50">
        <v>79303</v>
      </c>
      <c r="AG13" s="58">
        <f t="shared" si="22"/>
        <v>26</v>
      </c>
      <c r="AH13" s="61"/>
      <c r="AI13" s="60"/>
      <c r="AJ13"/>
      <c r="AK13"/>
      <c r="AL13"/>
      <c r="AM13"/>
    </row>
    <row r="14" spans="1:39">
      <c r="A14" s="21">
        <v>44560</v>
      </c>
      <c r="B14" s="22">
        <v>792.27269999999999</v>
      </c>
      <c r="C14" s="27">
        <v>5.3531000000000004</v>
      </c>
      <c r="D14" s="23">
        <f t="shared" si="0"/>
        <v>797.62580000000003</v>
      </c>
      <c r="E14" s="24">
        <f t="shared" si="4"/>
        <v>-0.199999999949796</v>
      </c>
      <c r="F14" s="25">
        <f t="shared" si="5"/>
        <v>-1.09999999995125</v>
      </c>
      <c r="G14" s="26">
        <f t="shared" si="6"/>
        <v>-0.199999999949796</v>
      </c>
      <c r="H14" s="6">
        <v>6.3772000000000002</v>
      </c>
      <c r="I14" s="35">
        <f t="shared" si="1"/>
        <v>798.6499</v>
      </c>
      <c r="J14" s="24">
        <f t="shared" si="7"/>
        <v>-0.30000000003838101</v>
      </c>
      <c r="K14" s="25">
        <f t="shared" si="8"/>
        <v>-1.30000000001473</v>
      </c>
      <c r="L14" s="26">
        <f t="shared" si="9"/>
        <v>-0.30000000003838101</v>
      </c>
      <c r="M14" s="6">
        <v>5.7214999999999998</v>
      </c>
      <c r="N14" s="35">
        <f t="shared" si="2"/>
        <v>797.99419999999998</v>
      </c>
      <c r="O14" s="24">
        <f t="shared" si="10"/>
        <v>-0.70000000005165897</v>
      </c>
      <c r="P14" s="25">
        <f t="shared" si="11"/>
        <v>-1.70000000002801</v>
      </c>
      <c r="Q14" s="26">
        <f t="shared" si="12"/>
        <v>-0.70000000005165897</v>
      </c>
      <c r="R14" s="41"/>
      <c r="S14" s="21">
        <f t="shared" si="3"/>
        <v>44560</v>
      </c>
      <c r="T14" s="42">
        <v>8.3413000000000004</v>
      </c>
      <c r="U14" s="43">
        <f t="shared" si="13"/>
        <v>9.99999999997669E-2</v>
      </c>
      <c r="V14" s="44">
        <f t="shared" si="14"/>
        <v>-1.2999999999987499</v>
      </c>
      <c r="W14" s="45">
        <f t="shared" si="15"/>
        <v>-9.99999999997669E-2</v>
      </c>
      <c r="X14" s="29">
        <v>11.9472</v>
      </c>
      <c r="Y14" s="43">
        <f t="shared" si="16"/>
        <v>-9.99999999997669E-2</v>
      </c>
      <c r="Z14" s="44">
        <f t="shared" si="17"/>
        <v>-1.2999999999987499</v>
      </c>
      <c r="AA14" s="45">
        <f t="shared" si="18"/>
        <v>-9.99999999997669E-2</v>
      </c>
      <c r="AB14" s="49">
        <v>7.8974000000000002</v>
      </c>
      <c r="AC14" s="43">
        <f t="shared" si="19"/>
        <v>-0.59999999999949005</v>
      </c>
      <c r="AD14" s="44">
        <f t="shared" si="20"/>
        <v>-1.2999999999996299</v>
      </c>
      <c r="AE14" s="45">
        <f t="shared" si="21"/>
        <v>-0.59999999999949005</v>
      </c>
      <c r="AF14" s="50">
        <v>79306</v>
      </c>
      <c r="AG14" s="58">
        <f t="shared" si="22"/>
        <v>29</v>
      </c>
      <c r="AH14" s="61"/>
      <c r="AI14" s="60"/>
      <c r="AJ14" s="52"/>
      <c r="AK14" s="52"/>
      <c r="AL14" s="52"/>
      <c r="AM14" s="52"/>
    </row>
    <row r="15" spans="1:39">
      <c r="A15" s="21">
        <v>44561</v>
      </c>
      <c r="B15" s="22">
        <v>792.27269999999999</v>
      </c>
      <c r="C15" s="27">
        <v>5.3532000000000002</v>
      </c>
      <c r="D15" s="23">
        <f t="shared" si="0"/>
        <v>797.6259</v>
      </c>
      <c r="E15" s="24">
        <f t="shared" si="4"/>
        <v>9.9999999974897905E-2</v>
      </c>
      <c r="F15" s="25">
        <f t="shared" si="5"/>
        <v>-0.99999999997635303</v>
      </c>
      <c r="G15" s="26">
        <f t="shared" si="6"/>
        <v>9.9999999974897905E-2</v>
      </c>
      <c r="H15" s="6">
        <v>6.3769999999999998</v>
      </c>
      <c r="I15" s="35">
        <f t="shared" si="1"/>
        <v>798.64970000000005</v>
      </c>
      <c r="J15" s="24">
        <f t="shared" si="7"/>
        <v>-0.20000000006348301</v>
      </c>
      <c r="K15" s="25">
        <f t="shared" si="8"/>
        <v>-1.5000000000782201</v>
      </c>
      <c r="L15" s="26">
        <f t="shared" si="9"/>
        <v>-0.20000000006348301</v>
      </c>
      <c r="M15" s="6">
        <v>5.7211999999999996</v>
      </c>
      <c r="N15" s="35">
        <f t="shared" si="2"/>
        <v>797.99390000000005</v>
      </c>
      <c r="O15" s="24">
        <f t="shared" si="10"/>
        <v>-0.30000000003838101</v>
      </c>
      <c r="P15" s="25">
        <f t="shared" si="11"/>
        <v>-2.00000000006639</v>
      </c>
      <c r="Q15" s="26">
        <f t="shared" si="12"/>
        <v>-0.30000000003838101</v>
      </c>
      <c r="R15" s="41"/>
      <c r="S15" s="21">
        <f t="shared" si="3"/>
        <v>44561</v>
      </c>
      <c r="T15" s="42">
        <v>8.3407999999999998</v>
      </c>
      <c r="U15" s="43">
        <f t="shared" si="13"/>
        <v>-0.50000000000061096</v>
      </c>
      <c r="V15" s="44">
        <f t="shared" si="14"/>
        <v>-1.7999999999993599</v>
      </c>
      <c r="W15" s="45">
        <f t="shared" si="15"/>
        <v>0.50000000000061096</v>
      </c>
      <c r="X15" s="29">
        <v>11.946899999999999</v>
      </c>
      <c r="Y15" s="43">
        <f t="shared" si="16"/>
        <v>-0.30000000000107702</v>
      </c>
      <c r="Z15" s="44">
        <f t="shared" si="17"/>
        <v>-1.59999999999982</v>
      </c>
      <c r="AA15" s="45">
        <f t="shared" si="18"/>
        <v>-0.30000000000107702</v>
      </c>
      <c r="AB15" s="49">
        <v>7.8971999999999998</v>
      </c>
      <c r="AC15" s="43">
        <f t="shared" si="19"/>
        <v>-0.20000000000042201</v>
      </c>
      <c r="AD15" s="44">
        <f t="shared" si="20"/>
        <v>-1.50000000000006</v>
      </c>
      <c r="AE15" s="45">
        <f t="shared" si="21"/>
        <v>-0.20000000000042201</v>
      </c>
      <c r="AF15" s="50">
        <v>79309</v>
      </c>
      <c r="AG15" s="58">
        <f t="shared" si="22"/>
        <v>32</v>
      </c>
      <c r="AH15" s="61"/>
      <c r="AI15" s="60"/>
      <c r="AJ15" s="52"/>
      <c r="AK15" s="52"/>
      <c r="AL15" s="52"/>
      <c r="AM15" s="52"/>
    </row>
    <row r="16" spans="1:39">
      <c r="A16" s="21">
        <v>44562</v>
      </c>
      <c r="B16" s="22">
        <v>792.27269999999999</v>
      </c>
      <c r="C16" s="27">
        <v>5.3526999999999996</v>
      </c>
      <c r="D16" s="23">
        <f t="shared" si="0"/>
        <v>797.62540000000001</v>
      </c>
      <c r="E16" s="24">
        <f t="shared" si="4"/>
        <v>-0.49999999998817701</v>
      </c>
      <c r="F16" s="25">
        <f t="shared" si="5"/>
        <v>-1.4999999999645299</v>
      </c>
      <c r="G16" s="26">
        <f t="shared" si="6"/>
        <v>-0.49999999998817701</v>
      </c>
      <c r="H16" s="6">
        <v>6.3773</v>
      </c>
      <c r="I16" s="35">
        <f t="shared" si="1"/>
        <v>798.65</v>
      </c>
      <c r="J16" s="24">
        <f t="shared" si="7"/>
        <v>0.30000000003838101</v>
      </c>
      <c r="K16" s="25">
        <f t="shared" si="8"/>
        <v>-1.2000000000398401</v>
      </c>
      <c r="L16" s="26">
        <f t="shared" si="9"/>
        <v>0.30000000003838101</v>
      </c>
      <c r="M16" s="6">
        <v>5.7211999999999996</v>
      </c>
      <c r="N16" s="35">
        <f t="shared" si="2"/>
        <v>797.99390000000005</v>
      </c>
      <c r="O16" s="24">
        <f t="shared" si="10"/>
        <v>0</v>
      </c>
      <c r="P16" s="25">
        <f t="shared" si="11"/>
        <v>-2.00000000006639</v>
      </c>
      <c r="Q16" s="26">
        <f t="shared" si="12"/>
        <v>0</v>
      </c>
      <c r="R16" s="41"/>
      <c r="S16" s="21">
        <f t="shared" si="3"/>
        <v>44562</v>
      </c>
      <c r="T16" s="42">
        <v>8.3406000000000002</v>
      </c>
      <c r="U16" s="43">
        <f t="shared" si="13"/>
        <v>-0.19999999999953399</v>
      </c>
      <c r="V16" s="44">
        <f t="shared" si="14"/>
        <v>-1.99999999999889</v>
      </c>
      <c r="W16" s="45">
        <f t="shared" si="15"/>
        <v>0.19999999999953399</v>
      </c>
      <c r="X16" s="29">
        <v>11.9467</v>
      </c>
      <c r="Y16" s="43">
        <f t="shared" si="16"/>
        <v>-0.19999999999953399</v>
      </c>
      <c r="Z16" s="44">
        <f t="shared" si="17"/>
        <v>-1.7999999999993599</v>
      </c>
      <c r="AA16" s="45">
        <f t="shared" si="18"/>
        <v>-0.19999999999953399</v>
      </c>
      <c r="AB16" s="49">
        <v>7.8970000000000002</v>
      </c>
      <c r="AC16" s="43">
        <f t="shared" si="19"/>
        <v>-0.19999999999953399</v>
      </c>
      <c r="AD16" s="44">
        <f t="shared" si="20"/>
        <v>-1.6999999999995901</v>
      </c>
      <c r="AE16" s="45">
        <f t="shared" si="21"/>
        <v>-0.19999999999953399</v>
      </c>
      <c r="AF16" s="50">
        <v>79312</v>
      </c>
      <c r="AG16" s="58">
        <f t="shared" si="22"/>
        <v>35</v>
      </c>
      <c r="AH16" s="61"/>
      <c r="AI16" s="60"/>
      <c r="AJ16" s="52"/>
      <c r="AK16" s="52"/>
      <c r="AL16" s="52"/>
      <c r="AM16" s="52"/>
    </row>
    <row r="17" spans="1:39">
      <c r="A17" s="21">
        <v>44563</v>
      </c>
      <c r="B17" s="22">
        <v>792.27269999999999</v>
      </c>
      <c r="C17" s="27">
        <v>5.3525</v>
      </c>
      <c r="D17" s="23">
        <f t="shared" si="0"/>
        <v>797.62519999999995</v>
      </c>
      <c r="E17" s="24">
        <f t="shared" si="4"/>
        <v>-0.20000000006348301</v>
      </c>
      <c r="F17" s="25">
        <f t="shared" si="5"/>
        <v>-1.70000000002801</v>
      </c>
      <c r="G17" s="26">
        <f t="shared" si="6"/>
        <v>-0.20000000006348301</v>
      </c>
      <c r="H17" s="6">
        <v>6.3765999999999998</v>
      </c>
      <c r="I17" s="35">
        <f t="shared" si="1"/>
        <v>798.64930000000004</v>
      </c>
      <c r="J17" s="24">
        <f t="shared" si="7"/>
        <v>-0.69999999993797202</v>
      </c>
      <c r="K17" s="25">
        <f t="shared" si="8"/>
        <v>-1.8999999999778101</v>
      </c>
      <c r="L17" s="26">
        <f t="shared" si="9"/>
        <v>-0.69999999993797202</v>
      </c>
      <c r="M17" s="6">
        <v>5.7206000000000001</v>
      </c>
      <c r="N17" s="35">
        <f t="shared" si="2"/>
        <v>797.99329999999998</v>
      </c>
      <c r="O17" s="24">
        <f t="shared" si="10"/>
        <v>-0.59999999996307496</v>
      </c>
      <c r="P17" s="25">
        <f t="shared" si="11"/>
        <v>-2.6000000000294698</v>
      </c>
      <c r="Q17" s="26">
        <f t="shared" si="12"/>
        <v>-0.59999999996307496</v>
      </c>
      <c r="R17" s="41"/>
      <c r="S17" s="21">
        <f t="shared" si="3"/>
        <v>44563</v>
      </c>
      <c r="T17" s="42">
        <v>8.3412000000000006</v>
      </c>
      <c r="U17" s="43">
        <f t="shared" si="13"/>
        <v>0.60000000000037801</v>
      </c>
      <c r="V17" s="44">
        <f t="shared" si="14"/>
        <v>-1.39999999999851</v>
      </c>
      <c r="W17" s="45">
        <f t="shared" si="15"/>
        <v>-0.60000000000037801</v>
      </c>
      <c r="X17" s="29">
        <v>11.946300000000001</v>
      </c>
      <c r="Y17" s="43">
        <f t="shared" si="16"/>
        <v>-0.39999999999906799</v>
      </c>
      <c r="Z17" s="44">
        <f t="shared" si="17"/>
        <v>-2.1999999999984299</v>
      </c>
      <c r="AA17" s="45">
        <f t="shared" si="18"/>
        <v>-0.39999999999906799</v>
      </c>
      <c r="AB17" s="49">
        <v>7.8971999999999998</v>
      </c>
      <c r="AC17" s="43">
        <f t="shared" si="19"/>
        <v>0.19999999999953399</v>
      </c>
      <c r="AD17" s="44">
        <f t="shared" si="20"/>
        <v>-1.50000000000006</v>
      </c>
      <c r="AE17" s="45">
        <f t="shared" si="21"/>
        <v>0.19999999999953399</v>
      </c>
      <c r="AF17" s="50">
        <v>79314</v>
      </c>
      <c r="AG17" s="58">
        <f t="shared" si="22"/>
        <v>37</v>
      </c>
      <c r="AH17" s="61"/>
      <c r="AI17" s="52"/>
      <c r="AJ17" s="52"/>
      <c r="AK17" s="52"/>
      <c r="AL17" s="52"/>
      <c r="AM17" s="52"/>
    </row>
    <row r="18" spans="1:39">
      <c r="A18" s="21">
        <v>44564</v>
      </c>
      <c r="B18" s="22">
        <v>792.27269999999999</v>
      </c>
      <c r="C18" s="27">
        <v>5.3522999999999996</v>
      </c>
      <c r="D18" s="23">
        <f t="shared" si="0"/>
        <v>797.625</v>
      </c>
      <c r="E18" s="24">
        <f t="shared" si="4"/>
        <v>-0.199999999949796</v>
      </c>
      <c r="F18" s="25">
        <f t="shared" si="5"/>
        <v>-1.8999999999778101</v>
      </c>
      <c r="G18" s="26">
        <f t="shared" si="6"/>
        <v>-0.199999999949796</v>
      </c>
      <c r="H18" s="6">
        <v>6.3764000000000003</v>
      </c>
      <c r="I18" s="35">
        <f t="shared" si="1"/>
        <v>798.64909999999998</v>
      </c>
      <c r="J18" s="24">
        <f t="shared" si="7"/>
        <v>-0.20000000006348301</v>
      </c>
      <c r="K18" s="25">
        <f t="shared" si="8"/>
        <v>-2.1000000000412902</v>
      </c>
      <c r="L18" s="26">
        <f t="shared" si="9"/>
        <v>-0.20000000006348301</v>
      </c>
      <c r="M18" s="6">
        <v>5.7203000000000097</v>
      </c>
      <c r="N18" s="35">
        <f t="shared" si="2"/>
        <v>797.99300000000005</v>
      </c>
      <c r="O18" s="24">
        <f t="shared" si="10"/>
        <v>-0.29999999992469401</v>
      </c>
      <c r="P18" s="25">
        <f t="shared" si="11"/>
        <v>-2.8999999999541601</v>
      </c>
      <c r="Q18" s="26">
        <f t="shared" si="12"/>
        <v>-0.29999999992469401</v>
      </c>
      <c r="R18" s="41"/>
      <c r="S18" s="21">
        <f t="shared" si="3"/>
        <v>44564</v>
      </c>
      <c r="T18" s="42">
        <v>8.3401999999999994</v>
      </c>
      <c r="U18" s="43">
        <f t="shared" si="13"/>
        <v>-1.0000000000012199</v>
      </c>
      <c r="V18" s="44">
        <f t="shared" si="14"/>
        <v>-2.3999999999997401</v>
      </c>
      <c r="W18" s="45">
        <f t="shared" si="15"/>
        <v>1.0000000000012199</v>
      </c>
      <c r="X18" s="29">
        <v>11.946300000000001</v>
      </c>
      <c r="Y18" s="43">
        <f t="shared" si="16"/>
        <v>0</v>
      </c>
      <c r="Z18" s="44">
        <f t="shared" si="17"/>
        <v>-2.1999999999984299</v>
      </c>
      <c r="AA18" s="45">
        <f t="shared" si="18"/>
        <v>0</v>
      </c>
      <c r="AB18" s="49">
        <v>7.8966000000000003</v>
      </c>
      <c r="AC18" s="43">
        <f t="shared" si="19"/>
        <v>-0.59999999999949005</v>
      </c>
      <c r="AD18" s="44">
        <f t="shared" si="20"/>
        <v>-2.0999999999995498</v>
      </c>
      <c r="AE18" s="45">
        <f t="shared" si="21"/>
        <v>-0.59999999999949005</v>
      </c>
      <c r="AF18" s="50">
        <v>79316</v>
      </c>
      <c r="AG18" s="58">
        <f t="shared" si="22"/>
        <v>39</v>
      </c>
      <c r="AH18" s="61"/>
      <c r="AI18" s="52"/>
      <c r="AJ18" s="52"/>
      <c r="AK18" s="52"/>
      <c r="AL18" s="52"/>
      <c r="AM18" s="52"/>
    </row>
    <row r="19" spans="1:39">
      <c r="A19" s="21">
        <v>44565</v>
      </c>
      <c r="B19" s="22">
        <v>792.27269999999999</v>
      </c>
      <c r="C19" s="27">
        <v>5.3521999999999998</v>
      </c>
      <c r="D19" s="23">
        <f t="shared" si="0"/>
        <v>797.62490000000003</v>
      </c>
      <c r="E19" s="24">
        <f t="shared" si="4"/>
        <v>-9.9999999974897905E-2</v>
      </c>
      <c r="F19" s="25">
        <f t="shared" si="5"/>
        <v>-1.9999999999527101</v>
      </c>
      <c r="G19" s="26">
        <f t="shared" si="6"/>
        <v>-9.9999999974897905E-2</v>
      </c>
      <c r="H19" s="6">
        <v>6.3762999999999996</v>
      </c>
      <c r="I19" s="35">
        <f t="shared" si="1"/>
        <v>798.649</v>
      </c>
      <c r="J19" s="24">
        <f t="shared" si="7"/>
        <v>-9.9999999974897905E-2</v>
      </c>
      <c r="K19" s="25">
        <f t="shared" si="8"/>
        <v>-2.2000000000161899</v>
      </c>
      <c r="L19" s="26">
        <f t="shared" si="9"/>
        <v>-9.9999999974897905E-2</v>
      </c>
      <c r="M19" s="6">
        <v>5.7206000000000001</v>
      </c>
      <c r="N19" s="35">
        <f t="shared" si="2"/>
        <v>797.99329999999998</v>
      </c>
      <c r="O19" s="24">
        <f t="shared" si="10"/>
        <v>0.29999999992469401</v>
      </c>
      <c r="P19" s="25">
        <f t="shared" si="11"/>
        <v>-2.6000000000294698</v>
      </c>
      <c r="Q19" s="26">
        <f t="shared" si="12"/>
        <v>0.29999999992469401</v>
      </c>
      <c r="R19" s="41"/>
      <c r="S19" s="21">
        <f t="shared" si="3"/>
        <v>44565</v>
      </c>
      <c r="T19" s="42">
        <v>8.3400000000000105</v>
      </c>
      <c r="U19" s="43">
        <f t="shared" si="13"/>
        <v>-0.19999999998887599</v>
      </c>
      <c r="V19" s="44">
        <f t="shared" si="14"/>
        <v>-2.5999999999886101</v>
      </c>
      <c r="W19" s="45">
        <f t="shared" si="15"/>
        <v>0.19999999998887599</v>
      </c>
      <c r="X19" s="29">
        <v>11.946099999999999</v>
      </c>
      <c r="Y19" s="43">
        <f t="shared" si="16"/>
        <v>-0.20000000000130999</v>
      </c>
      <c r="Z19" s="44">
        <f t="shared" si="17"/>
        <v>-2.3999999999997401</v>
      </c>
      <c r="AA19" s="45">
        <f t="shared" si="18"/>
        <v>-0.20000000000130999</v>
      </c>
      <c r="AB19" s="49">
        <v>7.8963999999999999</v>
      </c>
      <c r="AC19" s="43">
        <f t="shared" si="19"/>
        <v>-0.20000000000042201</v>
      </c>
      <c r="AD19" s="44">
        <f t="shared" si="20"/>
        <v>-2.2999999999999701</v>
      </c>
      <c r="AE19" s="45">
        <f t="shared" si="21"/>
        <v>-0.20000000000042201</v>
      </c>
      <c r="AF19" s="50">
        <v>79321</v>
      </c>
      <c r="AG19" s="58">
        <f t="shared" si="22"/>
        <v>44</v>
      </c>
      <c r="AH19" s="61"/>
      <c r="AI19" s="52"/>
      <c r="AJ19" s="52"/>
      <c r="AK19" s="52"/>
      <c r="AL19" s="52"/>
      <c r="AM19" s="52"/>
    </row>
    <row r="20" spans="1:39">
      <c r="A20" s="21">
        <v>44566</v>
      </c>
      <c r="B20" s="22">
        <v>792.27269999999999</v>
      </c>
      <c r="C20" s="27">
        <v>5.3518999999999997</v>
      </c>
      <c r="D20" s="23">
        <f t="shared" si="0"/>
        <v>797.62459999999999</v>
      </c>
      <c r="E20" s="24">
        <f t="shared" si="4"/>
        <v>-0.30000000003838101</v>
      </c>
      <c r="F20" s="25">
        <f t="shared" si="5"/>
        <v>-2.2999999999910901</v>
      </c>
      <c r="G20" s="26">
        <f t="shared" si="6"/>
        <v>-0.30000000003838101</v>
      </c>
      <c r="H20" s="6">
        <v>6.3760000000000003</v>
      </c>
      <c r="I20" s="35">
        <f t="shared" si="1"/>
        <v>798.64869999999996</v>
      </c>
      <c r="J20" s="24">
        <f t="shared" si="7"/>
        <v>-0.30000000003838101</v>
      </c>
      <c r="K20" s="25">
        <f t="shared" si="8"/>
        <v>-2.5000000000545701</v>
      </c>
      <c r="L20" s="26">
        <f t="shared" si="9"/>
        <v>-0.30000000003838101</v>
      </c>
      <c r="M20" s="6">
        <v>5.7197000000000102</v>
      </c>
      <c r="N20" s="35">
        <f t="shared" si="2"/>
        <v>797.99239999999998</v>
      </c>
      <c r="O20" s="24">
        <f t="shared" si="10"/>
        <v>-0.90000000000145497</v>
      </c>
      <c r="P20" s="25">
        <f t="shared" si="11"/>
        <v>-3.5000000000309202</v>
      </c>
      <c r="Q20" s="26">
        <f t="shared" si="12"/>
        <v>-0.90000000000145497</v>
      </c>
      <c r="R20" s="41"/>
      <c r="S20" s="21">
        <f t="shared" si="3"/>
        <v>44566</v>
      </c>
      <c r="T20" s="42">
        <v>8.3400999999999996</v>
      </c>
      <c r="U20" s="43">
        <f t="shared" si="13"/>
        <v>9.9999999989108801E-2</v>
      </c>
      <c r="V20" s="44">
        <f t="shared" si="14"/>
        <v>-2.4999999999995</v>
      </c>
      <c r="W20" s="45">
        <f t="shared" si="15"/>
        <v>-9.9999999989108801E-2</v>
      </c>
      <c r="X20" s="29">
        <v>11.946199999999999</v>
      </c>
      <c r="Y20" s="43">
        <f t="shared" si="16"/>
        <v>9.99999999997669E-2</v>
      </c>
      <c r="Z20" s="44">
        <f t="shared" si="17"/>
        <v>-2.2999999999999701</v>
      </c>
      <c r="AA20" s="45">
        <f t="shared" si="18"/>
        <v>9.99999999997669E-2</v>
      </c>
      <c r="AB20" s="49">
        <v>7.8962000000000003</v>
      </c>
      <c r="AC20" s="43">
        <f t="shared" si="19"/>
        <v>-0.19999999999953399</v>
      </c>
      <c r="AD20" s="44">
        <f t="shared" si="20"/>
        <v>-2.4999999999995</v>
      </c>
      <c r="AE20" s="45">
        <f t="shared" si="21"/>
        <v>-0.19999999999953399</v>
      </c>
      <c r="AF20" s="50">
        <v>79327</v>
      </c>
      <c r="AG20" s="58">
        <f t="shared" si="22"/>
        <v>50</v>
      </c>
      <c r="AH20" s="61"/>
      <c r="AI20" s="52"/>
      <c r="AJ20" s="52"/>
      <c r="AK20" s="52"/>
      <c r="AL20" s="52"/>
      <c r="AM20" s="52"/>
    </row>
    <row r="21" spans="1:39">
      <c r="A21" s="21">
        <v>44568</v>
      </c>
      <c r="B21" s="22">
        <v>792.27269999999999</v>
      </c>
      <c r="C21" s="27">
        <v>5.3517000000000099</v>
      </c>
      <c r="D21" s="23">
        <f t="shared" si="0"/>
        <v>797.62440000000004</v>
      </c>
      <c r="E21" s="24">
        <f t="shared" si="4"/>
        <v>-0.199999999949796</v>
      </c>
      <c r="F21" s="25">
        <f t="shared" si="5"/>
        <v>-2.4999999999408802</v>
      </c>
      <c r="G21" s="26">
        <f t="shared" si="6"/>
        <v>-9.9999999974897905E-2</v>
      </c>
      <c r="H21" s="6">
        <v>6.3757999999999999</v>
      </c>
      <c r="I21" s="35">
        <f t="shared" si="1"/>
        <v>798.64850000000001</v>
      </c>
      <c r="J21" s="24">
        <f t="shared" si="7"/>
        <v>-0.199999999949796</v>
      </c>
      <c r="K21" s="25">
        <f t="shared" si="8"/>
        <v>-2.70000000000437</v>
      </c>
      <c r="L21" s="26">
        <f t="shared" si="9"/>
        <v>-9.9999999974897905E-2</v>
      </c>
      <c r="M21" s="6">
        <v>5.7201000000000004</v>
      </c>
      <c r="N21" s="35">
        <f t="shared" si="2"/>
        <v>797.99279999999999</v>
      </c>
      <c r="O21" s="24">
        <f t="shared" si="10"/>
        <v>0.40000000001327901</v>
      </c>
      <c r="P21" s="25">
        <f t="shared" si="11"/>
        <v>-3.1000000000176402</v>
      </c>
      <c r="Q21" s="26">
        <f t="shared" si="12"/>
        <v>0.20000000000663901</v>
      </c>
      <c r="R21" s="41"/>
      <c r="S21" s="21">
        <f t="shared" si="3"/>
        <v>44568</v>
      </c>
      <c r="T21" s="42">
        <v>8.3402999999999992</v>
      </c>
      <c r="U21" s="43">
        <f t="shared" si="13"/>
        <v>0.19999999999953399</v>
      </c>
      <c r="V21" s="44">
        <f t="shared" si="14"/>
        <v>-2.2999999999999701</v>
      </c>
      <c r="W21" s="45">
        <f t="shared" si="15"/>
        <v>-9.99999999997669E-2</v>
      </c>
      <c r="X21" s="29">
        <v>11.9457</v>
      </c>
      <c r="Y21" s="43">
        <f t="shared" si="16"/>
        <v>-0.49999999999883499</v>
      </c>
      <c r="Z21" s="44">
        <f t="shared" si="17"/>
        <v>-2.7999999999987999</v>
      </c>
      <c r="AA21" s="45">
        <f t="shared" si="18"/>
        <v>-0.24999999999941699</v>
      </c>
      <c r="AB21" s="49">
        <v>7.8964999999999996</v>
      </c>
      <c r="AC21" s="43">
        <f t="shared" si="19"/>
        <v>0.29999999999930099</v>
      </c>
      <c r="AD21" s="44">
        <f t="shared" si="20"/>
        <v>-2.2000000000002</v>
      </c>
      <c r="AE21" s="45">
        <f t="shared" si="21"/>
        <v>0.14999999999965</v>
      </c>
      <c r="AF21" s="50">
        <v>79339</v>
      </c>
      <c r="AG21" s="58">
        <f t="shared" si="22"/>
        <v>62</v>
      </c>
      <c r="AH21" s="61"/>
      <c r="AI21" s="52"/>
      <c r="AJ21" s="52"/>
      <c r="AK21" s="52"/>
      <c r="AL21" s="52"/>
      <c r="AM21" s="52"/>
    </row>
    <row r="22" spans="1:39">
      <c r="A22" s="21">
        <v>44570</v>
      </c>
      <c r="B22" s="22">
        <v>792.27269999999999</v>
      </c>
      <c r="C22" s="27">
        <v>5.3516000000000004</v>
      </c>
      <c r="D22" s="23">
        <f t="shared" si="0"/>
        <v>797.62429999999995</v>
      </c>
      <c r="E22" s="24">
        <f t="shared" si="4"/>
        <v>-0.10000000008858501</v>
      </c>
      <c r="F22" s="25">
        <f t="shared" si="5"/>
        <v>-2.6000000000294698</v>
      </c>
      <c r="G22" s="26">
        <f t="shared" si="6"/>
        <v>-5.0000000044292399E-2</v>
      </c>
      <c r="H22" s="6">
        <v>6.3758999999999997</v>
      </c>
      <c r="I22" s="35">
        <f t="shared" si="1"/>
        <v>798.64859999999999</v>
      </c>
      <c r="J22" s="24">
        <f t="shared" si="7"/>
        <v>9.9999999974897905E-2</v>
      </c>
      <c r="K22" s="25">
        <f t="shared" si="8"/>
        <v>-2.6000000000294698</v>
      </c>
      <c r="L22" s="26">
        <f t="shared" si="9"/>
        <v>4.9999999987449001E-2</v>
      </c>
      <c r="M22" s="6">
        <v>5.72</v>
      </c>
      <c r="N22" s="35">
        <f t="shared" si="2"/>
        <v>797.99270000000001</v>
      </c>
      <c r="O22" s="24">
        <f t="shared" si="10"/>
        <v>-9.9999999974897905E-2</v>
      </c>
      <c r="P22" s="25">
        <f t="shared" si="11"/>
        <v>-3.1999999999925399</v>
      </c>
      <c r="Q22" s="26">
        <f t="shared" si="12"/>
        <v>-4.9999999987449001E-2</v>
      </c>
      <c r="R22" s="41"/>
      <c r="S22" s="21">
        <f t="shared" si="3"/>
        <v>44570</v>
      </c>
      <c r="T22" s="42">
        <v>8.3400999999999996</v>
      </c>
      <c r="U22" s="43">
        <f t="shared" si="13"/>
        <v>-0.19999999999953399</v>
      </c>
      <c r="V22" s="44">
        <f t="shared" si="14"/>
        <v>-2.4999999999995</v>
      </c>
      <c r="W22" s="45">
        <f t="shared" si="15"/>
        <v>9.99999999997669E-2</v>
      </c>
      <c r="X22" s="29">
        <v>11.9458</v>
      </c>
      <c r="Y22" s="43">
        <f t="shared" si="16"/>
        <v>9.99999999997669E-2</v>
      </c>
      <c r="Z22" s="44">
        <f t="shared" si="17"/>
        <v>-2.6999999999990401</v>
      </c>
      <c r="AA22" s="45">
        <f t="shared" si="18"/>
        <v>4.9999999999883499E-2</v>
      </c>
      <c r="AB22" s="49">
        <v>7.8963999999999999</v>
      </c>
      <c r="AC22" s="43">
        <f t="shared" si="19"/>
        <v>-9.99999999997669E-2</v>
      </c>
      <c r="AD22" s="44">
        <f t="shared" si="20"/>
        <v>-2.2999999999999701</v>
      </c>
      <c r="AE22" s="45">
        <f t="shared" si="21"/>
        <v>-4.9999999999883499E-2</v>
      </c>
      <c r="AF22" s="50">
        <v>79346</v>
      </c>
      <c r="AG22" s="58">
        <f t="shared" si="22"/>
        <v>69</v>
      </c>
      <c r="AH22" s="61"/>
      <c r="AI22" s="52"/>
      <c r="AJ22" s="52"/>
      <c r="AK22" s="52"/>
      <c r="AL22" s="52"/>
      <c r="AM22" s="52"/>
    </row>
    <row r="23" spans="1:39">
      <c r="A23" s="21">
        <v>44572</v>
      </c>
      <c r="B23" s="22">
        <v>792.27269999999999</v>
      </c>
      <c r="C23" s="27">
        <v>5.3514999999999899</v>
      </c>
      <c r="D23" s="23">
        <f t="shared" si="0"/>
        <v>797.62419999999997</v>
      </c>
      <c r="E23" s="24">
        <f t="shared" si="4"/>
        <v>-9.9999999974897905E-2</v>
      </c>
      <c r="F23" s="25">
        <f t="shared" si="5"/>
        <v>-2.70000000000437</v>
      </c>
      <c r="G23" s="26">
        <f t="shared" si="6"/>
        <v>-4.9999999987449001E-2</v>
      </c>
      <c r="H23" s="6">
        <v>6.3760000000000003</v>
      </c>
      <c r="I23" s="35">
        <f t="shared" si="1"/>
        <v>798.64869999999996</v>
      </c>
      <c r="J23" s="24">
        <f t="shared" si="7"/>
        <v>9.9999999974897905E-2</v>
      </c>
      <c r="K23" s="25">
        <f t="shared" si="8"/>
        <v>-2.5000000000545701</v>
      </c>
      <c r="L23" s="26">
        <f t="shared" si="9"/>
        <v>4.9999999987449001E-2</v>
      </c>
      <c r="M23" s="6">
        <v>5.7199</v>
      </c>
      <c r="N23" s="35">
        <f t="shared" si="2"/>
        <v>797.99260000000004</v>
      </c>
      <c r="O23" s="24">
        <f t="shared" si="10"/>
        <v>-9.9999999974897905E-2</v>
      </c>
      <c r="P23" s="25">
        <f t="shared" si="11"/>
        <v>-3.2999999999674401</v>
      </c>
      <c r="Q23" s="26">
        <f t="shared" si="12"/>
        <v>-4.9999999987449001E-2</v>
      </c>
      <c r="S23" s="21">
        <f t="shared" si="3"/>
        <v>44572</v>
      </c>
      <c r="T23" s="42">
        <v>8.3399000000000001</v>
      </c>
      <c r="U23" s="43">
        <f t="shared" si="13"/>
        <v>-0.19999999999953399</v>
      </c>
      <c r="V23" s="44">
        <f t="shared" si="14"/>
        <v>-2.6999999999990401</v>
      </c>
      <c r="W23" s="45">
        <f t="shared" si="15"/>
        <v>9.99999999997669E-2</v>
      </c>
      <c r="X23" s="29">
        <v>11.9459</v>
      </c>
      <c r="Y23" s="43">
        <f t="shared" si="16"/>
        <v>9.99999999997669E-2</v>
      </c>
      <c r="Z23" s="44">
        <f t="shared" si="17"/>
        <v>-2.59999999999927</v>
      </c>
      <c r="AA23" s="45">
        <f t="shared" si="18"/>
        <v>4.9999999999883499E-2</v>
      </c>
      <c r="AB23" s="49">
        <v>7.8963000000000001</v>
      </c>
      <c r="AC23" s="43">
        <f t="shared" si="19"/>
        <v>-9.99999999997669E-2</v>
      </c>
      <c r="AD23" s="44">
        <f t="shared" si="20"/>
        <v>-2.3999999999997401</v>
      </c>
      <c r="AE23" s="45">
        <f t="shared" si="21"/>
        <v>-4.9999999999883499E-2</v>
      </c>
      <c r="AF23" s="50">
        <v>79353</v>
      </c>
      <c r="AG23" s="58">
        <f t="shared" si="22"/>
        <v>76</v>
      </c>
      <c r="AH23" s="61"/>
      <c r="AI23" s="52"/>
      <c r="AJ23" s="52"/>
      <c r="AK23" s="52"/>
      <c r="AL23" s="52"/>
      <c r="AM23" s="52"/>
    </row>
    <row r="24" spans="1:39">
      <c r="A24" s="21">
        <v>44574</v>
      </c>
      <c r="B24" s="22">
        <v>792.27269999999999</v>
      </c>
      <c r="C24" s="27">
        <v>5.3512000000000004</v>
      </c>
      <c r="D24" s="23">
        <f t="shared" si="0"/>
        <v>797.62390000000005</v>
      </c>
      <c r="E24" s="24">
        <f t="shared" si="4"/>
        <v>-0.30000000003838101</v>
      </c>
      <c r="F24" s="25">
        <f t="shared" si="5"/>
        <v>-3.0000000000427498</v>
      </c>
      <c r="G24" s="26">
        <f t="shared" si="6"/>
        <v>-0.15000000001919001</v>
      </c>
      <c r="H24" s="6">
        <v>6.3761000000000001</v>
      </c>
      <c r="I24" s="35">
        <f t="shared" si="1"/>
        <v>798.64880000000005</v>
      </c>
      <c r="J24" s="24">
        <f t="shared" si="7"/>
        <v>9.9999999974897905E-2</v>
      </c>
      <c r="K24" s="25">
        <f t="shared" si="8"/>
        <v>-2.40000000007967</v>
      </c>
      <c r="L24" s="26">
        <f t="shared" si="9"/>
        <v>4.9999999987449001E-2</v>
      </c>
      <c r="M24" s="6">
        <v>5.7195999999999998</v>
      </c>
      <c r="N24" s="35">
        <f t="shared" si="2"/>
        <v>797.9923</v>
      </c>
      <c r="O24" s="24">
        <f t="shared" si="10"/>
        <v>-0.30000000003838101</v>
      </c>
      <c r="P24" s="25">
        <f t="shared" si="11"/>
        <v>-3.6000000000058199</v>
      </c>
      <c r="Q24" s="26">
        <f t="shared" si="12"/>
        <v>-0.15000000001919001</v>
      </c>
      <c r="S24" s="21">
        <f t="shared" si="3"/>
        <v>44574</v>
      </c>
      <c r="T24" s="42">
        <v>8.3394999999999992</v>
      </c>
      <c r="U24" s="43">
        <f t="shared" si="13"/>
        <v>-0.40000000000084401</v>
      </c>
      <c r="V24" s="44">
        <f t="shared" si="14"/>
        <v>-3.0999999999998802</v>
      </c>
      <c r="W24" s="45">
        <f t="shared" si="15"/>
        <v>0.20000000000042201</v>
      </c>
      <c r="X24" s="29">
        <v>11.9458</v>
      </c>
      <c r="Y24" s="43">
        <f t="shared" si="16"/>
        <v>-9.99999999997669E-2</v>
      </c>
      <c r="Z24" s="44">
        <f t="shared" si="17"/>
        <v>-2.6999999999990401</v>
      </c>
      <c r="AA24" s="45">
        <f t="shared" si="18"/>
        <v>-4.9999999999883499E-2</v>
      </c>
      <c r="AB24" s="49">
        <v>7.8962000000000003</v>
      </c>
      <c r="AC24" s="43">
        <f t="shared" si="19"/>
        <v>-9.99999999997669E-2</v>
      </c>
      <c r="AD24" s="44">
        <f t="shared" si="20"/>
        <v>-2.4999999999995</v>
      </c>
      <c r="AE24" s="45">
        <f t="shared" si="21"/>
        <v>-4.9999999999883499E-2</v>
      </c>
      <c r="AF24" s="50">
        <v>79360</v>
      </c>
      <c r="AG24" s="58">
        <f t="shared" si="22"/>
        <v>83</v>
      </c>
      <c r="AH24" s="61"/>
      <c r="AI24" s="52"/>
      <c r="AJ24" s="52"/>
      <c r="AK24" s="52"/>
      <c r="AL24" s="52"/>
      <c r="AM24" s="52"/>
    </row>
    <row r="25" spans="1:39">
      <c r="A25" s="21">
        <v>44576</v>
      </c>
      <c r="B25" s="22">
        <v>792.27269999999999</v>
      </c>
      <c r="C25" s="27">
        <v>5.35129999999997</v>
      </c>
      <c r="D25" s="23">
        <f t="shared" si="0"/>
        <v>797.62400000000002</v>
      </c>
      <c r="E25" s="24">
        <f t="shared" si="4"/>
        <v>9.9999999974897905E-2</v>
      </c>
      <c r="F25" s="25">
        <f t="shared" si="5"/>
        <v>-2.9000000000678501</v>
      </c>
      <c r="G25" s="26">
        <f t="shared" si="6"/>
        <v>4.9999999987449001E-2</v>
      </c>
      <c r="H25" s="6">
        <v>6.3761999999999999</v>
      </c>
      <c r="I25" s="35">
        <f t="shared" si="1"/>
        <v>798.64890000000003</v>
      </c>
      <c r="J25" s="24">
        <f t="shared" si="7"/>
        <v>0.10000000008858501</v>
      </c>
      <c r="K25" s="25">
        <f t="shared" si="8"/>
        <v>-2.2999999999910901</v>
      </c>
      <c r="L25" s="26">
        <f t="shared" si="9"/>
        <v>5.0000000044292399E-2</v>
      </c>
      <c r="M25" s="6">
        <v>5.7196999999999996</v>
      </c>
      <c r="N25" s="35">
        <f t="shared" si="2"/>
        <v>797.99239999999998</v>
      </c>
      <c r="O25" s="24">
        <f t="shared" si="10"/>
        <v>9.9999999974897905E-2</v>
      </c>
      <c r="P25" s="25">
        <f t="shared" si="11"/>
        <v>-3.5000000000309202</v>
      </c>
      <c r="Q25" s="26">
        <f t="shared" si="12"/>
        <v>4.9999999987449001E-2</v>
      </c>
      <c r="R25" s="41"/>
      <c r="S25" s="21">
        <f t="shared" si="3"/>
        <v>44576</v>
      </c>
      <c r="T25" s="42">
        <v>8.3397000000000006</v>
      </c>
      <c r="U25" s="43">
        <f t="shared" si="13"/>
        <v>0.20000000000130999</v>
      </c>
      <c r="V25" s="44">
        <f t="shared" si="14"/>
        <v>-2.8999999999985699</v>
      </c>
      <c r="W25" s="45">
        <f t="shared" si="15"/>
        <v>-0.100000000000655</v>
      </c>
      <c r="X25" s="29">
        <v>11.946099999999999</v>
      </c>
      <c r="Y25" s="43">
        <f t="shared" si="16"/>
        <v>0.29999999999930099</v>
      </c>
      <c r="Z25" s="44">
        <f t="shared" si="17"/>
        <v>-2.3999999999997401</v>
      </c>
      <c r="AA25" s="45">
        <f t="shared" si="18"/>
        <v>0.14999999999965</v>
      </c>
      <c r="AB25" s="49">
        <v>7.8959999999999999</v>
      </c>
      <c r="AC25" s="43">
        <f t="shared" si="19"/>
        <v>-0.20000000000042201</v>
      </c>
      <c r="AD25" s="44">
        <f t="shared" si="20"/>
        <v>-2.6999999999999198</v>
      </c>
      <c r="AE25" s="45">
        <f t="shared" si="21"/>
        <v>-0.100000000000211</v>
      </c>
      <c r="AF25" s="50">
        <v>79365.8</v>
      </c>
      <c r="AG25" s="58">
        <f t="shared" si="22"/>
        <v>88.800000000002896</v>
      </c>
      <c r="AH25" s="61"/>
      <c r="AI25" s="52"/>
      <c r="AJ25" s="52"/>
      <c r="AK25" s="52"/>
      <c r="AL25" s="52"/>
      <c r="AM25" s="52"/>
    </row>
    <row r="26" spans="1:39">
      <c r="A26" s="21">
        <v>44578</v>
      </c>
      <c r="B26" s="22">
        <v>792.27269999999999</v>
      </c>
      <c r="C26" s="27">
        <v>5.3511999999999604</v>
      </c>
      <c r="D26" s="23">
        <f t="shared" si="0"/>
        <v>797.62390000000005</v>
      </c>
      <c r="E26" s="24">
        <f t="shared" si="4"/>
        <v>-9.9999999974897905E-2</v>
      </c>
      <c r="F26" s="25">
        <f t="shared" si="5"/>
        <v>-3.0000000000427498</v>
      </c>
      <c r="G26" s="26">
        <f t="shared" si="6"/>
        <v>-4.9999999987449001E-2</v>
      </c>
      <c r="H26" s="6">
        <v>6.3762999999999996</v>
      </c>
      <c r="I26" s="35">
        <f t="shared" si="1"/>
        <v>798.649</v>
      </c>
      <c r="J26" s="24">
        <f t="shared" si="7"/>
        <v>9.9999999974897905E-2</v>
      </c>
      <c r="K26" s="25">
        <f t="shared" si="8"/>
        <v>-2.2000000000161899</v>
      </c>
      <c r="L26" s="26">
        <f t="shared" si="9"/>
        <v>4.9999999987449001E-2</v>
      </c>
      <c r="M26" s="6">
        <v>5.7195999999999998</v>
      </c>
      <c r="N26" s="35">
        <f t="shared" si="2"/>
        <v>797.9923</v>
      </c>
      <c r="O26" s="24">
        <f t="shared" si="10"/>
        <v>-9.9999999974897905E-2</v>
      </c>
      <c r="P26" s="25">
        <f t="shared" si="11"/>
        <v>-3.6000000000058199</v>
      </c>
      <c r="Q26" s="26">
        <f t="shared" si="12"/>
        <v>-4.9999999987449001E-2</v>
      </c>
      <c r="R26" s="41"/>
      <c r="S26" s="21">
        <f t="shared" si="3"/>
        <v>44578</v>
      </c>
      <c r="T26" s="42">
        <v>8.3396000000000008</v>
      </c>
      <c r="U26" s="43">
        <f t="shared" si="13"/>
        <v>-9.99999999997669E-2</v>
      </c>
      <c r="V26" s="44">
        <f t="shared" si="14"/>
        <v>-2.99999999999834</v>
      </c>
      <c r="W26" s="45">
        <f t="shared" si="15"/>
        <v>4.9999999999883499E-2</v>
      </c>
      <c r="X26" s="29">
        <v>11.9459</v>
      </c>
      <c r="Y26" s="43">
        <f t="shared" si="16"/>
        <v>-0.19999999999953399</v>
      </c>
      <c r="Z26" s="44">
        <f t="shared" si="17"/>
        <v>-2.59999999999927</v>
      </c>
      <c r="AA26" s="45">
        <f t="shared" si="18"/>
        <v>-9.99999999997669E-2</v>
      </c>
      <c r="AB26" s="49">
        <v>7.8959999999999999</v>
      </c>
      <c r="AC26" s="43">
        <f t="shared" si="19"/>
        <v>0</v>
      </c>
      <c r="AD26" s="44">
        <f t="shared" si="20"/>
        <v>-2.6999999999999198</v>
      </c>
      <c r="AE26" s="45">
        <f t="shared" si="21"/>
        <v>0</v>
      </c>
      <c r="AF26" s="50">
        <v>79375</v>
      </c>
      <c r="AG26" s="58">
        <f t="shared" si="22"/>
        <v>98</v>
      </c>
      <c r="AH26" s="61"/>
      <c r="AI26" s="60"/>
      <c r="AJ26" s="61"/>
      <c r="AK26" s="62"/>
      <c r="AL26" s="60"/>
      <c r="AM26" s="64"/>
    </row>
    <row r="27" spans="1:39">
      <c r="A27" s="21">
        <v>44580</v>
      </c>
      <c r="B27" s="22">
        <v>792.27269999999999</v>
      </c>
      <c r="C27" s="27">
        <v>5.351</v>
      </c>
      <c r="D27" s="23">
        <f t="shared" si="0"/>
        <v>797.62369999999999</v>
      </c>
      <c r="E27" s="24">
        <f t="shared" si="4"/>
        <v>-0.199999999949796</v>
      </c>
      <c r="F27" s="25">
        <f t="shared" si="5"/>
        <v>-3.1999999999925399</v>
      </c>
      <c r="G27" s="26">
        <f t="shared" si="6"/>
        <v>-9.9999999974897905E-2</v>
      </c>
      <c r="H27" s="6">
        <v>6.3760000000000003</v>
      </c>
      <c r="I27" s="35">
        <f t="shared" si="1"/>
        <v>798.64869999999996</v>
      </c>
      <c r="J27" s="24">
        <f t="shared" si="7"/>
        <v>-0.30000000003838101</v>
      </c>
      <c r="K27" s="25">
        <f t="shared" si="8"/>
        <v>-2.5000000000545701</v>
      </c>
      <c r="L27" s="26">
        <f t="shared" si="9"/>
        <v>-0.15000000001919001</v>
      </c>
      <c r="M27" s="6">
        <v>5.7194000000000003</v>
      </c>
      <c r="N27" s="35">
        <f t="shared" si="2"/>
        <v>797.99210000000005</v>
      </c>
      <c r="O27" s="24">
        <f t="shared" si="10"/>
        <v>-0.20000000006348301</v>
      </c>
      <c r="P27" s="25">
        <f t="shared" si="11"/>
        <v>-3.8000000000692999</v>
      </c>
      <c r="Q27" s="26">
        <f t="shared" si="12"/>
        <v>-0.100000000031741</v>
      </c>
      <c r="R27" s="41"/>
      <c r="S27" s="21">
        <f t="shared" si="3"/>
        <v>44580</v>
      </c>
      <c r="T27" s="42">
        <v>8.3393999999999995</v>
      </c>
      <c r="U27" s="43">
        <f t="shared" si="13"/>
        <v>-0.20000000000130999</v>
      </c>
      <c r="V27" s="44">
        <f t="shared" si="14"/>
        <v>-3.1999999999996498</v>
      </c>
      <c r="W27" s="45">
        <f t="shared" si="15"/>
        <v>0.100000000000655</v>
      </c>
      <c r="X27" s="29">
        <v>11.9458</v>
      </c>
      <c r="Y27" s="43">
        <f t="shared" si="16"/>
        <v>-9.99999999997669E-2</v>
      </c>
      <c r="Z27" s="44">
        <f t="shared" si="17"/>
        <v>-2.6999999999990401</v>
      </c>
      <c r="AA27" s="45">
        <f t="shared" si="18"/>
        <v>-4.9999999999883499E-2</v>
      </c>
      <c r="AB27" s="49">
        <v>7.8956999999999997</v>
      </c>
      <c r="AC27" s="43">
        <f t="shared" si="19"/>
        <v>-0.300000000000189</v>
      </c>
      <c r="AD27" s="44">
        <f t="shared" si="20"/>
        <v>-3.0000000000001101</v>
      </c>
      <c r="AE27" s="45">
        <f t="shared" si="21"/>
        <v>-0.150000000000095</v>
      </c>
      <c r="AF27" s="50">
        <v>79383</v>
      </c>
      <c r="AG27" s="58">
        <f t="shared" si="22"/>
        <v>106</v>
      </c>
      <c r="AH27" s="61"/>
      <c r="AI27" s="60"/>
      <c r="AJ27" s="61"/>
      <c r="AK27" s="62"/>
      <c r="AL27" s="60"/>
      <c r="AM27" s="64"/>
    </row>
    <row r="28" spans="1:39">
      <c r="A28" s="21">
        <v>44587</v>
      </c>
      <c r="B28" s="22">
        <v>792.27269999999999</v>
      </c>
      <c r="C28" s="27">
        <v>5.3510999999999997</v>
      </c>
      <c r="D28" s="23">
        <f t="shared" si="0"/>
        <v>797.62379999999996</v>
      </c>
      <c r="E28" s="24">
        <f t="shared" ref="E28:E31" si="23">(D28-D27)*1000</f>
        <v>9.9999999974897905E-2</v>
      </c>
      <c r="F28" s="25">
        <f t="shared" ref="F28:F31" si="24">F27+E28</f>
        <v>-3.1000000000176402</v>
      </c>
      <c r="G28" s="26">
        <f t="shared" ref="G28:G31" si="25">E28/(A28-A27)</f>
        <v>1.42857142821283E-2</v>
      </c>
      <c r="H28" s="6">
        <v>6.3758999999999997</v>
      </c>
      <c r="I28" s="35">
        <f t="shared" si="1"/>
        <v>798.64859999999999</v>
      </c>
      <c r="J28" s="24">
        <f t="shared" ref="J28:J31" si="26">(I28-I27)*1000</f>
        <v>-9.9999999974897905E-2</v>
      </c>
      <c r="K28" s="25">
        <f t="shared" ref="K28:K31" si="27">K27+J28</f>
        <v>-2.6000000000294698</v>
      </c>
      <c r="L28" s="26">
        <f t="shared" ref="L28:L31" si="28">J28/(A28-A27)</f>
        <v>-1.42857142821283E-2</v>
      </c>
      <c r="M28" s="6">
        <v>5.7191000000000001</v>
      </c>
      <c r="N28" s="35">
        <f t="shared" si="2"/>
        <v>797.99180000000001</v>
      </c>
      <c r="O28" s="24">
        <f t="shared" ref="O28:O31" si="29">(N28-N27)*1000</f>
        <v>-0.29999999992469401</v>
      </c>
      <c r="P28" s="25">
        <f t="shared" ref="P28:P31" si="30">P27+O28</f>
        <v>-4.099999999994</v>
      </c>
      <c r="Q28" s="26">
        <f t="shared" ref="Q28:Q31" si="31">O28/(A28-A27)</f>
        <v>-4.2857142846384803E-2</v>
      </c>
      <c r="R28" s="41"/>
      <c r="S28" s="21">
        <f t="shared" si="3"/>
        <v>44587</v>
      </c>
      <c r="T28" s="42">
        <v>8.3391000000000002</v>
      </c>
      <c r="U28" s="43">
        <f t="shared" ref="U28:U31" si="32">(T28-T27)*1000</f>
        <v>-0.29999999999930099</v>
      </c>
      <c r="V28" s="44">
        <f t="shared" ref="V28:V31" si="33">V27+U28</f>
        <v>-3.4999999999989502</v>
      </c>
      <c r="W28" s="45">
        <f t="shared" ref="W28:W31" si="34">U28/(S27-S28)</f>
        <v>4.2857142857043E-2</v>
      </c>
      <c r="X28" s="29">
        <v>11.945499999999999</v>
      </c>
      <c r="Y28" s="43">
        <f t="shared" ref="Y28:Y31" si="35">(X28-X27)*1000</f>
        <v>-0.30000000000107702</v>
      </c>
      <c r="Z28" s="44">
        <f t="shared" ref="Z28:Z31" si="36">Z27+Y28</f>
        <v>-3.0000000000001101</v>
      </c>
      <c r="AA28" s="45">
        <f t="shared" ref="AA28:AA31" si="37">Y28/(S28-S27)</f>
        <v>-4.28571428572967E-2</v>
      </c>
      <c r="AB28" s="49">
        <v>7.8955000000000002</v>
      </c>
      <c r="AC28" s="43">
        <f t="shared" ref="AC28:AC31" si="38">(AB28-AB27)*1000</f>
        <v>-0.19999999999953399</v>
      </c>
      <c r="AD28" s="44">
        <f t="shared" ref="AD28:AD31" si="39">AD27+AC28</f>
        <v>-3.1999999999996498</v>
      </c>
      <c r="AE28" s="45">
        <f t="shared" ref="AE28:AE31" si="40">AC28/(S28-S27)</f>
        <v>-2.8571428571361999E-2</v>
      </c>
      <c r="AF28" s="50">
        <v>79385</v>
      </c>
      <c r="AG28" s="58">
        <f t="shared" si="22"/>
        <v>108</v>
      </c>
      <c r="AH28" s="61"/>
      <c r="AI28" s="60"/>
      <c r="AJ28" s="61"/>
      <c r="AK28" s="62"/>
      <c r="AL28" s="60"/>
      <c r="AM28" s="64"/>
    </row>
    <row r="29" spans="1:39" s="67" customFormat="1">
      <c r="A29" s="21">
        <v>44597</v>
      </c>
      <c r="B29" s="22">
        <v>792.27269999999999</v>
      </c>
      <c r="C29" s="27">
        <v>5.3508000000000404</v>
      </c>
      <c r="D29" s="23">
        <f t="shared" si="0"/>
        <v>797.62350000000004</v>
      </c>
      <c r="E29" s="24">
        <f t="shared" si="23"/>
        <v>-0.29999999992469401</v>
      </c>
      <c r="F29" s="25">
        <f t="shared" si="24"/>
        <v>-3.3999999999423398</v>
      </c>
      <c r="G29" s="26">
        <f t="shared" si="25"/>
        <v>-2.9999999992469401E-2</v>
      </c>
      <c r="H29" s="6">
        <v>6.3757000000000001</v>
      </c>
      <c r="I29" s="35">
        <f t="shared" si="1"/>
        <v>798.64840000000004</v>
      </c>
      <c r="J29" s="24">
        <f t="shared" si="26"/>
        <v>-0.199999999949796</v>
      </c>
      <c r="K29" s="25">
        <f t="shared" si="27"/>
        <v>-2.79999999997926</v>
      </c>
      <c r="L29" s="26">
        <f t="shared" si="28"/>
        <v>-1.99999999949796E-2</v>
      </c>
      <c r="M29" s="6">
        <v>5.7191999999999998</v>
      </c>
      <c r="N29" s="35">
        <f t="shared" si="2"/>
        <v>797.99189999999999</v>
      </c>
      <c r="O29" s="24">
        <f t="shared" si="29"/>
        <v>9.9999999974897905E-2</v>
      </c>
      <c r="P29" s="25">
        <f t="shared" si="30"/>
        <v>-4.0000000000191003</v>
      </c>
      <c r="Q29" s="26">
        <f t="shared" si="31"/>
        <v>9.9999999974897894E-3</v>
      </c>
      <c r="R29" s="41"/>
      <c r="S29" s="21">
        <v>44597</v>
      </c>
      <c r="T29" s="42">
        <v>8.3391999999999999</v>
      </c>
      <c r="U29" s="43">
        <f t="shared" si="32"/>
        <v>9.99999999997669E-2</v>
      </c>
      <c r="V29" s="44">
        <f t="shared" si="33"/>
        <v>-3.3999999999991801</v>
      </c>
      <c r="W29" s="45">
        <f t="shared" si="34"/>
        <v>-9.9999999999766907E-3</v>
      </c>
      <c r="X29" s="29">
        <v>11.9457</v>
      </c>
      <c r="Y29" s="43">
        <f t="shared" si="35"/>
        <v>0.20000000000130999</v>
      </c>
      <c r="Z29" s="44">
        <f t="shared" si="36"/>
        <v>-2.7999999999987999</v>
      </c>
      <c r="AA29" s="45">
        <f t="shared" si="37"/>
        <v>2.0000000000131E-2</v>
      </c>
      <c r="AB29" s="49">
        <v>7.8954000000000004</v>
      </c>
      <c r="AC29" s="43">
        <f t="shared" si="38"/>
        <v>-9.99999999997669E-2</v>
      </c>
      <c r="AD29" s="44">
        <f t="shared" si="39"/>
        <v>-3.2999999999994101</v>
      </c>
      <c r="AE29" s="45">
        <f t="shared" si="40"/>
        <v>-9.9999999999766907E-3</v>
      </c>
      <c r="AF29" s="50">
        <v>79385</v>
      </c>
      <c r="AG29" s="58">
        <f t="shared" si="22"/>
        <v>108</v>
      </c>
      <c r="AH29" s="61"/>
      <c r="AI29" s="60"/>
    </row>
    <row r="30" spans="1:39" s="67" customFormat="1">
      <c r="A30" s="21">
        <v>44602</v>
      </c>
      <c r="B30" s="22">
        <v>792.27269999999999</v>
      </c>
      <c r="C30" s="27">
        <v>5.3505000000000003</v>
      </c>
      <c r="D30" s="23">
        <f t="shared" si="0"/>
        <v>797.6232</v>
      </c>
      <c r="E30" s="24">
        <f t="shared" si="23"/>
        <v>-0.30000000003838101</v>
      </c>
      <c r="F30" s="25">
        <f t="shared" si="24"/>
        <v>-3.69999999998072</v>
      </c>
      <c r="G30" s="26">
        <f t="shared" si="25"/>
        <v>-6.0000000007676101E-2</v>
      </c>
      <c r="H30" s="6">
        <v>6.3754999999999997</v>
      </c>
      <c r="I30" s="35">
        <f t="shared" si="1"/>
        <v>798.64819999999997</v>
      </c>
      <c r="J30" s="24">
        <f t="shared" si="26"/>
        <v>-0.20000000006348301</v>
      </c>
      <c r="K30" s="25">
        <f t="shared" si="27"/>
        <v>-3.0000000000427498</v>
      </c>
      <c r="L30" s="26">
        <f t="shared" si="28"/>
        <v>-4.0000000012696497E-2</v>
      </c>
      <c r="M30" s="6">
        <v>5.7192999999999996</v>
      </c>
      <c r="N30" s="35">
        <f t="shared" si="2"/>
        <v>797.99199999999996</v>
      </c>
      <c r="O30" s="24">
        <f t="shared" si="29"/>
        <v>9.9999999974897905E-2</v>
      </c>
      <c r="P30" s="25">
        <f t="shared" si="30"/>
        <v>-3.9000000000442001</v>
      </c>
      <c r="Q30" s="26">
        <f t="shared" si="31"/>
        <v>1.99999999949796E-2</v>
      </c>
      <c r="R30" s="41"/>
      <c r="S30" s="21">
        <v>44602</v>
      </c>
      <c r="T30" s="42">
        <v>8.3392999999999997</v>
      </c>
      <c r="U30" s="43">
        <f t="shared" si="32"/>
        <v>9.99999999997669E-2</v>
      </c>
      <c r="V30" s="44">
        <f t="shared" si="33"/>
        <v>-3.2999999999994101</v>
      </c>
      <c r="W30" s="45">
        <f t="shared" si="34"/>
        <v>-1.9999999999953399E-2</v>
      </c>
      <c r="X30" s="29">
        <v>11.945399999999999</v>
      </c>
      <c r="Y30" s="43">
        <f t="shared" si="35"/>
        <v>-0.30000000000107702</v>
      </c>
      <c r="Z30" s="44">
        <f t="shared" si="36"/>
        <v>-3.0999999999998802</v>
      </c>
      <c r="AA30" s="45">
        <f t="shared" si="37"/>
        <v>-6.0000000000215402E-2</v>
      </c>
      <c r="AB30" s="49">
        <v>7.8952</v>
      </c>
      <c r="AC30" s="43">
        <f t="shared" si="38"/>
        <v>-0.20000000000042201</v>
      </c>
      <c r="AD30" s="44">
        <f t="shared" si="39"/>
        <v>-3.4999999999998401</v>
      </c>
      <c r="AE30" s="45">
        <f t="shared" si="40"/>
        <v>-4.0000000000084399E-2</v>
      </c>
      <c r="AF30" s="50">
        <v>79393</v>
      </c>
      <c r="AG30" s="58">
        <f t="shared" si="22"/>
        <v>116</v>
      </c>
      <c r="AH30" s="61"/>
      <c r="AI30" s="60"/>
    </row>
    <row r="31" spans="1:39">
      <c r="A31" s="21">
        <v>44612</v>
      </c>
      <c r="B31" s="22">
        <v>792.27269999999999</v>
      </c>
      <c r="C31" s="27">
        <v>5.35060000000008</v>
      </c>
      <c r="D31" s="23">
        <f t="shared" si="0"/>
        <v>797.62329999999997</v>
      </c>
      <c r="E31" s="24">
        <f t="shared" si="23"/>
        <v>0.10000000008858501</v>
      </c>
      <c r="F31" s="25">
        <f t="shared" si="24"/>
        <v>-3.5999999998921299</v>
      </c>
      <c r="G31" s="26">
        <f t="shared" si="25"/>
        <v>1.0000000008858499E-2</v>
      </c>
      <c r="H31" s="6">
        <v>6.3754</v>
      </c>
      <c r="I31" s="35">
        <f t="shared" si="1"/>
        <v>798.6481</v>
      </c>
      <c r="J31" s="24">
        <f t="shared" si="26"/>
        <v>-9.9999999974897905E-2</v>
      </c>
      <c r="K31" s="25">
        <f t="shared" si="27"/>
        <v>-3.1000000000176402</v>
      </c>
      <c r="L31" s="26">
        <f t="shared" si="28"/>
        <v>-9.9999999974897894E-3</v>
      </c>
      <c r="M31" s="6">
        <v>5.7190000000000003</v>
      </c>
      <c r="N31" s="35">
        <f t="shared" si="2"/>
        <v>797.99170000000004</v>
      </c>
      <c r="O31" s="24">
        <f t="shared" si="29"/>
        <v>-0.29999999992469401</v>
      </c>
      <c r="P31" s="25">
        <f t="shared" si="30"/>
        <v>-4.1999999999688997</v>
      </c>
      <c r="Q31" s="26">
        <f t="shared" si="31"/>
        <v>-2.9999999992469401E-2</v>
      </c>
      <c r="R31" s="41"/>
      <c r="S31" s="21">
        <v>44612</v>
      </c>
      <c r="T31" s="42">
        <v>8.3390000000000004</v>
      </c>
      <c r="U31" s="43">
        <f t="shared" si="32"/>
        <v>-0.29999999999930099</v>
      </c>
      <c r="V31" s="44">
        <f t="shared" si="33"/>
        <v>-3.5999999999987198</v>
      </c>
      <c r="W31" s="45">
        <f t="shared" si="34"/>
        <v>2.99999999999301E-2</v>
      </c>
      <c r="X31" s="29">
        <v>11.945600000000001</v>
      </c>
      <c r="Y31" s="43">
        <f t="shared" si="35"/>
        <v>0.20000000000130999</v>
      </c>
      <c r="Z31" s="44">
        <f t="shared" si="36"/>
        <v>-2.8999999999985699</v>
      </c>
      <c r="AA31" s="45">
        <f t="shared" si="37"/>
        <v>2.0000000000131E-2</v>
      </c>
      <c r="AB31" s="49">
        <v>7.8951000000000002</v>
      </c>
      <c r="AC31" s="43">
        <f t="shared" si="38"/>
        <v>-9.99999999997669E-2</v>
      </c>
      <c r="AD31" s="44">
        <f t="shared" si="39"/>
        <v>-3.5999999999996</v>
      </c>
      <c r="AE31" s="45">
        <f t="shared" si="40"/>
        <v>-9.9999999999766907E-3</v>
      </c>
      <c r="AF31" s="50">
        <v>79405</v>
      </c>
      <c r="AG31" s="58">
        <f t="shared" si="22"/>
        <v>128</v>
      </c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65">
        <f>F31-F27</f>
        <v>-0.39999999989959201</v>
      </c>
      <c r="F33" s="33">
        <f>K31-K27</f>
        <v>-0.59999999996307496</v>
      </c>
      <c r="G33" s="33">
        <f>P31-P27</f>
        <v>-0.39999999989959201</v>
      </c>
      <c r="H33" s="68">
        <f>F31</f>
        <v>-3.5999999998921299</v>
      </c>
      <c r="I33" s="69">
        <f>K31</f>
        <v>-3.1000000000176402</v>
      </c>
      <c r="J33" s="65">
        <f>P31</f>
        <v>-4.1999999999688997</v>
      </c>
      <c r="K33" s="33">
        <f>(F31-F25)/30</f>
        <v>-2.33333333274762E-2</v>
      </c>
      <c r="L33" s="26"/>
      <c r="N33" s="35"/>
      <c r="O33" s="24"/>
      <c r="P33" s="25"/>
      <c r="Q33" s="26"/>
      <c r="R33" s="41"/>
      <c r="S33" s="21"/>
      <c r="T33" s="42"/>
      <c r="U33" s="65">
        <f>V31-V27</f>
        <v>-0.39999999999906799</v>
      </c>
      <c r="V33" s="33">
        <f>Z31-Z27</f>
        <v>-0.19999999999953399</v>
      </c>
      <c r="W33" s="33">
        <f>AD31-AD27</f>
        <v>-0.59999999999949005</v>
      </c>
      <c r="X33" s="33">
        <f>V31</f>
        <v>-3.5999999999987198</v>
      </c>
      <c r="Y33" s="65">
        <f>Z31</f>
        <v>-2.8999999999985699</v>
      </c>
      <c r="Z33" s="33">
        <f>AD31</f>
        <v>-3.5999999999996</v>
      </c>
      <c r="AA33" s="33">
        <f>(AD31-AD27)/30</f>
        <v>-1.9999999999983E-2</v>
      </c>
      <c r="AB33" s="49"/>
      <c r="AC33" s="43"/>
      <c r="AD33" s="44"/>
      <c r="AE33" s="45"/>
      <c r="AF33" s="50"/>
      <c r="AG33" s="58"/>
      <c r="AH33" s="61"/>
      <c r="AI33" s="60"/>
      <c r="AJ33"/>
      <c r="AK33"/>
      <c r="AL33"/>
      <c r="AM33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47"/>
      <c r="Y40" s="24"/>
      <c r="Z40" s="25"/>
      <c r="AA40" s="26"/>
      <c r="AB40" s="47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2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26"/>
      <c r="AG42" s="26"/>
      <c r="AH42" s="51"/>
    </row>
    <row r="43" spans="1:39">
      <c r="A43" s="31"/>
      <c r="B43" s="30"/>
      <c r="C43" s="32"/>
      <c r="E43" s="24"/>
      <c r="F43" s="25"/>
      <c r="G43" s="26"/>
      <c r="H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0"/>
      <c r="C44" s="32"/>
      <c r="D44" s="32"/>
      <c r="E44" s="24"/>
      <c r="F44" s="25"/>
      <c r="G44" s="26"/>
      <c r="H44" s="29"/>
      <c r="I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7"/>
  <sheetViews>
    <sheetView topLeftCell="H16" workbookViewId="0">
      <selection activeCell="T9" sqref="T9:T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39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44560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44560</v>
      </c>
      <c r="B6" s="22">
        <v>792.27269999999999</v>
      </c>
      <c r="C6" s="27">
        <v>5.4847999999999999</v>
      </c>
      <c r="D6" s="23">
        <f t="shared" ref="D6:D20" si="0">C6+B6</f>
        <v>797.75750000000005</v>
      </c>
      <c r="E6" s="24">
        <v>0</v>
      </c>
      <c r="F6" s="25">
        <v>0</v>
      </c>
      <c r="G6" s="26">
        <v>0</v>
      </c>
      <c r="H6" s="6">
        <v>6.3315000000000001</v>
      </c>
      <c r="I6" s="35">
        <f t="shared" ref="I6:I20" si="1">H6+B6</f>
        <v>798.60419999999999</v>
      </c>
      <c r="J6" s="24">
        <v>0</v>
      </c>
      <c r="K6" s="25">
        <v>0</v>
      </c>
      <c r="L6" s="26">
        <v>0</v>
      </c>
      <c r="M6" s="6">
        <v>5.6562000000000001</v>
      </c>
      <c r="N6" s="35">
        <f t="shared" ref="N6:N20" si="2">M6+B6</f>
        <v>797.9289</v>
      </c>
      <c r="O6" s="24">
        <v>0</v>
      </c>
      <c r="P6" s="25">
        <v>0</v>
      </c>
      <c r="Q6" s="26">
        <v>0</v>
      </c>
      <c r="R6" s="41"/>
      <c r="S6" s="21">
        <f t="shared" ref="S6:S16" si="3">A6</f>
        <v>44560</v>
      </c>
      <c r="T6" s="42">
        <v>7.7426000000000004</v>
      </c>
      <c r="U6" s="43">
        <v>0</v>
      </c>
      <c r="V6" s="44">
        <v>0</v>
      </c>
      <c r="W6" s="45">
        <f>U6/(S6-S11)</f>
        <v>0</v>
      </c>
      <c r="X6" s="29">
        <v>11.9594</v>
      </c>
      <c r="Y6" s="43">
        <v>0</v>
      </c>
      <c r="Z6" s="44">
        <v>0</v>
      </c>
      <c r="AA6" s="45">
        <v>0</v>
      </c>
      <c r="AB6" s="49">
        <v>5.6562000000000001</v>
      </c>
      <c r="AC6" s="43">
        <v>0</v>
      </c>
      <c r="AD6" s="44">
        <v>0</v>
      </c>
      <c r="AE6" s="45">
        <v>0</v>
      </c>
      <c r="AF6" s="50">
        <v>79309</v>
      </c>
      <c r="AG6" s="58">
        <f>AF6-79300</f>
        <v>9</v>
      </c>
      <c r="AH6" s="59"/>
      <c r="AI6" s="60"/>
      <c r="AJ6" s="61"/>
      <c r="AK6" s="62"/>
      <c r="AL6" s="52"/>
      <c r="AM6" s="52"/>
    </row>
    <row r="7" spans="1:39">
      <c r="A7" s="21">
        <v>44561</v>
      </c>
      <c r="B7" s="22">
        <v>792.27269999999999</v>
      </c>
      <c r="C7" s="27">
        <v>5.4846000000000004</v>
      </c>
      <c r="D7" s="23">
        <f t="shared" si="0"/>
        <v>797.75729999999999</v>
      </c>
      <c r="E7" s="24">
        <f t="shared" ref="E7:E20" si="4">(D7-D6)*1000</f>
        <v>-0.199999999949796</v>
      </c>
      <c r="F7" s="25">
        <f t="shared" ref="F7:F20" si="5">F6+E7</f>
        <v>-0.199999999949796</v>
      </c>
      <c r="G7" s="26">
        <f t="shared" ref="G7:G20" si="6">E7/(A7-A6)</f>
        <v>-0.199999999949796</v>
      </c>
      <c r="H7" s="6">
        <v>6.3316999999999997</v>
      </c>
      <c r="I7" s="35">
        <f t="shared" si="1"/>
        <v>798.60440000000006</v>
      </c>
      <c r="J7" s="24">
        <f t="shared" ref="J7:J20" si="7">(I7-I6)*1000</f>
        <v>0.199999999949796</v>
      </c>
      <c r="K7" s="25">
        <f t="shared" ref="K7:K20" si="8">K6+J7</f>
        <v>0.199999999949796</v>
      </c>
      <c r="L7" s="26">
        <f t="shared" ref="L7:L20" si="9">J7/(A7-A6)</f>
        <v>0.199999999949796</v>
      </c>
      <c r="M7" s="6">
        <v>5.6565000000000003</v>
      </c>
      <c r="N7" s="35">
        <f t="shared" si="2"/>
        <v>797.92920000000004</v>
      </c>
      <c r="O7" s="24">
        <f t="shared" ref="O7:O20" si="10">(N7-N6)*1000</f>
        <v>0.30000000003838101</v>
      </c>
      <c r="P7" s="25">
        <f t="shared" ref="P7:P20" si="11">P6+O7</f>
        <v>0.30000000003838101</v>
      </c>
      <c r="Q7" s="26">
        <f t="shared" ref="Q7:Q20" si="12">O7/(A7-A6)</f>
        <v>0.30000000003838101</v>
      </c>
      <c r="R7" s="41"/>
      <c r="S7" s="21">
        <f t="shared" si="3"/>
        <v>44561</v>
      </c>
      <c r="T7" s="42">
        <v>7.7423999999999999</v>
      </c>
      <c r="U7" s="43">
        <f t="shared" ref="U7:U16" si="13">(T7-T6)*1000</f>
        <v>-0.20000000000042201</v>
      </c>
      <c r="V7" s="44">
        <f t="shared" ref="V7:V16" si="14">V6+U7</f>
        <v>-0.20000000000042201</v>
      </c>
      <c r="W7" s="45">
        <f t="shared" ref="W7:W16" si="15">U7/(S6-S7)</f>
        <v>0.20000000000042201</v>
      </c>
      <c r="X7" s="29">
        <v>11.959199999999999</v>
      </c>
      <c r="Y7" s="43">
        <f t="shared" ref="Y7:Y16" si="16">(X7-X6)*1000</f>
        <v>-0.20000000000130999</v>
      </c>
      <c r="Z7" s="44">
        <f t="shared" ref="Z7:Z16" si="17">Z6+Y7</f>
        <v>-0.20000000000130999</v>
      </c>
      <c r="AA7" s="45">
        <f t="shared" ref="AA7:AA16" si="18">Y7/(S7-S6)</f>
        <v>-0.20000000000130999</v>
      </c>
      <c r="AB7" s="49">
        <v>5.6565000000000003</v>
      </c>
      <c r="AC7" s="43">
        <f t="shared" ref="AC7:AC16" si="19">(AB7-AB6)*1000</f>
        <v>0.300000000000189</v>
      </c>
      <c r="AD7" s="44">
        <f t="shared" ref="AD7:AD16" si="20">AD6+AC7</f>
        <v>0.300000000000189</v>
      </c>
      <c r="AE7" s="45">
        <f t="shared" ref="AE7:AE16" si="21">AC7/(S7-S6)</f>
        <v>0.300000000000189</v>
      </c>
      <c r="AF7" s="50">
        <v>79312</v>
      </c>
      <c r="AG7" s="58">
        <f t="shared" ref="AG7:AG16" si="22">AF7-79300</f>
        <v>12</v>
      </c>
      <c r="AH7" s="59"/>
      <c r="AI7" s="60"/>
      <c r="AJ7" s="61"/>
      <c r="AK7" s="62"/>
      <c r="AL7" s="52"/>
      <c r="AM7" s="52"/>
    </row>
    <row r="8" spans="1:39">
      <c r="A8" s="21">
        <v>44562</v>
      </c>
      <c r="B8" s="22">
        <v>792.27269999999999</v>
      </c>
      <c r="C8" s="27">
        <v>5.4840999999999998</v>
      </c>
      <c r="D8" s="23">
        <f t="shared" si="0"/>
        <v>797.7568</v>
      </c>
      <c r="E8" s="24">
        <f t="shared" si="4"/>
        <v>-0.49999999998817701</v>
      </c>
      <c r="F8" s="25">
        <f t="shared" si="5"/>
        <v>-0.69999999993797202</v>
      </c>
      <c r="G8" s="26">
        <f t="shared" si="6"/>
        <v>-0.49999999998817701</v>
      </c>
      <c r="H8" s="6">
        <v>6.3311999999999999</v>
      </c>
      <c r="I8" s="35">
        <f t="shared" si="1"/>
        <v>798.60389999999995</v>
      </c>
      <c r="J8" s="24">
        <f t="shared" si="7"/>
        <v>-0.49999999998817701</v>
      </c>
      <c r="K8" s="25">
        <f t="shared" si="8"/>
        <v>-0.30000000003838101</v>
      </c>
      <c r="L8" s="26">
        <f t="shared" si="9"/>
        <v>-0.49999999998817701</v>
      </c>
      <c r="M8" s="6">
        <v>5.6562000000000001</v>
      </c>
      <c r="N8" s="35">
        <f t="shared" si="2"/>
        <v>797.9289</v>
      </c>
      <c r="O8" s="24">
        <f t="shared" si="10"/>
        <v>-0.30000000003838101</v>
      </c>
      <c r="P8" s="25">
        <f t="shared" si="11"/>
        <v>0</v>
      </c>
      <c r="Q8" s="26">
        <f t="shared" si="12"/>
        <v>-0.30000000003838101</v>
      </c>
      <c r="R8" s="41"/>
      <c r="S8" s="21">
        <f t="shared" si="3"/>
        <v>44562</v>
      </c>
      <c r="T8" s="42">
        <v>7.7427999999999999</v>
      </c>
      <c r="U8" s="43">
        <f t="shared" si="13"/>
        <v>0.399999999999956</v>
      </c>
      <c r="V8" s="44">
        <f t="shared" si="14"/>
        <v>0.19999999999953399</v>
      </c>
      <c r="W8" s="45">
        <f t="shared" si="15"/>
        <v>-0.399999999999956</v>
      </c>
      <c r="X8" s="29">
        <v>11.9595</v>
      </c>
      <c r="Y8" s="43">
        <f t="shared" si="16"/>
        <v>0.30000000000107702</v>
      </c>
      <c r="Z8" s="44">
        <f t="shared" si="17"/>
        <v>9.99999999997669E-2</v>
      </c>
      <c r="AA8" s="45">
        <f t="shared" si="18"/>
        <v>0.30000000000107702</v>
      </c>
      <c r="AB8" s="49">
        <v>5.6559999999999997</v>
      </c>
      <c r="AC8" s="43">
        <f t="shared" si="19"/>
        <v>-0.50000000000061096</v>
      </c>
      <c r="AD8" s="44">
        <f t="shared" si="20"/>
        <v>-0.20000000000042201</v>
      </c>
      <c r="AE8" s="45">
        <f t="shared" si="21"/>
        <v>-0.50000000000061096</v>
      </c>
      <c r="AF8" s="50">
        <v>79315</v>
      </c>
      <c r="AG8" s="58">
        <f t="shared" si="22"/>
        <v>15</v>
      </c>
      <c r="AH8" s="59"/>
      <c r="AI8" s="60"/>
      <c r="AJ8" s="61"/>
      <c r="AK8" s="62"/>
      <c r="AL8" s="52"/>
      <c r="AM8" s="52"/>
    </row>
    <row r="9" spans="1:39">
      <c r="A9" s="21">
        <v>44563</v>
      </c>
      <c r="B9" s="22">
        <v>792.27269999999999</v>
      </c>
      <c r="C9" s="27">
        <v>5.4842000000000004</v>
      </c>
      <c r="D9" s="23">
        <f t="shared" si="0"/>
        <v>797.75689999999997</v>
      </c>
      <c r="E9" s="24">
        <f t="shared" si="4"/>
        <v>9.9999999974897905E-2</v>
      </c>
      <c r="F9" s="25">
        <f t="shared" si="5"/>
        <v>-0.59999999996307496</v>
      </c>
      <c r="G9" s="26">
        <f t="shared" si="6"/>
        <v>9.9999999974897905E-2</v>
      </c>
      <c r="H9" s="6">
        <v>6.3310000000000004</v>
      </c>
      <c r="I9" s="35">
        <f t="shared" si="1"/>
        <v>798.6037</v>
      </c>
      <c r="J9" s="24">
        <f t="shared" si="7"/>
        <v>-0.199999999949796</v>
      </c>
      <c r="K9" s="25">
        <f t="shared" si="8"/>
        <v>-0.49999999998817701</v>
      </c>
      <c r="L9" s="26">
        <f t="shared" si="9"/>
        <v>-0.199999999949796</v>
      </c>
      <c r="M9" s="6">
        <v>5.6553000000000004</v>
      </c>
      <c r="N9" s="35">
        <f t="shared" si="2"/>
        <v>797.928</v>
      </c>
      <c r="O9" s="24">
        <f t="shared" si="10"/>
        <v>-0.90000000000145497</v>
      </c>
      <c r="P9" s="25">
        <f t="shared" si="11"/>
        <v>-0.90000000000145497</v>
      </c>
      <c r="Q9" s="26">
        <f t="shared" si="12"/>
        <v>-0.90000000000145497</v>
      </c>
      <c r="R9" s="41"/>
      <c r="S9" s="21">
        <f t="shared" si="3"/>
        <v>44563</v>
      </c>
      <c r="T9" s="42">
        <v>7.7423999999999999</v>
      </c>
      <c r="U9" s="43">
        <f t="shared" si="13"/>
        <v>-0.399999999999956</v>
      </c>
      <c r="V9" s="44">
        <f t="shared" si="14"/>
        <v>-0.20000000000042201</v>
      </c>
      <c r="W9" s="45">
        <f t="shared" si="15"/>
        <v>0.399999999999956</v>
      </c>
      <c r="X9" s="29">
        <v>11.959</v>
      </c>
      <c r="Y9" s="43">
        <f t="shared" si="16"/>
        <v>-0.50000000000061096</v>
      </c>
      <c r="Z9" s="44">
        <f t="shared" si="17"/>
        <v>-0.40000000000084401</v>
      </c>
      <c r="AA9" s="45">
        <f t="shared" si="18"/>
        <v>-0.50000000000061096</v>
      </c>
      <c r="AB9" s="49">
        <v>5.6558000000000002</v>
      </c>
      <c r="AC9" s="43">
        <f t="shared" si="19"/>
        <v>-0.19999999999953399</v>
      </c>
      <c r="AD9" s="44">
        <f t="shared" si="20"/>
        <v>-0.399999999999956</v>
      </c>
      <c r="AE9" s="45">
        <f t="shared" si="21"/>
        <v>-0.19999999999953399</v>
      </c>
      <c r="AF9" s="50">
        <v>79318</v>
      </c>
      <c r="AG9" s="58">
        <f t="shared" si="22"/>
        <v>18</v>
      </c>
      <c r="AH9" s="59"/>
      <c r="AI9" s="60"/>
      <c r="AJ9" s="61"/>
      <c r="AK9" s="62"/>
      <c r="AL9" s="52"/>
      <c r="AM9" s="52"/>
    </row>
    <row r="10" spans="1:39">
      <c r="A10" s="21">
        <v>44564</v>
      </c>
      <c r="B10" s="22">
        <v>792.27269999999999</v>
      </c>
      <c r="C10" s="27">
        <v>5.484</v>
      </c>
      <c r="D10" s="23">
        <f t="shared" si="0"/>
        <v>797.75670000000002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6.3308</v>
      </c>
      <c r="I10" s="35">
        <f t="shared" si="1"/>
        <v>798.60350000000005</v>
      </c>
      <c r="J10" s="24">
        <f t="shared" si="7"/>
        <v>-0.20000000006348301</v>
      </c>
      <c r="K10" s="25">
        <f t="shared" si="8"/>
        <v>-0.70000000005165897</v>
      </c>
      <c r="L10" s="26">
        <f t="shared" si="9"/>
        <v>-0.20000000006348301</v>
      </c>
      <c r="M10" s="6">
        <v>5.6551999999999998</v>
      </c>
      <c r="N10" s="35">
        <f t="shared" si="2"/>
        <v>797.92790000000002</v>
      </c>
      <c r="O10" s="24">
        <f t="shared" si="10"/>
        <v>-9.9999999974897905E-2</v>
      </c>
      <c r="P10" s="25">
        <f t="shared" si="11"/>
        <v>-0.99999999997635303</v>
      </c>
      <c r="Q10" s="26">
        <f t="shared" si="12"/>
        <v>-9.9999999974897905E-2</v>
      </c>
      <c r="R10" s="41"/>
      <c r="S10" s="21">
        <f t="shared" si="3"/>
        <v>44564</v>
      </c>
      <c r="T10" s="42">
        <v>7.7422000000000004</v>
      </c>
      <c r="U10" s="43">
        <f t="shared" si="13"/>
        <v>-0.19999999999953399</v>
      </c>
      <c r="V10" s="44">
        <f t="shared" si="14"/>
        <v>-0.399999999999956</v>
      </c>
      <c r="W10" s="45">
        <f t="shared" si="15"/>
        <v>0.19999999999953399</v>
      </c>
      <c r="X10" s="29">
        <v>11.9589</v>
      </c>
      <c r="Y10" s="43">
        <f t="shared" si="16"/>
        <v>-9.99999999997669E-2</v>
      </c>
      <c r="Z10" s="44">
        <f t="shared" si="17"/>
        <v>-0.50000000000061096</v>
      </c>
      <c r="AA10" s="45">
        <f t="shared" si="18"/>
        <v>-9.99999999997669E-2</v>
      </c>
      <c r="AB10" s="49">
        <v>5.6555999999999997</v>
      </c>
      <c r="AC10" s="43">
        <f t="shared" si="19"/>
        <v>-0.20000000000042201</v>
      </c>
      <c r="AD10" s="44">
        <f t="shared" si="20"/>
        <v>-0.60000000000037801</v>
      </c>
      <c r="AE10" s="45">
        <f t="shared" si="21"/>
        <v>-0.20000000000042201</v>
      </c>
      <c r="AF10" s="50">
        <v>79321</v>
      </c>
      <c r="AG10" s="58">
        <f t="shared" si="22"/>
        <v>21</v>
      </c>
      <c r="AH10" s="59"/>
      <c r="AI10" s="60"/>
      <c r="AJ10" s="61"/>
      <c r="AK10" s="62"/>
      <c r="AL10" s="52"/>
      <c r="AM10" s="52"/>
    </row>
    <row r="11" spans="1:39">
      <c r="A11" s="21">
        <v>44565</v>
      </c>
      <c r="B11" s="22">
        <v>792.27269999999999</v>
      </c>
      <c r="C11" s="27">
        <v>5.4837999999999996</v>
      </c>
      <c r="D11" s="23">
        <f t="shared" si="0"/>
        <v>797.75649999999996</v>
      </c>
      <c r="E11" s="24">
        <f t="shared" si="4"/>
        <v>-0.20000000006348301</v>
      </c>
      <c r="F11" s="25">
        <f t="shared" si="5"/>
        <v>-0.99999999997635303</v>
      </c>
      <c r="G11" s="26">
        <f t="shared" si="6"/>
        <v>-0.20000000006348301</v>
      </c>
      <c r="H11" s="6">
        <v>6.3301999999999996</v>
      </c>
      <c r="I11" s="35">
        <f t="shared" si="1"/>
        <v>798.60289999999998</v>
      </c>
      <c r="J11" s="24">
        <f t="shared" si="7"/>
        <v>-0.59999999996307496</v>
      </c>
      <c r="K11" s="25">
        <f t="shared" si="8"/>
        <v>-1.30000000001473</v>
      </c>
      <c r="L11" s="26">
        <f t="shared" si="9"/>
        <v>-0.59999999996307496</v>
      </c>
      <c r="M11" s="6">
        <v>5.6553000000000004</v>
      </c>
      <c r="N11" s="35">
        <f t="shared" si="2"/>
        <v>797.928</v>
      </c>
      <c r="O11" s="24">
        <f t="shared" si="10"/>
        <v>9.9999999974897905E-2</v>
      </c>
      <c r="P11" s="25">
        <f t="shared" si="11"/>
        <v>-0.90000000000145497</v>
      </c>
      <c r="Q11" s="26">
        <f t="shared" si="12"/>
        <v>9.9999999974897905E-2</v>
      </c>
      <c r="R11" s="41"/>
      <c r="S11" s="21">
        <f t="shared" si="3"/>
        <v>44565</v>
      </c>
      <c r="T11" s="42">
        <v>7.742</v>
      </c>
      <c r="U11" s="43">
        <f t="shared" si="13"/>
        <v>-0.20000000000042201</v>
      </c>
      <c r="V11" s="44">
        <f t="shared" si="14"/>
        <v>-0.60000000000037801</v>
      </c>
      <c r="W11" s="45">
        <f t="shared" si="15"/>
        <v>0.20000000000042201</v>
      </c>
      <c r="X11" s="29">
        <v>11.9587</v>
      </c>
      <c r="Y11" s="43">
        <f t="shared" si="16"/>
        <v>-0.19999999999953399</v>
      </c>
      <c r="Z11" s="44">
        <f t="shared" si="17"/>
        <v>-0.70000000000014495</v>
      </c>
      <c r="AA11" s="45">
        <f t="shared" si="18"/>
        <v>-0.19999999999953399</v>
      </c>
      <c r="AB11" s="49">
        <v>5.6557000000000004</v>
      </c>
      <c r="AC11" s="43">
        <f t="shared" si="19"/>
        <v>0.100000000000655</v>
      </c>
      <c r="AD11" s="44">
        <f t="shared" si="20"/>
        <v>-0.499999999999723</v>
      </c>
      <c r="AE11" s="45">
        <f t="shared" si="21"/>
        <v>0.100000000000655</v>
      </c>
      <c r="AF11" s="50">
        <v>79324</v>
      </c>
      <c r="AG11" s="58">
        <f t="shared" si="22"/>
        <v>24</v>
      </c>
      <c r="AH11" s="61"/>
      <c r="AI11" s="60"/>
      <c r="AJ11" s="52"/>
      <c r="AK11" s="52"/>
      <c r="AL11" s="52"/>
      <c r="AM11" s="52"/>
    </row>
    <row r="12" spans="1:39">
      <c r="A12" s="21">
        <v>44566</v>
      </c>
      <c r="B12" s="22">
        <v>792.27269999999999</v>
      </c>
      <c r="C12" s="27">
        <v>5.4836999999999998</v>
      </c>
      <c r="D12" s="23">
        <f t="shared" si="0"/>
        <v>797.75639999999999</v>
      </c>
      <c r="E12" s="24">
        <f t="shared" si="4"/>
        <v>-9.9999999974897905E-2</v>
      </c>
      <c r="F12" s="25">
        <f t="shared" si="5"/>
        <v>-1.09999999995125</v>
      </c>
      <c r="G12" s="26">
        <f t="shared" si="6"/>
        <v>-9.9999999974897905E-2</v>
      </c>
      <c r="H12" s="6">
        <v>6.3304</v>
      </c>
      <c r="I12" s="35">
        <f t="shared" si="1"/>
        <v>798.60310000000004</v>
      </c>
      <c r="J12" s="24">
        <f t="shared" si="7"/>
        <v>0.20000000006348301</v>
      </c>
      <c r="K12" s="25">
        <f t="shared" si="8"/>
        <v>-1.09999999995125</v>
      </c>
      <c r="L12" s="26">
        <f t="shared" si="9"/>
        <v>0.20000000006348301</v>
      </c>
      <c r="M12" s="6">
        <v>5.6551</v>
      </c>
      <c r="N12" s="35">
        <f t="shared" si="2"/>
        <v>797.92780000000005</v>
      </c>
      <c r="O12" s="24">
        <f t="shared" si="10"/>
        <v>-0.20000000006348301</v>
      </c>
      <c r="P12" s="25">
        <f t="shared" si="11"/>
        <v>-1.1000000000649399</v>
      </c>
      <c r="Q12" s="26">
        <f t="shared" si="12"/>
        <v>-0.20000000006348301</v>
      </c>
      <c r="R12" s="41"/>
      <c r="S12" s="21">
        <f t="shared" si="3"/>
        <v>44566</v>
      </c>
      <c r="T12" s="42">
        <v>7.7420999999999998</v>
      </c>
      <c r="U12" s="43">
        <f t="shared" si="13"/>
        <v>9.99999999997669E-2</v>
      </c>
      <c r="V12" s="44">
        <f t="shared" si="14"/>
        <v>-0.50000000000061096</v>
      </c>
      <c r="W12" s="45">
        <f t="shared" si="15"/>
        <v>-9.99999999997669E-2</v>
      </c>
      <c r="X12" s="29">
        <v>11.958500000000001</v>
      </c>
      <c r="Y12" s="43">
        <f t="shared" si="16"/>
        <v>-0.19999999999953399</v>
      </c>
      <c r="Z12" s="44">
        <f t="shared" si="17"/>
        <v>-0.89999999999967895</v>
      </c>
      <c r="AA12" s="45">
        <f t="shared" si="18"/>
        <v>-0.19999999999953399</v>
      </c>
      <c r="AB12" s="49">
        <v>5.6551999999999998</v>
      </c>
      <c r="AC12" s="43">
        <f t="shared" si="19"/>
        <v>-0.50000000000061096</v>
      </c>
      <c r="AD12" s="44">
        <f t="shared" si="20"/>
        <v>-1.00000000000033</v>
      </c>
      <c r="AE12" s="45">
        <f t="shared" si="21"/>
        <v>-0.50000000000061096</v>
      </c>
      <c r="AF12" s="50">
        <v>79327</v>
      </c>
      <c r="AG12" s="58">
        <f t="shared" si="22"/>
        <v>27</v>
      </c>
      <c r="AH12" s="61"/>
      <c r="AI12" s="60"/>
      <c r="AJ12"/>
      <c r="AK12"/>
      <c r="AL12"/>
      <c r="AM12"/>
    </row>
    <row r="13" spans="1:39">
      <c r="A13" s="21">
        <v>44567</v>
      </c>
      <c r="B13" s="22">
        <v>792.27269999999999</v>
      </c>
      <c r="C13" s="27">
        <v>5.4833999999999996</v>
      </c>
      <c r="D13" s="23">
        <f t="shared" si="0"/>
        <v>797.75609999999995</v>
      </c>
      <c r="E13" s="24">
        <f t="shared" si="4"/>
        <v>-0.30000000003838101</v>
      </c>
      <c r="F13" s="25">
        <f t="shared" si="5"/>
        <v>-1.39999999998963</v>
      </c>
      <c r="G13" s="26">
        <f t="shared" si="6"/>
        <v>-0.30000000003838101</v>
      </c>
      <c r="H13" s="6">
        <v>6.3301999999999996</v>
      </c>
      <c r="I13" s="35">
        <f t="shared" si="1"/>
        <v>798.60289999999998</v>
      </c>
      <c r="J13" s="24">
        <f t="shared" si="7"/>
        <v>-0.20000000006348301</v>
      </c>
      <c r="K13" s="25">
        <f t="shared" si="8"/>
        <v>-1.30000000001473</v>
      </c>
      <c r="L13" s="26">
        <f t="shared" si="9"/>
        <v>-0.20000000006348301</v>
      </c>
      <c r="M13" s="6">
        <v>5.6550000000000002</v>
      </c>
      <c r="N13" s="35">
        <f t="shared" si="2"/>
        <v>797.92769999999996</v>
      </c>
      <c r="O13" s="24">
        <f t="shared" si="10"/>
        <v>-9.9999999974897905E-2</v>
      </c>
      <c r="P13" s="25">
        <f t="shared" si="11"/>
        <v>-1.2000000000398401</v>
      </c>
      <c r="Q13" s="26">
        <f t="shared" si="12"/>
        <v>-9.9999999974897905E-2</v>
      </c>
      <c r="R13" s="41"/>
      <c r="S13" s="21">
        <f t="shared" si="3"/>
        <v>44567</v>
      </c>
      <c r="T13" s="42">
        <v>7.7416</v>
      </c>
      <c r="U13" s="43">
        <f t="shared" si="13"/>
        <v>-0.499999999999723</v>
      </c>
      <c r="V13" s="44">
        <f t="shared" si="14"/>
        <v>-1.00000000000033</v>
      </c>
      <c r="W13" s="45">
        <f t="shared" si="15"/>
        <v>0.499999999999723</v>
      </c>
      <c r="X13" s="29">
        <v>11.9582</v>
      </c>
      <c r="Y13" s="43">
        <f t="shared" si="16"/>
        <v>-0.30000000000107702</v>
      </c>
      <c r="Z13" s="44">
        <f t="shared" si="17"/>
        <v>-1.20000000000076</v>
      </c>
      <c r="AA13" s="45">
        <f t="shared" si="18"/>
        <v>-0.30000000000107702</v>
      </c>
      <c r="AB13" s="49">
        <v>5.6550000000000002</v>
      </c>
      <c r="AC13" s="43">
        <f t="shared" si="19"/>
        <v>-0.19999999999953399</v>
      </c>
      <c r="AD13" s="44">
        <f t="shared" si="20"/>
        <v>-1.1999999999998701</v>
      </c>
      <c r="AE13" s="45">
        <f t="shared" si="21"/>
        <v>-0.19999999999953399</v>
      </c>
      <c r="AF13" s="50">
        <v>79333</v>
      </c>
      <c r="AG13" s="58">
        <f t="shared" si="22"/>
        <v>33</v>
      </c>
      <c r="AH13" s="61"/>
      <c r="AI13" s="60"/>
      <c r="AJ13"/>
      <c r="AK13"/>
      <c r="AL13"/>
      <c r="AM13"/>
    </row>
    <row r="14" spans="1:39">
      <c r="A14" s="21">
        <v>44568</v>
      </c>
      <c r="B14" s="22">
        <v>792.27269999999999</v>
      </c>
      <c r="C14" s="27">
        <v>5.4832000000000001</v>
      </c>
      <c r="D14" s="23">
        <f t="shared" si="0"/>
        <v>797.7559</v>
      </c>
      <c r="E14" s="24">
        <f t="shared" si="4"/>
        <v>-0.199999999949796</v>
      </c>
      <c r="F14" s="25">
        <f t="shared" si="5"/>
        <v>-1.5999999999394301</v>
      </c>
      <c r="G14" s="26">
        <f t="shared" si="6"/>
        <v>-0.199999999949796</v>
      </c>
      <c r="H14" s="6">
        <v>6.3300999999999998</v>
      </c>
      <c r="I14" s="35">
        <f t="shared" si="1"/>
        <v>798.6028</v>
      </c>
      <c r="J14" s="24">
        <f t="shared" si="7"/>
        <v>-9.9999999974897905E-2</v>
      </c>
      <c r="K14" s="25">
        <f t="shared" si="8"/>
        <v>-1.39999999998963</v>
      </c>
      <c r="L14" s="26">
        <f t="shared" si="9"/>
        <v>-9.9999999974897905E-2</v>
      </c>
      <c r="M14" s="6">
        <v>5.6547999999999998</v>
      </c>
      <c r="N14" s="35">
        <f t="shared" si="2"/>
        <v>797.92750000000001</v>
      </c>
      <c r="O14" s="24">
        <f t="shared" si="10"/>
        <v>-0.199999999949796</v>
      </c>
      <c r="P14" s="25">
        <f t="shared" si="11"/>
        <v>-1.39999999998963</v>
      </c>
      <c r="Q14" s="26">
        <f t="shared" si="12"/>
        <v>-0.199999999949796</v>
      </c>
      <c r="R14" s="41"/>
      <c r="S14" s="21">
        <f t="shared" si="3"/>
        <v>44568</v>
      </c>
      <c r="T14" s="42">
        <v>7.7413999999999996</v>
      </c>
      <c r="U14" s="43">
        <f t="shared" si="13"/>
        <v>-0.20000000000042201</v>
      </c>
      <c r="V14" s="44">
        <f t="shared" si="14"/>
        <v>-1.20000000000076</v>
      </c>
      <c r="W14" s="45">
        <f t="shared" si="15"/>
        <v>0.20000000000042201</v>
      </c>
      <c r="X14" s="29">
        <v>11.9581</v>
      </c>
      <c r="Y14" s="43">
        <f t="shared" si="16"/>
        <v>-9.99999999997669E-2</v>
      </c>
      <c r="Z14" s="44">
        <f t="shared" si="17"/>
        <v>-1.3000000000005201</v>
      </c>
      <c r="AA14" s="45">
        <f t="shared" si="18"/>
        <v>-9.99999999997669E-2</v>
      </c>
      <c r="AB14" s="49">
        <v>5.6551999999999998</v>
      </c>
      <c r="AC14" s="43">
        <f t="shared" si="19"/>
        <v>0.19999999999953399</v>
      </c>
      <c r="AD14" s="44">
        <f t="shared" si="20"/>
        <v>-1.00000000000033</v>
      </c>
      <c r="AE14" s="45">
        <f t="shared" si="21"/>
        <v>0.19999999999953399</v>
      </c>
      <c r="AF14" s="50">
        <v>79339</v>
      </c>
      <c r="AG14" s="58">
        <f t="shared" si="22"/>
        <v>39</v>
      </c>
      <c r="AH14" s="61"/>
      <c r="AI14" s="60"/>
      <c r="AJ14" s="52"/>
      <c r="AK14" s="52"/>
      <c r="AL14" s="52"/>
      <c r="AM14" s="52"/>
    </row>
    <row r="15" spans="1:39">
      <c r="A15" s="21">
        <v>44569</v>
      </c>
      <c r="B15" s="22">
        <v>792.27269999999999</v>
      </c>
      <c r="C15" s="27">
        <v>5.4832000000000001</v>
      </c>
      <c r="D15" s="23">
        <f t="shared" si="0"/>
        <v>797.7559</v>
      </c>
      <c r="E15" s="24">
        <f t="shared" si="4"/>
        <v>0</v>
      </c>
      <c r="F15" s="25">
        <f t="shared" si="5"/>
        <v>-1.5999999999394301</v>
      </c>
      <c r="G15" s="26">
        <f t="shared" si="6"/>
        <v>0</v>
      </c>
      <c r="H15" s="6">
        <v>6.3297999999999996</v>
      </c>
      <c r="I15" s="35">
        <f t="shared" si="1"/>
        <v>798.60249999999996</v>
      </c>
      <c r="J15" s="24">
        <f t="shared" si="7"/>
        <v>-0.30000000003838101</v>
      </c>
      <c r="K15" s="25">
        <f t="shared" si="8"/>
        <v>-1.70000000002801</v>
      </c>
      <c r="L15" s="26">
        <f t="shared" si="9"/>
        <v>-0.30000000003838101</v>
      </c>
      <c r="M15" s="6">
        <v>5.6544999999999996</v>
      </c>
      <c r="N15" s="35">
        <f t="shared" si="2"/>
        <v>797.92719999999997</v>
      </c>
      <c r="O15" s="24">
        <f t="shared" si="10"/>
        <v>-0.30000000003838101</v>
      </c>
      <c r="P15" s="25">
        <f t="shared" si="11"/>
        <v>-1.70000000002801</v>
      </c>
      <c r="Q15" s="26">
        <f t="shared" si="12"/>
        <v>-0.30000000003838101</v>
      </c>
      <c r="R15" s="41"/>
      <c r="S15" s="21">
        <f t="shared" si="3"/>
        <v>44569</v>
      </c>
      <c r="T15" s="42">
        <v>7.7415000000000003</v>
      </c>
      <c r="U15" s="43">
        <f t="shared" si="13"/>
        <v>0.100000000000655</v>
      </c>
      <c r="V15" s="44">
        <f t="shared" si="14"/>
        <v>-1.1000000000001</v>
      </c>
      <c r="W15" s="45">
        <f t="shared" si="15"/>
        <v>-0.100000000000655</v>
      </c>
      <c r="X15" s="29">
        <v>11.9579</v>
      </c>
      <c r="Y15" s="43">
        <f t="shared" si="16"/>
        <v>-0.19999999999953399</v>
      </c>
      <c r="Z15" s="44">
        <f t="shared" si="17"/>
        <v>-1.50000000000006</v>
      </c>
      <c r="AA15" s="45">
        <f t="shared" si="18"/>
        <v>-0.19999999999953399</v>
      </c>
      <c r="AB15" s="49">
        <v>5.6546000000000003</v>
      </c>
      <c r="AC15" s="43">
        <f t="shared" si="19"/>
        <v>-0.59999999999949005</v>
      </c>
      <c r="AD15" s="44">
        <f t="shared" si="20"/>
        <v>-1.59999999999982</v>
      </c>
      <c r="AE15" s="45">
        <f t="shared" si="21"/>
        <v>-0.59999999999949005</v>
      </c>
      <c r="AF15" s="50">
        <v>79342</v>
      </c>
      <c r="AG15" s="58">
        <f t="shared" si="22"/>
        <v>42</v>
      </c>
      <c r="AH15" s="61"/>
      <c r="AI15" s="60"/>
      <c r="AJ15" s="52"/>
      <c r="AK15" s="52"/>
      <c r="AL15" s="52"/>
      <c r="AM15" s="52"/>
    </row>
    <row r="16" spans="1:39">
      <c r="A16" s="21">
        <v>44570</v>
      </c>
      <c r="B16" s="22">
        <v>792.27269999999999</v>
      </c>
      <c r="C16" s="27">
        <v>5.4829999999999997</v>
      </c>
      <c r="D16" s="23">
        <f t="shared" si="0"/>
        <v>797.75570000000005</v>
      </c>
      <c r="E16" s="24">
        <f t="shared" si="4"/>
        <v>-0.20000000006348301</v>
      </c>
      <c r="F16" s="25">
        <f t="shared" si="5"/>
        <v>-1.8000000000029099</v>
      </c>
      <c r="G16" s="26">
        <f t="shared" si="6"/>
        <v>-0.20000000006348301</v>
      </c>
      <c r="H16" s="6">
        <v>6.3296000000000001</v>
      </c>
      <c r="I16" s="35">
        <f t="shared" si="1"/>
        <v>798.60230000000001</v>
      </c>
      <c r="J16" s="24">
        <f t="shared" si="7"/>
        <v>-0.199999999949796</v>
      </c>
      <c r="K16" s="25">
        <f t="shared" si="8"/>
        <v>-1.8999999999778101</v>
      </c>
      <c r="L16" s="26">
        <f t="shared" si="9"/>
        <v>-0.199999999949796</v>
      </c>
      <c r="M16" s="6">
        <v>5.6547000000000001</v>
      </c>
      <c r="N16" s="35">
        <f t="shared" si="2"/>
        <v>797.92740000000003</v>
      </c>
      <c r="O16" s="24">
        <f t="shared" si="10"/>
        <v>0.20000000006348301</v>
      </c>
      <c r="P16" s="25">
        <f t="shared" si="11"/>
        <v>-1.4999999999645299</v>
      </c>
      <c r="Q16" s="26">
        <f t="shared" si="12"/>
        <v>0.20000000006348301</v>
      </c>
      <c r="R16" s="41"/>
      <c r="S16" s="21">
        <f t="shared" si="3"/>
        <v>44570</v>
      </c>
      <c r="T16" s="42">
        <v>7.7412999999999998</v>
      </c>
      <c r="U16" s="43">
        <f t="shared" si="13"/>
        <v>-0.20000000000042201</v>
      </c>
      <c r="V16" s="44">
        <f t="shared" si="14"/>
        <v>-1.3000000000005201</v>
      </c>
      <c r="W16" s="45">
        <f t="shared" si="15"/>
        <v>0.20000000000042201</v>
      </c>
      <c r="X16" s="29">
        <v>11.958</v>
      </c>
      <c r="Y16" s="43">
        <f t="shared" si="16"/>
        <v>9.99999999997669E-2</v>
      </c>
      <c r="Z16" s="44">
        <f t="shared" si="17"/>
        <v>-1.4000000000002899</v>
      </c>
      <c r="AA16" s="45">
        <f t="shared" si="18"/>
        <v>9.99999999997669E-2</v>
      </c>
      <c r="AB16" s="49">
        <v>5.6543999999999999</v>
      </c>
      <c r="AC16" s="43">
        <f t="shared" si="19"/>
        <v>-0.20000000000042201</v>
      </c>
      <c r="AD16" s="44">
        <f t="shared" si="20"/>
        <v>-1.8000000000002501</v>
      </c>
      <c r="AE16" s="45">
        <f t="shared" si="21"/>
        <v>-0.20000000000042201</v>
      </c>
      <c r="AF16" s="50">
        <v>79346</v>
      </c>
      <c r="AG16" s="58">
        <f t="shared" si="22"/>
        <v>46</v>
      </c>
      <c r="AH16" s="61"/>
      <c r="AI16" s="60"/>
      <c r="AJ16" s="52"/>
      <c r="AK16" s="52"/>
      <c r="AL16" s="52"/>
      <c r="AM16" s="52"/>
    </row>
    <row r="17" spans="1:39">
      <c r="A17" s="21">
        <v>44571</v>
      </c>
      <c r="B17" s="22">
        <v>792.27269999999999</v>
      </c>
      <c r="C17" s="27">
        <v>5.4828000000000001</v>
      </c>
      <c r="D17" s="23">
        <f t="shared" si="0"/>
        <v>797.75549999999998</v>
      </c>
      <c r="E17" s="24">
        <f t="shared" si="4"/>
        <v>-0.199999999949796</v>
      </c>
      <c r="F17" s="25">
        <f t="shared" si="5"/>
        <v>-1.9999999999527101</v>
      </c>
      <c r="G17" s="26">
        <f t="shared" si="6"/>
        <v>-0.199999999949796</v>
      </c>
      <c r="H17" s="6">
        <v>6.3293999999999997</v>
      </c>
      <c r="I17" s="35">
        <f t="shared" si="1"/>
        <v>798.60209999999995</v>
      </c>
      <c r="J17" s="24">
        <f t="shared" si="7"/>
        <v>-0.20000000006348301</v>
      </c>
      <c r="K17" s="25">
        <f t="shared" si="8"/>
        <v>-2.1000000000412902</v>
      </c>
      <c r="L17" s="26">
        <f t="shared" si="9"/>
        <v>-0.20000000006348301</v>
      </c>
      <c r="M17" s="6">
        <v>5.6548999999999996</v>
      </c>
      <c r="N17" s="35">
        <f t="shared" si="2"/>
        <v>797.92759999999998</v>
      </c>
      <c r="O17" s="24">
        <f t="shared" si="10"/>
        <v>0.199999999949796</v>
      </c>
      <c r="P17" s="25">
        <f t="shared" si="11"/>
        <v>-1.30000000001473</v>
      </c>
      <c r="Q17" s="26">
        <f t="shared" si="12"/>
        <v>0.199999999949796</v>
      </c>
      <c r="R17" s="41"/>
      <c r="S17" s="21">
        <f t="shared" ref="S17:S30" si="23">A17</f>
        <v>44571</v>
      </c>
      <c r="T17" s="42">
        <v>7.7411000000000003</v>
      </c>
      <c r="U17" s="43">
        <f t="shared" ref="U17:U23" si="24">(T17-T16)*1000</f>
        <v>-0.19999999999953399</v>
      </c>
      <c r="V17" s="44">
        <f t="shared" ref="V17:V23" si="25">V16+U17</f>
        <v>-1.50000000000006</v>
      </c>
      <c r="W17" s="45">
        <f t="shared" ref="W17:W23" si="26">U17/(S16-S17)</f>
        <v>0.19999999999953399</v>
      </c>
      <c r="X17" s="29">
        <v>11.958</v>
      </c>
      <c r="Y17" s="43">
        <f t="shared" ref="Y17:Y23" si="27">(X17-X16)*1000</f>
        <v>0</v>
      </c>
      <c r="Z17" s="44">
        <f t="shared" ref="Z17:Z23" si="28">Z16+Y17</f>
        <v>-1.4000000000002899</v>
      </c>
      <c r="AA17" s="45">
        <f t="shared" ref="AA17:AA23" si="29">Y17/(S17-S16)</f>
        <v>0</v>
      </c>
      <c r="AB17" s="49">
        <v>5.6543000000000001</v>
      </c>
      <c r="AC17" s="43">
        <f t="shared" ref="AC17:AC23" si="30">(AB17-AB16)*1000</f>
        <v>-9.99999999997669E-2</v>
      </c>
      <c r="AD17" s="44">
        <f t="shared" ref="AD17:AD23" si="31">AD16+AC17</f>
        <v>-1.9000000000000099</v>
      </c>
      <c r="AE17" s="45">
        <f t="shared" ref="AE17:AE23" si="32">AC17/(S17-S16)</f>
        <v>-9.99999999997669E-2</v>
      </c>
      <c r="AF17" s="50">
        <v>79349</v>
      </c>
      <c r="AG17" s="58">
        <f t="shared" ref="AG17:AG30" si="33">AF17-79300</f>
        <v>49</v>
      </c>
      <c r="AH17" s="61"/>
      <c r="AI17" s="52"/>
      <c r="AJ17" s="52"/>
      <c r="AK17" s="52"/>
      <c r="AL17" s="52"/>
      <c r="AM17" s="52"/>
    </row>
    <row r="18" spans="1:39">
      <c r="A18" s="21">
        <v>44572</v>
      </c>
      <c r="B18" s="22">
        <v>792.27269999999999</v>
      </c>
      <c r="C18" s="27">
        <v>5.4827000000000004</v>
      </c>
      <c r="D18" s="23">
        <f t="shared" si="0"/>
        <v>797.75540000000001</v>
      </c>
      <c r="E18" s="24">
        <f t="shared" si="4"/>
        <v>-9.9999999974897905E-2</v>
      </c>
      <c r="F18" s="25">
        <f t="shared" si="5"/>
        <v>-2.0999999999275998</v>
      </c>
      <c r="G18" s="26">
        <f t="shared" si="6"/>
        <v>-9.9999999974897905E-2</v>
      </c>
      <c r="H18" s="6">
        <v>6.3295000000000003</v>
      </c>
      <c r="I18" s="35">
        <f t="shared" si="1"/>
        <v>798.60220000000004</v>
      </c>
      <c r="J18" s="24">
        <f t="shared" si="7"/>
        <v>0.10000000008858501</v>
      </c>
      <c r="K18" s="25">
        <f t="shared" si="8"/>
        <v>-1.9999999999527101</v>
      </c>
      <c r="L18" s="26">
        <f t="shared" si="9"/>
        <v>0.10000000008858501</v>
      </c>
      <c r="M18" s="6">
        <v>5.6551</v>
      </c>
      <c r="N18" s="35">
        <f t="shared" si="2"/>
        <v>797.92780000000005</v>
      </c>
      <c r="O18" s="24">
        <f t="shared" si="10"/>
        <v>0.199999999949796</v>
      </c>
      <c r="P18" s="25">
        <f t="shared" si="11"/>
        <v>-1.1000000000649399</v>
      </c>
      <c r="Q18" s="26">
        <f t="shared" si="12"/>
        <v>0.199999999949796</v>
      </c>
      <c r="R18" s="41"/>
      <c r="S18" s="21">
        <f t="shared" si="23"/>
        <v>44572</v>
      </c>
      <c r="T18" s="42">
        <v>7.7408000000000001</v>
      </c>
      <c r="U18" s="43">
        <f t="shared" si="24"/>
        <v>-0.300000000000189</v>
      </c>
      <c r="V18" s="44">
        <f t="shared" si="25"/>
        <v>-1.8000000000002501</v>
      </c>
      <c r="W18" s="45">
        <f t="shared" si="26"/>
        <v>0.300000000000189</v>
      </c>
      <c r="X18" s="29">
        <v>11.9582</v>
      </c>
      <c r="Y18" s="43">
        <f t="shared" si="27"/>
        <v>0.19999999999953399</v>
      </c>
      <c r="Z18" s="44">
        <f t="shared" si="28"/>
        <v>-1.20000000000076</v>
      </c>
      <c r="AA18" s="45">
        <f t="shared" si="29"/>
        <v>0.19999999999953399</v>
      </c>
      <c r="AB18" s="49">
        <v>5.6539999999999999</v>
      </c>
      <c r="AC18" s="43">
        <f t="shared" si="30"/>
        <v>-0.300000000000189</v>
      </c>
      <c r="AD18" s="44">
        <f t="shared" si="31"/>
        <v>-2.2000000000002</v>
      </c>
      <c r="AE18" s="45">
        <f t="shared" si="32"/>
        <v>-0.300000000000189</v>
      </c>
      <c r="AF18" s="50">
        <v>79353</v>
      </c>
      <c r="AG18" s="58">
        <f t="shared" si="33"/>
        <v>53</v>
      </c>
      <c r="AH18" s="61"/>
      <c r="AI18" s="52"/>
      <c r="AJ18" s="52"/>
      <c r="AK18" s="52"/>
      <c r="AL18" s="52"/>
      <c r="AM18" s="52"/>
    </row>
    <row r="19" spans="1:39">
      <c r="A19" s="21">
        <v>44573</v>
      </c>
      <c r="B19" s="22">
        <v>792.27269999999999</v>
      </c>
      <c r="C19" s="27">
        <v>5.4824000000000002</v>
      </c>
      <c r="D19" s="23">
        <f t="shared" si="0"/>
        <v>797.75509999999997</v>
      </c>
      <c r="E19" s="24">
        <f t="shared" si="4"/>
        <v>-0.30000000003838101</v>
      </c>
      <c r="F19" s="25">
        <f t="shared" si="5"/>
        <v>-2.39999999996598</v>
      </c>
      <c r="G19" s="26">
        <f t="shared" si="6"/>
        <v>-0.30000000003838101</v>
      </c>
      <c r="H19" s="6">
        <v>6.3289999999999997</v>
      </c>
      <c r="I19" s="35">
        <f t="shared" si="1"/>
        <v>798.60170000000005</v>
      </c>
      <c r="J19" s="24">
        <f t="shared" si="7"/>
        <v>-0.50000000010186296</v>
      </c>
      <c r="K19" s="25">
        <f t="shared" si="8"/>
        <v>-2.5000000000545701</v>
      </c>
      <c r="L19" s="26">
        <f t="shared" si="9"/>
        <v>-0.50000000010186296</v>
      </c>
      <c r="M19" s="6">
        <v>5.6547999999999998</v>
      </c>
      <c r="N19" s="35">
        <f t="shared" si="2"/>
        <v>797.92750000000001</v>
      </c>
      <c r="O19" s="24">
        <f t="shared" si="10"/>
        <v>-0.29999999992469401</v>
      </c>
      <c r="P19" s="25">
        <f t="shared" si="11"/>
        <v>-1.39999999998963</v>
      </c>
      <c r="Q19" s="26">
        <f t="shared" si="12"/>
        <v>-0.29999999992469401</v>
      </c>
      <c r="R19" s="41"/>
      <c r="S19" s="21">
        <f t="shared" si="23"/>
        <v>44573</v>
      </c>
      <c r="T19" s="42">
        <v>7.7407000000000004</v>
      </c>
      <c r="U19" s="43">
        <f t="shared" si="24"/>
        <v>-9.99999999997669E-2</v>
      </c>
      <c r="V19" s="44">
        <f t="shared" si="25"/>
        <v>-1.9000000000000099</v>
      </c>
      <c r="W19" s="45">
        <f t="shared" si="26"/>
        <v>9.99999999997669E-2</v>
      </c>
      <c r="X19" s="29">
        <v>11.958299999999999</v>
      </c>
      <c r="Y19" s="43">
        <f t="shared" si="27"/>
        <v>9.99999999997669E-2</v>
      </c>
      <c r="Z19" s="44">
        <f t="shared" si="28"/>
        <v>-1.10000000000099</v>
      </c>
      <c r="AA19" s="45">
        <f t="shared" si="29"/>
        <v>9.99999999997669E-2</v>
      </c>
      <c r="AB19" s="49">
        <v>5.6540999999999997</v>
      </c>
      <c r="AC19" s="43">
        <f t="shared" si="30"/>
        <v>9.99999999997669E-2</v>
      </c>
      <c r="AD19" s="44">
        <f t="shared" si="31"/>
        <v>-2.10000000000043</v>
      </c>
      <c r="AE19" s="45">
        <f t="shared" si="32"/>
        <v>9.99999999997669E-2</v>
      </c>
      <c r="AF19" s="50">
        <v>79357</v>
      </c>
      <c r="AG19" s="58">
        <f t="shared" si="33"/>
        <v>57</v>
      </c>
      <c r="AH19" s="61"/>
      <c r="AI19" s="52"/>
      <c r="AJ19" s="52"/>
      <c r="AK19" s="52"/>
      <c r="AL19" s="52"/>
      <c r="AM19" s="52"/>
    </row>
    <row r="20" spans="1:39">
      <c r="A20" s="21">
        <v>44574</v>
      </c>
      <c r="B20" s="22">
        <v>792.27269999999999</v>
      </c>
      <c r="C20" s="27">
        <v>5.4824000000000002</v>
      </c>
      <c r="D20" s="23">
        <f t="shared" si="0"/>
        <v>797.75509999999997</v>
      </c>
      <c r="E20" s="24">
        <f t="shared" si="4"/>
        <v>0</v>
      </c>
      <c r="F20" s="25">
        <f t="shared" si="5"/>
        <v>-2.39999999996598</v>
      </c>
      <c r="G20" s="26">
        <f t="shared" si="6"/>
        <v>0</v>
      </c>
      <c r="H20" s="6">
        <v>6.3288000000000002</v>
      </c>
      <c r="I20" s="35">
        <f t="shared" si="1"/>
        <v>798.60149999999999</v>
      </c>
      <c r="J20" s="24">
        <f t="shared" si="7"/>
        <v>-0.199999999949796</v>
      </c>
      <c r="K20" s="25">
        <f t="shared" si="8"/>
        <v>-2.70000000000437</v>
      </c>
      <c r="L20" s="26">
        <f t="shared" si="9"/>
        <v>-0.199999999949796</v>
      </c>
      <c r="M20" s="6">
        <v>5.6547000000000001</v>
      </c>
      <c r="N20" s="35">
        <f t="shared" si="2"/>
        <v>797.92740000000003</v>
      </c>
      <c r="O20" s="24">
        <f t="shared" si="10"/>
        <v>-9.9999999974897905E-2</v>
      </c>
      <c r="P20" s="25">
        <f t="shared" si="11"/>
        <v>-1.4999999999645299</v>
      </c>
      <c r="Q20" s="26">
        <f t="shared" si="12"/>
        <v>-9.9999999974897905E-2</v>
      </c>
      <c r="R20" s="41"/>
      <c r="S20" s="21">
        <f t="shared" si="23"/>
        <v>44574</v>
      </c>
      <c r="T20" s="42">
        <v>7.7404999999999999</v>
      </c>
      <c r="U20" s="43">
        <f t="shared" si="24"/>
        <v>-0.20000000000042201</v>
      </c>
      <c r="V20" s="44">
        <f t="shared" si="25"/>
        <v>-2.10000000000043</v>
      </c>
      <c r="W20" s="45">
        <f t="shared" si="26"/>
        <v>0.20000000000042201</v>
      </c>
      <c r="X20" s="29">
        <v>11.958</v>
      </c>
      <c r="Y20" s="43">
        <f t="shared" si="27"/>
        <v>-0.29999999999930099</v>
      </c>
      <c r="Z20" s="44">
        <f t="shared" si="28"/>
        <v>-1.4000000000002899</v>
      </c>
      <c r="AA20" s="45">
        <f t="shared" si="29"/>
        <v>-0.29999999999930099</v>
      </c>
      <c r="AB20" s="49">
        <v>5.6536</v>
      </c>
      <c r="AC20" s="43">
        <f t="shared" si="30"/>
        <v>-0.499999999999723</v>
      </c>
      <c r="AD20" s="44">
        <f t="shared" si="31"/>
        <v>-2.60000000000016</v>
      </c>
      <c r="AE20" s="45">
        <f t="shared" si="32"/>
        <v>-0.499999999999723</v>
      </c>
      <c r="AF20" s="50">
        <v>79360</v>
      </c>
      <c r="AG20" s="58">
        <f t="shared" si="33"/>
        <v>60</v>
      </c>
      <c r="AH20" s="61"/>
      <c r="AI20" s="52"/>
      <c r="AJ20" s="52"/>
      <c r="AK20" s="52"/>
      <c r="AL20" s="52"/>
      <c r="AM20" s="52"/>
    </row>
    <row r="21" spans="1:39">
      <c r="A21" s="21">
        <v>44576</v>
      </c>
      <c r="B21" s="22">
        <v>792.27269999999999</v>
      </c>
      <c r="C21" s="27">
        <v>5.4820000000000002</v>
      </c>
      <c r="D21" s="23">
        <f t="shared" ref="D21:D30" si="34">C21+B21</f>
        <v>797.75469999999996</v>
      </c>
      <c r="E21" s="24">
        <f t="shared" ref="E21:E23" si="35">(D21-D20)*1000</f>
        <v>-0.40000000001327901</v>
      </c>
      <c r="F21" s="25">
        <f t="shared" ref="F21:F23" si="36">F20+E21</f>
        <v>-2.79999999997926</v>
      </c>
      <c r="G21" s="26">
        <f t="shared" ref="G21:G23" si="37">E21/(A21-A20)</f>
        <v>-0.20000000000663901</v>
      </c>
      <c r="H21" s="6">
        <v>6.3289999999999997</v>
      </c>
      <c r="I21" s="35">
        <f t="shared" ref="I21:I30" si="38">H21+B21</f>
        <v>798.60170000000005</v>
      </c>
      <c r="J21" s="24">
        <f t="shared" ref="J21:J23" si="39">(I21-I20)*1000</f>
        <v>0.199999999949796</v>
      </c>
      <c r="K21" s="25">
        <f t="shared" ref="K21:K23" si="40">K20+J21</f>
        <v>-2.5000000000545701</v>
      </c>
      <c r="L21" s="26">
        <f t="shared" ref="L21:L23" si="41">J21/(A21-A20)</f>
        <v>9.9999999974897905E-2</v>
      </c>
      <c r="M21" s="6">
        <v>5.6547000000000001</v>
      </c>
      <c r="N21" s="35">
        <f t="shared" ref="N21:N30" si="42">M21+B21</f>
        <v>797.92740000000003</v>
      </c>
      <c r="O21" s="24">
        <f t="shared" ref="O21:O23" si="43">(N21-N20)*1000</f>
        <v>0</v>
      </c>
      <c r="P21" s="25">
        <f t="shared" ref="P21:P23" si="44">P20+O21</f>
        <v>-1.4999999999645299</v>
      </c>
      <c r="Q21" s="26">
        <f t="shared" ref="Q21:Q23" si="45">O21/(A21-A20)</f>
        <v>0</v>
      </c>
      <c r="R21" s="41"/>
      <c r="S21" s="21">
        <f t="shared" si="23"/>
        <v>44576</v>
      </c>
      <c r="T21" s="42">
        <v>7.7403000000000004</v>
      </c>
      <c r="U21" s="43">
        <f t="shared" si="24"/>
        <v>-0.19999999999953399</v>
      </c>
      <c r="V21" s="44">
        <f t="shared" si="25"/>
        <v>-2.2999999999999701</v>
      </c>
      <c r="W21" s="45">
        <f t="shared" si="26"/>
        <v>9.99999999997669E-2</v>
      </c>
      <c r="X21" s="29">
        <v>11.9582</v>
      </c>
      <c r="Y21" s="43">
        <f t="shared" si="27"/>
        <v>0.19999999999953399</v>
      </c>
      <c r="Z21" s="44">
        <f t="shared" si="28"/>
        <v>-1.20000000000076</v>
      </c>
      <c r="AA21" s="45">
        <f t="shared" si="29"/>
        <v>9.99999999997669E-2</v>
      </c>
      <c r="AB21" s="49">
        <v>5.6534000000000004</v>
      </c>
      <c r="AC21" s="43">
        <f t="shared" si="30"/>
        <v>-0.19999999999953399</v>
      </c>
      <c r="AD21" s="44">
        <f t="shared" si="31"/>
        <v>-2.7999999999996898</v>
      </c>
      <c r="AE21" s="45">
        <f t="shared" si="32"/>
        <v>-9.99999999997669E-2</v>
      </c>
      <c r="AF21" s="50">
        <v>79365.8</v>
      </c>
      <c r="AG21" s="58">
        <f t="shared" si="33"/>
        <v>65.800000000002896</v>
      </c>
      <c r="AH21" s="61"/>
      <c r="AI21" s="52"/>
      <c r="AJ21" s="52"/>
      <c r="AK21" s="52"/>
      <c r="AL21" s="52"/>
      <c r="AM21" s="52"/>
    </row>
    <row r="22" spans="1:39">
      <c r="A22" s="21">
        <v>44578</v>
      </c>
      <c r="B22" s="22">
        <v>792.27269999999999</v>
      </c>
      <c r="C22" s="27">
        <v>5.4821</v>
      </c>
      <c r="D22" s="23">
        <f t="shared" si="34"/>
        <v>797.75480000000005</v>
      </c>
      <c r="E22" s="24">
        <f t="shared" si="35"/>
        <v>9.9999999974897905E-2</v>
      </c>
      <c r="F22" s="25">
        <f t="shared" si="36"/>
        <v>-2.70000000000437</v>
      </c>
      <c r="G22" s="26">
        <f t="shared" si="37"/>
        <v>4.9999999987449001E-2</v>
      </c>
      <c r="H22" s="6">
        <v>6.3284000000000002</v>
      </c>
      <c r="I22" s="35">
        <f t="shared" si="38"/>
        <v>798.60109999999997</v>
      </c>
      <c r="J22" s="24">
        <f t="shared" si="39"/>
        <v>-0.59999999996307496</v>
      </c>
      <c r="K22" s="25">
        <f t="shared" si="40"/>
        <v>-3.1000000000176402</v>
      </c>
      <c r="L22" s="26">
        <f t="shared" si="41"/>
        <v>-0.29999999998153698</v>
      </c>
      <c r="M22" s="6">
        <v>5.6542000000000003</v>
      </c>
      <c r="N22" s="35">
        <f t="shared" si="42"/>
        <v>797.92690000000005</v>
      </c>
      <c r="O22" s="24">
        <f t="shared" si="43"/>
        <v>-0.50000000010186296</v>
      </c>
      <c r="P22" s="25">
        <f t="shared" si="44"/>
        <v>-2.00000000006639</v>
      </c>
      <c r="Q22" s="26">
        <f t="shared" si="45"/>
        <v>-0.25000000005093198</v>
      </c>
      <c r="R22" s="41"/>
      <c r="S22" s="21">
        <f t="shared" si="23"/>
        <v>44578</v>
      </c>
      <c r="T22" s="42">
        <v>7.7401999999999997</v>
      </c>
      <c r="U22" s="43">
        <f t="shared" si="24"/>
        <v>-0.100000000000655</v>
      </c>
      <c r="V22" s="44">
        <f t="shared" si="25"/>
        <v>-2.4000000000006199</v>
      </c>
      <c r="W22" s="45">
        <f t="shared" si="26"/>
        <v>5.0000000000327602E-2</v>
      </c>
      <c r="X22" s="29">
        <v>11.958299999999999</v>
      </c>
      <c r="Y22" s="43">
        <f t="shared" si="27"/>
        <v>9.99999999997669E-2</v>
      </c>
      <c r="Z22" s="44">
        <f t="shared" si="28"/>
        <v>-1.10000000000099</v>
      </c>
      <c r="AA22" s="45">
        <f t="shared" si="29"/>
        <v>4.9999999999883499E-2</v>
      </c>
      <c r="AB22" s="49">
        <v>5.6536</v>
      </c>
      <c r="AC22" s="43">
        <f t="shared" si="30"/>
        <v>0.19999999999953399</v>
      </c>
      <c r="AD22" s="44">
        <f t="shared" si="31"/>
        <v>-2.60000000000016</v>
      </c>
      <c r="AE22" s="45">
        <f t="shared" si="32"/>
        <v>9.99999999997669E-2</v>
      </c>
      <c r="AF22" s="50">
        <v>79375</v>
      </c>
      <c r="AG22" s="58">
        <f t="shared" si="33"/>
        <v>75</v>
      </c>
      <c r="AH22" s="61"/>
      <c r="AI22" s="52"/>
      <c r="AJ22" s="52"/>
      <c r="AK22" s="52"/>
      <c r="AL22" s="52"/>
      <c r="AM22" s="52"/>
    </row>
    <row r="23" spans="1:39">
      <c r="A23" s="21">
        <v>44580</v>
      </c>
      <c r="B23" s="22">
        <v>792.27269999999999</v>
      </c>
      <c r="C23" s="27">
        <v>5.4820000000000002</v>
      </c>
      <c r="D23" s="23">
        <f t="shared" si="34"/>
        <v>797.75469999999996</v>
      </c>
      <c r="E23" s="24">
        <f t="shared" si="35"/>
        <v>-9.9999999974897905E-2</v>
      </c>
      <c r="F23" s="25">
        <f t="shared" si="36"/>
        <v>-2.79999999997926</v>
      </c>
      <c r="G23" s="26">
        <f t="shared" si="37"/>
        <v>-4.9999999987449001E-2</v>
      </c>
      <c r="H23" s="6">
        <v>6.3285999999999998</v>
      </c>
      <c r="I23" s="35">
        <f t="shared" si="38"/>
        <v>798.60130000000004</v>
      </c>
      <c r="J23" s="24">
        <f t="shared" si="39"/>
        <v>0.20000000006348301</v>
      </c>
      <c r="K23" s="25">
        <f t="shared" si="40"/>
        <v>-2.8999999999541601</v>
      </c>
      <c r="L23" s="26">
        <f t="shared" si="41"/>
        <v>0.100000000031741</v>
      </c>
      <c r="M23" s="6">
        <v>5.6544999999999996</v>
      </c>
      <c r="N23" s="35">
        <f t="shared" si="42"/>
        <v>797.92719999999997</v>
      </c>
      <c r="O23" s="24">
        <f t="shared" si="43"/>
        <v>0.30000000003838101</v>
      </c>
      <c r="P23" s="25">
        <f t="shared" si="44"/>
        <v>-1.70000000002801</v>
      </c>
      <c r="Q23" s="26">
        <f t="shared" si="45"/>
        <v>0.15000000001919001</v>
      </c>
      <c r="S23" s="21">
        <f t="shared" si="23"/>
        <v>44580</v>
      </c>
      <c r="T23" s="42">
        <v>7.7401</v>
      </c>
      <c r="U23" s="43">
        <f t="shared" si="24"/>
        <v>-9.99999999997669E-2</v>
      </c>
      <c r="V23" s="44">
        <f t="shared" si="25"/>
        <v>-2.5000000000003899</v>
      </c>
      <c r="W23" s="45">
        <f t="shared" si="26"/>
        <v>4.9999999999883499E-2</v>
      </c>
      <c r="X23" s="29">
        <v>11.958</v>
      </c>
      <c r="Y23" s="43">
        <f t="shared" si="27"/>
        <v>-0.29999999999930099</v>
      </c>
      <c r="Z23" s="44">
        <f t="shared" si="28"/>
        <v>-1.4000000000002899</v>
      </c>
      <c r="AA23" s="45">
        <f t="shared" si="29"/>
        <v>-0.14999999999965</v>
      </c>
      <c r="AB23" s="49">
        <v>5.6536999999999997</v>
      </c>
      <c r="AC23" s="43">
        <f t="shared" si="30"/>
        <v>9.99999999997669E-2</v>
      </c>
      <c r="AD23" s="44">
        <f t="shared" si="31"/>
        <v>-2.5000000000003899</v>
      </c>
      <c r="AE23" s="45">
        <f t="shared" si="32"/>
        <v>4.9999999999883499E-2</v>
      </c>
      <c r="AF23" s="50">
        <v>79383</v>
      </c>
      <c r="AG23" s="58">
        <f t="shared" si="33"/>
        <v>83</v>
      </c>
      <c r="AH23" s="61"/>
      <c r="AI23" s="52"/>
      <c r="AJ23" s="52"/>
      <c r="AK23" s="52"/>
      <c r="AL23" s="52"/>
      <c r="AM23" s="52"/>
    </row>
    <row r="24" spans="1:39">
      <c r="A24" s="21">
        <v>44582</v>
      </c>
      <c r="B24" s="22">
        <v>792.27269999999999</v>
      </c>
      <c r="C24" s="27">
        <v>5.4821</v>
      </c>
      <c r="D24" s="23">
        <f t="shared" si="34"/>
        <v>797.75480000000005</v>
      </c>
      <c r="E24" s="24">
        <f t="shared" ref="E24:E26" si="46">(D24-D23)*1000</f>
        <v>9.9999999974897905E-2</v>
      </c>
      <c r="F24" s="25">
        <f t="shared" ref="F24:F26" si="47">F23+E24</f>
        <v>-2.70000000000437</v>
      </c>
      <c r="G24" s="26">
        <f t="shared" ref="G24:G26" si="48">E24/(A24-A23)</f>
        <v>4.9999999987449001E-2</v>
      </c>
      <c r="H24" s="6">
        <v>6.3282999999999996</v>
      </c>
      <c r="I24" s="35">
        <f t="shared" si="38"/>
        <v>798.601</v>
      </c>
      <c r="J24" s="24">
        <f t="shared" ref="J24:J26" si="49">(I24-I23)*1000</f>
        <v>-0.30000000003838101</v>
      </c>
      <c r="K24" s="25">
        <f t="shared" ref="K24:K26" si="50">K23+J24</f>
        <v>-3.1999999999925399</v>
      </c>
      <c r="L24" s="26">
        <f t="shared" ref="L24:L26" si="51">J24/(A24-A23)</f>
        <v>-0.15000000001919001</v>
      </c>
      <c r="M24" s="6">
        <v>5.6543000000000001</v>
      </c>
      <c r="N24" s="35">
        <f t="shared" si="42"/>
        <v>797.92700000000002</v>
      </c>
      <c r="O24" s="24">
        <f t="shared" ref="O24:O26" si="52">(N24-N23)*1000</f>
        <v>-0.199999999949796</v>
      </c>
      <c r="P24" s="25">
        <f t="shared" ref="P24:P26" si="53">P23+O24</f>
        <v>-1.8999999999778101</v>
      </c>
      <c r="Q24" s="26">
        <f t="shared" ref="Q24:Q26" si="54">O24/(A24-A23)</f>
        <v>-9.9999999974897905E-2</v>
      </c>
      <c r="S24" s="21">
        <f t="shared" si="23"/>
        <v>44582</v>
      </c>
      <c r="T24" s="42">
        <v>7.7403000000000004</v>
      </c>
      <c r="U24" s="43">
        <f t="shared" ref="U24:U26" si="55">(T24-T23)*1000</f>
        <v>0.20000000000042201</v>
      </c>
      <c r="V24" s="44">
        <f t="shared" ref="V24:V26" si="56">V23+U24</f>
        <v>-2.2999999999999701</v>
      </c>
      <c r="W24" s="45">
        <f t="shared" ref="W24:W26" si="57">U24/(S23-S24)</f>
        <v>-0.100000000000211</v>
      </c>
      <c r="X24" s="29">
        <v>11.9579</v>
      </c>
      <c r="Y24" s="43">
        <f t="shared" ref="Y24:Y26" si="58">(X24-X23)*1000</f>
        <v>-9.99999999997669E-2</v>
      </c>
      <c r="Z24" s="44">
        <f t="shared" ref="Z24:Z26" si="59">Z23+Y24</f>
        <v>-1.50000000000006</v>
      </c>
      <c r="AA24" s="45">
        <f t="shared" ref="AA24:AA26" si="60">Y24/(S24-S23)</f>
        <v>-4.9999999999883499E-2</v>
      </c>
      <c r="AB24" s="49">
        <v>5.6532999999999998</v>
      </c>
      <c r="AC24" s="43">
        <f t="shared" ref="AC24:AC26" si="61">(AB24-AB23)*1000</f>
        <v>-0.399999999999956</v>
      </c>
      <c r="AD24" s="44">
        <f t="shared" ref="AD24:AD26" si="62">AD23+AC24</f>
        <v>-2.9000000000003499</v>
      </c>
      <c r="AE24" s="45">
        <f t="shared" ref="AE24:AE26" si="63">AC24/(S24-S23)</f>
        <v>-0.199999999999978</v>
      </c>
      <c r="AF24" s="50">
        <v>79383</v>
      </c>
      <c r="AG24" s="58">
        <f t="shared" si="33"/>
        <v>83</v>
      </c>
      <c r="AH24" s="61"/>
      <c r="AI24" s="52"/>
      <c r="AJ24" s="52"/>
      <c r="AK24" s="52"/>
      <c r="AL24" s="52"/>
      <c r="AM24" s="52"/>
    </row>
    <row r="25" spans="1:39">
      <c r="A25" s="21">
        <v>44584</v>
      </c>
      <c r="B25" s="22">
        <v>792.27269999999999</v>
      </c>
      <c r="C25" s="27">
        <v>5.4817999999999998</v>
      </c>
      <c r="D25" s="23">
        <f t="shared" si="34"/>
        <v>797.75450000000001</v>
      </c>
      <c r="E25" s="24">
        <f t="shared" si="46"/>
        <v>-0.29999999992469401</v>
      </c>
      <c r="F25" s="25">
        <f t="shared" si="47"/>
        <v>-2.9999999999290599</v>
      </c>
      <c r="G25" s="26">
        <f t="shared" si="48"/>
        <v>-0.149999999962347</v>
      </c>
      <c r="H25" s="6">
        <v>6.3285</v>
      </c>
      <c r="I25" s="35">
        <f t="shared" si="38"/>
        <v>798.60119999999995</v>
      </c>
      <c r="J25" s="24">
        <f t="shared" si="49"/>
        <v>0.199999999949796</v>
      </c>
      <c r="K25" s="25">
        <f t="shared" si="50"/>
        <v>-3.0000000000427498</v>
      </c>
      <c r="L25" s="26">
        <f t="shared" si="51"/>
        <v>9.9999999974897905E-2</v>
      </c>
      <c r="M25" s="6">
        <v>5.6544999999999996</v>
      </c>
      <c r="N25" s="35">
        <f t="shared" si="42"/>
        <v>797.92719999999997</v>
      </c>
      <c r="O25" s="24">
        <f t="shared" si="52"/>
        <v>0.199999999949796</v>
      </c>
      <c r="P25" s="25">
        <f t="shared" si="53"/>
        <v>-1.70000000002801</v>
      </c>
      <c r="Q25" s="26">
        <f t="shared" si="54"/>
        <v>9.9999999974897905E-2</v>
      </c>
      <c r="S25" s="21">
        <f t="shared" si="23"/>
        <v>44584</v>
      </c>
      <c r="T25" s="42">
        <v>7.74</v>
      </c>
      <c r="U25" s="43">
        <f t="shared" si="55"/>
        <v>-0.300000000000189</v>
      </c>
      <c r="V25" s="44">
        <f t="shared" si="56"/>
        <v>-2.60000000000016</v>
      </c>
      <c r="W25" s="45">
        <f t="shared" si="57"/>
        <v>0.150000000000095</v>
      </c>
      <c r="X25" s="29">
        <v>11.957599999999999</v>
      </c>
      <c r="Y25" s="43">
        <f t="shared" si="58"/>
        <v>-0.30000000000107702</v>
      </c>
      <c r="Z25" s="44">
        <f t="shared" si="59"/>
        <v>-1.80000000000113</v>
      </c>
      <c r="AA25" s="45">
        <f t="shared" si="60"/>
        <v>-0.15000000000053901</v>
      </c>
      <c r="AB25" s="49">
        <v>5.6536</v>
      </c>
      <c r="AC25" s="43">
        <f t="shared" si="61"/>
        <v>0.300000000000189</v>
      </c>
      <c r="AD25" s="44">
        <f t="shared" si="62"/>
        <v>-2.60000000000016</v>
      </c>
      <c r="AE25" s="45">
        <f t="shared" si="63"/>
        <v>0.150000000000095</v>
      </c>
      <c r="AF25" s="50">
        <v>79383</v>
      </c>
      <c r="AG25" s="58">
        <f t="shared" si="33"/>
        <v>83</v>
      </c>
      <c r="AH25" s="61"/>
      <c r="AI25" s="52"/>
      <c r="AJ25" s="52"/>
      <c r="AK25" s="52"/>
      <c r="AL25" s="52"/>
      <c r="AM25" s="52"/>
    </row>
    <row r="26" spans="1:39" s="67" customFormat="1">
      <c r="A26" s="21">
        <v>44586</v>
      </c>
      <c r="B26" s="22">
        <v>792.27269999999999</v>
      </c>
      <c r="C26" s="27">
        <v>5.4819000000000004</v>
      </c>
      <c r="D26" s="23">
        <f t="shared" si="34"/>
        <v>797.75459999999998</v>
      </c>
      <c r="E26" s="24">
        <f t="shared" si="46"/>
        <v>9.9999999974897905E-2</v>
      </c>
      <c r="F26" s="25">
        <f t="shared" si="47"/>
        <v>-2.8999999999541601</v>
      </c>
      <c r="G26" s="26">
        <f t="shared" si="48"/>
        <v>4.9999999987449001E-2</v>
      </c>
      <c r="H26" s="6">
        <v>6.3288000000000002</v>
      </c>
      <c r="I26" s="35">
        <f t="shared" si="38"/>
        <v>798.60149999999999</v>
      </c>
      <c r="J26" s="24">
        <f t="shared" si="49"/>
        <v>0.30000000003838101</v>
      </c>
      <c r="K26" s="25">
        <f t="shared" si="50"/>
        <v>-2.70000000000437</v>
      </c>
      <c r="L26" s="26">
        <f t="shared" si="51"/>
        <v>0.15000000001919001</v>
      </c>
      <c r="M26" s="6">
        <v>5.6547999999999998</v>
      </c>
      <c r="N26" s="35">
        <f t="shared" si="42"/>
        <v>797.92750000000001</v>
      </c>
      <c r="O26" s="24">
        <f t="shared" si="52"/>
        <v>0.30000000003838101</v>
      </c>
      <c r="P26" s="25">
        <f t="shared" si="53"/>
        <v>-1.39999999998963</v>
      </c>
      <c r="Q26" s="26">
        <f t="shared" si="54"/>
        <v>0.15000000001919001</v>
      </c>
      <c r="R26" s="41"/>
      <c r="S26" s="21">
        <f t="shared" si="23"/>
        <v>44586</v>
      </c>
      <c r="T26" s="42">
        <v>7.7401999999999997</v>
      </c>
      <c r="U26" s="43">
        <f t="shared" si="55"/>
        <v>0.19999999999953399</v>
      </c>
      <c r="V26" s="44">
        <f t="shared" si="56"/>
        <v>-2.4000000000006199</v>
      </c>
      <c r="W26" s="45">
        <f t="shared" si="57"/>
        <v>-9.99999999997669E-2</v>
      </c>
      <c r="X26" s="29">
        <v>11.957700000000001</v>
      </c>
      <c r="Y26" s="43">
        <f t="shared" si="58"/>
        <v>0.10000000000154299</v>
      </c>
      <c r="Z26" s="44">
        <f t="shared" si="59"/>
        <v>-1.6999999999995901</v>
      </c>
      <c r="AA26" s="45">
        <f t="shared" si="60"/>
        <v>5.0000000000771601E-2</v>
      </c>
      <c r="AB26" s="49">
        <v>5.6538000000000004</v>
      </c>
      <c r="AC26" s="43">
        <f t="shared" si="61"/>
        <v>0.20000000000042201</v>
      </c>
      <c r="AD26" s="44">
        <f t="shared" si="62"/>
        <v>-2.3999999999997401</v>
      </c>
      <c r="AE26" s="45">
        <f t="shared" si="63"/>
        <v>0.100000000000211</v>
      </c>
      <c r="AF26" s="50">
        <v>79383</v>
      </c>
      <c r="AG26" s="58">
        <f t="shared" si="33"/>
        <v>83</v>
      </c>
      <c r="AH26" s="61"/>
      <c r="AI26" s="60"/>
    </row>
    <row r="27" spans="1:39" s="67" customFormat="1">
      <c r="A27" s="21">
        <v>44588</v>
      </c>
      <c r="B27" s="22">
        <v>792.27269999999999</v>
      </c>
      <c r="C27" s="27">
        <v>5.4816000000000003</v>
      </c>
      <c r="D27" s="23">
        <f t="shared" si="34"/>
        <v>797.75429999999994</v>
      </c>
      <c r="E27" s="24">
        <f t="shared" ref="E27:E28" si="64">(D27-D26)*1000</f>
        <v>-0.30000000003838101</v>
      </c>
      <c r="F27" s="25">
        <f t="shared" ref="F27:F28" si="65">F26+E27</f>
        <v>-3.1999999999925399</v>
      </c>
      <c r="G27" s="26">
        <f t="shared" ref="G27:G28" si="66">E27/(A27-A26)</f>
        <v>-0.15000000001919001</v>
      </c>
      <c r="H27" s="6">
        <v>6.3285</v>
      </c>
      <c r="I27" s="35">
        <f t="shared" si="38"/>
        <v>798.60119999999995</v>
      </c>
      <c r="J27" s="24">
        <f t="shared" ref="J27:J30" si="67">(I27-I26)*1000</f>
        <v>-0.30000000003838101</v>
      </c>
      <c r="K27" s="25">
        <f t="shared" ref="K27:K30" si="68">K26+J27</f>
        <v>-3.0000000000427498</v>
      </c>
      <c r="L27" s="26">
        <f t="shared" ref="L27:L30" si="69">J27/(A27-A26)</f>
        <v>-0.15000000001919001</v>
      </c>
      <c r="M27" s="6">
        <v>5.6544999999999996</v>
      </c>
      <c r="N27" s="35">
        <f t="shared" si="42"/>
        <v>797.92719999999997</v>
      </c>
      <c r="O27" s="24">
        <f t="shared" ref="O27:O30" si="70">(N27-N26)*1000</f>
        <v>-0.30000000003838101</v>
      </c>
      <c r="P27" s="25">
        <f t="shared" ref="P27:P30" si="71">P26+O27</f>
        <v>-1.70000000002801</v>
      </c>
      <c r="Q27" s="26">
        <f t="shared" ref="Q27:Q30" si="72">O27/(A27-A26)</f>
        <v>-0.15000000001919001</v>
      </c>
      <c r="R27" s="41"/>
      <c r="S27" s="21">
        <f t="shared" si="23"/>
        <v>44588</v>
      </c>
      <c r="T27" s="42">
        <v>7.74</v>
      </c>
      <c r="U27" s="43">
        <f t="shared" ref="U27:U30" si="73">(T27-T26)*1000</f>
        <v>-0.19999999999953399</v>
      </c>
      <c r="V27" s="44">
        <f t="shared" ref="V27:V30" si="74">V26+U27</f>
        <v>-2.60000000000016</v>
      </c>
      <c r="W27" s="45">
        <f t="shared" ref="W27:W30" si="75">U27/(S26-S27)</f>
        <v>9.99999999997669E-2</v>
      </c>
      <c r="X27" s="29">
        <v>11.9575</v>
      </c>
      <c r="Y27" s="43">
        <f t="shared" ref="Y27:Y30" si="76">(X27-X26)*1000</f>
        <v>-0.20000000000130999</v>
      </c>
      <c r="Z27" s="44">
        <f t="shared" ref="Z27:Z30" si="77">Z26+Y27</f>
        <v>-1.9000000000009001</v>
      </c>
      <c r="AA27" s="45">
        <f t="shared" ref="AA27:AA30" si="78">Y27/(S27-S26)</f>
        <v>-0.100000000000655</v>
      </c>
      <c r="AB27" s="49">
        <v>5.6534000000000004</v>
      </c>
      <c r="AC27" s="43">
        <f t="shared" ref="AC27:AC30" si="79">(AB27-AB26)*1000</f>
        <v>-0.399999999999956</v>
      </c>
      <c r="AD27" s="44">
        <f t="shared" ref="AD27:AD30" si="80">AD26+AC27</f>
        <v>-2.7999999999996898</v>
      </c>
      <c r="AE27" s="45">
        <f t="shared" ref="AE27:AE30" si="81">AC27/(S27-S26)</f>
        <v>-0.199999999999978</v>
      </c>
      <c r="AF27" s="50">
        <v>79383</v>
      </c>
      <c r="AG27" s="58">
        <f t="shared" si="33"/>
        <v>83</v>
      </c>
      <c r="AH27" s="61"/>
      <c r="AI27" s="60"/>
    </row>
    <row r="28" spans="1:39" s="67" customFormat="1">
      <c r="A28" s="21">
        <v>44597</v>
      </c>
      <c r="B28" s="22">
        <v>792.27269999999999</v>
      </c>
      <c r="C28" s="27">
        <v>5.4817</v>
      </c>
      <c r="D28" s="23">
        <f t="shared" si="34"/>
        <v>797.75440000000003</v>
      </c>
      <c r="E28" s="24">
        <f t="shared" si="64"/>
        <v>0.10000000008858501</v>
      </c>
      <c r="F28" s="25">
        <f t="shared" si="65"/>
        <v>-3.09999999990396</v>
      </c>
      <c r="G28" s="26">
        <f t="shared" si="66"/>
        <v>1.11111111209539E-2</v>
      </c>
      <c r="H28" s="6">
        <v>6.3285999999999998</v>
      </c>
      <c r="I28" s="35">
        <f t="shared" si="38"/>
        <v>798.60130000000004</v>
      </c>
      <c r="J28" s="24">
        <f t="shared" si="67"/>
        <v>0.10000000008858501</v>
      </c>
      <c r="K28" s="25">
        <f t="shared" si="68"/>
        <v>-2.8999999999541601</v>
      </c>
      <c r="L28" s="26">
        <f t="shared" si="69"/>
        <v>1.11111111209539E-2</v>
      </c>
      <c r="M28" s="6">
        <v>5.6546000000000003</v>
      </c>
      <c r="N28" s="35">
        <f t="shared" si="42"/>
        <v>797.92729999999995</v>
      </c>
      <c r="O28" s="24">
        <f t="shared" si="70"/>
        <v>9.9999999974897905E-2</v>
      </c>
      <c r="P28" s="25">
        <f t="shared" si="71"/>
        <v>-1.60000000005311</v>
      </c>
      <c r="Q28" s="26">
        <f t="shared" si="72"/>
        <v>1.1111111108322001E-2</v>
      </c>
      <c r="R28" s="41"/>
      <c r="S28" s="21">
        <f t="shared" si="23"/>
        <v>44597</v>
      </c>
      <c r="T28" s="42">
        <v>7.7401</v>
      </c>
      <c r="U28" s="43">
        <f t="shared" si="73"/>
        <v>9.99999999997669E-2</v>
      </c>
      <c r="V28" s="44">
        <f t="shared" si="74"/>
        <v>-2.5000000000003899</v>
      </c>
      <c r="W28" s="45">
        <f t="shared" si="75"/>
        <v>-1.11111111110852E-2</v>
      </c>
      <c r="X28" s="29">
        <v>11.9574</v>
      </c>
      <c r="Y28" s="43">
        <f t="shared" si="76"/>
        <v>-9.99999999997669E-2</v>
      </c>
      <c r="Z28" s="44">
        <f t="shared" si="77"/>
        <v>-2.0000000000006701</v>
      </c>
      <c r="AA28" s="45">
        <f t="shared" si="78"/>
        <v>-1.11111111110852E-2</v>
      </c>
      <c r="AB28" s="49">
        <v>5.6535000000000002</v>
      </c>
      <c r="AC28" s="43">
        <f t="shared" si="79"/>
        <v>9.99999999997669E-2</v>
      </c>
      <c r="AD28" s="44">
        <f t="shared" si="80"/>
        <v>-2.6999999999999198</v>
      </c>
      <c r="AE28" s="45">
        <f t="shared" si="81"/>
        <v>1.11111111110852E-2</v>
      </c>
      <c r="AF28" s="50">
        <v>79383</v>
      </c>
      <c r="AG28" s="58">
        <f t="shared" si="33"/>
        <v>83</v>
      </c>
      <c r="AH28" s="61"/>
      <c r="AI28" s="60"/>
    </row>
    <row r="29" spans="1:39">
      <c r="A29" s="21">
        <v>44602</v>
      </c>
      <c r="B29" s="22">
        <v>792.27269999999999</v>
      </c>
      <c r="C29" s="27">
        <v>5.4814999999999996</v>
      </c>
      <c r="D29" s="23">
        <f t="shared" si="34"/>
        <v>797.75419999999997</v>
      </c>
      <c r="E29" s="24">
        <f t="shared" ref="E29:E30" si="82">(D29-D28)*1000</f>
        <v>-0.20000000006348301</v>
      </c>
      <c r="F29" s="25">
        <f t="shared" ref="F29:F30" si="83">F28+E29</f>
        <v>-3.2999999999674401</v>
      </c>
      <c r="G29" s="26">
        <f t="shared" ref="G29:G30" si="84">E29/(A29-A28)</f>
        <v>-4.0000000012696497E-2</v>
      </c>
      <c r="H29" s="6">
        <v>6.3285</v>
      </c>
      <c r="I29" s="35">
        <f t="shared" si="38"/>
        <v>798.60119999999995</v>
      </c>
      <c r="J29" s="24">
        <f t="shared" si="67"/>
        <v>-0.10000000008858501</v>
      </c>
      <c r="K29" s="25">
        <f t="shared" si="68"/>
        <v>-3.0000000000427498</v>
      </c>
      <c r="L29" s="26">
        <f t="shared" si="69"/>
        <v>-2.0000000017716998E-2</v>
      </c>
      <c r="M29" s="6">
        <v>5.6548999999999996</v>
      </c>
      <c r="N29" s="35">
        <f t="shared" si="42"/>
        <v>797.92759999999998</v>
      </c>
      <c r="O29" s="24">
        <f t="shared" si="70"/>
        <v>0.30000000003838101</v>
      </c>
      <c r="P29" s="25">
        <f t="shared" si="71"/>
        <v>-1.30000000001473</v>
      </c>
      <c r="Q29" s="26">
        <f t="shared" si="72"/>
        <v>6.0000000007676101E-2</v>
      </c>
      <c r="R29" s="41"/>
      <c r="S29" s="21">
        <f t="shared" si="23"/>
        <v>44602</v>
      </c>
      <c r="T29" s="42">
        <v>7.7398999999999996</v>
      </c>
      <c r="U29" s="43">
        <f t="shared" si="73"/>
        <v>-0.20000000000042201</v>
      </c>
      <c r="V29" s="44">
        <f t="shared" si="74"/>
        <v>-2.7000000000008102</v>
      </c>
      <c r="W29" s="45">
        <f t="shared" si="75"/>
        <v>4.0000000000084399E-2</v>
      </c>
      <c r="X29" s="29">
        <v>11.9575</v>
      </c>
      <c r="Y29" s="43">
        <f t="shared" si="76"/>
        <v>9.99999999997669E-2</v>
      </c>
      <c r="Z29" s="44">
        <f t="shared" si="77"/>
        <v>-1.9000000000009001</v>
      </c>
      <c r="AA29" s="45">
        <f t="shared" si="78"/>
        <v>1.9999999999953399E-2</v>
      </c>
      <c r="AB29" s="49">
        <v>5.6536999999999997</v>
      </c>
      <c r="AC29" s="43">
        <f t="shared" si="79"/>
        <v>0.19999999999953399</v>
      </c>
      <c r="AD29" s="44">
        <f t="shared" si="80"/>
        <v>-2.5000000000003899</v>
      </c>
      <c r="AE29" s="45">
        <f t="shared" si="81"/>
        <v>3.9999999999906798E-2</v>
      </c>
      <c r="AF29" s="50">
        <v>79393</v>
      </c>
      <c r="AG29" s="58">
        <f t="shared" si="33"/>
        <v>93</v>
      </c>
      <c r="AH29" s="61"/>
      <c r="AI29" s="52"/>
      <c r="AJ29" s="52"/>
      <c r="AK29" s="52"/>
      <c r="AL29" s="52"/>
      <c r="AM29" s="52"/>
    </row>
    <row r="30" spans="1:39">
      <c r="A30" s="21">
        <v>44612</v>
      </c>
      <c r="B30" s="22">
        <v>792.27269999999999</v>
      </c>
      <c r="C30" s="27">
        <v>5.4817</v>
      </c>
      <c r="D30" s="23">
        <f t="shared" si="34"/>
        <v>797.75440000000003</v>
      </c>
      <c r="E30" s="24">
        <f t="shared" si="82"/>
        <v>0.20000000006348301</v>
      </c>
      <c r="F30" s="25">
        <f t="shared" si="83"/>
        <v>-3.09999999990396</v>
      </c>
      <c r="G30" s="26">
        <f t="shared" si="84"/>
        <v>2.0000000006348301E-2</v>
      </c>
      <c r="H30" s="6">
        <v>6.3284000000000002</v>
      </c>
      <c r="I30" s="35">
        <f t="shared" si="38"/>
        <v>798.60109999999997</v>
      </c>
      <c r="J30" s="24">
        <f t="shared" si="67"/>
        <v>-9.9999999974897905E-2</v>
      </c>
      <c r="K30" s="25">
        <f t="shared" si="68"/>
        <v>-3.1000000000176402</v>
      </c>
      <c r="L30" s="26">
        <f t="shared" si="69"/>
        <v>-9.9999999974897894E-3</v>
      </c>
      <c r="M30" s="6">
        <v>5.6547000000000001</v>
      </c>
      <c r="N30" s="35">
        <f t="shared" si="42"/>
        <v>797.92740000000003</v>
      </c>
      <c r="O30" s="24">
        <f t="shared" si="70"/>
        <v>-0.199999999949796</v>
      </c>
      <c r="P30" s="25">
        <f t="shared" si="71"/>
        <v>-1.4999999999645299</v>
      </c>
      <c r="Q30" s="26">
        <f t="shared" si="72"/>
        <v>-1.99999999949796E-2</v>
      </c>
      <c r="R30" s="41"/>
      <c r="S30" s="21">
        <f t="shared" si="23"/>
        <v>44612</v>
      </c>
      <c r="T30" s="42">
        <v>7.7397999999999998</v>
      </c>
      <c r="U30" s="43">
        <f t="shared" si="73"/>
        <v>-9.99999999997669E-2</v>
      </c>
      <c r="V30" s="44">
        <f t="shared" si="74"/>
        <v>-2.8000000000005798</v>
      </c>
      <c r="W30" s="45">
        <f t="shared" si="75"/>
        <v>9.9999999999766907E-3</v>
      </c>
      <c r="X30" s="29">
        <v>11.957100000000001</v>
      </c>
      <c r="Y30" s="43">
        <f t="shared" si="76"/>
        <v>-0.39999999999906799</v>
      </c>
      <c r="Z30" s="44">
        <f t="shared" si="77"/>
        <v>-2.2999999999999701</v>
      </c>
      <c r="AA30" s="45">
        <f t="shared" si="78"/>
        <v>-3.9999999999906798E-2</v>
      </c>
      <c r="AB30" s="49">
        <v>5.6536</v>
      </c>
      <c r="AC30" s="43">
        <f t="shared" si="79"/>
        <v>-9.99999999997669E-2</v>
      </c>
      <c r="AD30" s="44">
        <f t="shared" si="80"/>
        <v>-2.60000000000016</v>
      </c>
      <c r="AE30" s="45">
        <f t="shared" si="81"/>
        <v>-9.9999999999766907E-3</v>
      </c>
      <c r="AF30" s="50">
        <v>79405</v>
      </c>
      <c r="AG30" s="58">
        <f t="shared" si="33"/>
        <v>105</v>
      </c>
      <c r="AH30" s="61"/>
      <c r="AI30" s="60"/>
      <c r="AJ30" s="61"/>
      <c r="AK30" s="62"/>
      <c r="AL30" s="60"/>
      <c r="AM30" s="64"/>
    </row>
    <row r="31" spans="1:39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65">
        <f>F30-F23</f>
        <v>-0.29999999992469401</v>
      </c>
      <c r="F32" s="33">
        <f>K30-K23</f>
        <v>-0.20000000006348301</v>
      </c>
      <c r="G32" s="33">
        <f>P30-P23</f>
        <v>0.20000000006348301</v>
      </c>
      <c r="H32" s="68">
        <f>F30</f>
        <v>-3.09999999990396</v>
      </c>
      <c r="I32" s="69">
        <f>K30</f>
        <v>-3.1000000000176402</v>
      </c>
      <c r="J32" s="65">
        <f>P30</f>
        <v>-1.4999999999645299</v>
      </c>
      <c r="K32" s="33">
        <f>(F30-F20)/30</f>
        <v>-2.33333333312657E-2</v>
      </c>
      <c r="L32" s="26"/>
      <c r="N32" s="35"/>
      <c r="O32" s="24"/>
      <c r="P32" s="25"/>
      <c r="Q32" s="26"/>
      <c r="R32" s="41"/>
      <c r="S32" s="21"/>
      <c r="T32" s="42"/>
      <c r="U32" s="65">
        <f>V30-V23</f>
        <v>-0.300000000000189</v>
      </c>
      <c r="V32" s="33">
        <f>Z30-Z23</f>
        <v>-0.89999999999967895</v>
      </c>
      <c r="W32" s="33">
        <f>AD30-AD23</f>
        <v>-9.99999999997669E-2</v>
      </c>
      <c r="X32" s="33">
        <f>V30</f>
        <v>-2.8000000000005798</v>
      </c>
      <c r="Y32" s="65">
        <f>Z30</f>
        <v>-2.2999999999999701</v>
      </c>
      <c r="Z32" s="33">
        <f>AD30</f>
        <v>-2.60000000000016</v>
      </c>
      <c r="AA32" s="33">
        <f>(Z30-Z23)/30</f>
        <v>-2.9999999999989299E-2</v>
      </c>
      <c r="AB32" s="49"/>
      <c r="AC32" s="43"/>
      <c r="AD32" s="44"/>
      <c r="AE32" s="45"/>
      <c r="AF32" s="50"/>
      <c r="AG32" s="58"/>
      <c r="AH32" s="61"/>
      <c r="AI32" s="60"/>
      <c r="AJ32"/>
      <c r="AK32"/>
      <c r="AL32"/>
      <c r="AM32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7"/>
      <c r="D36" s="23"/>
      <c r="E36" s="24"/>
      <c r="F36" s="25"/>
      <c r="G36" s="26"/>
      <c r="I36" s="35"/>
      <c r="J36" s="24"/>
      <c r="K36" s="25"/>
      <c r="L36" s="26"/>
      <c r="N36" s="35"/>
      <c r="O36" s="24"/>
      <c r="P36" s="25"/>
      <c r="Q36" s="26"/>
      <c r="R36" s="41"/>
      <c r="S36" s="21"/>
      <c r="T36" s="42"/>
      <c r="U36" s="43"/>
      <c r="V36" s="44"/>
      <c r="W36" s="45"/>
      <c r="X36" s="29"/>
      <c r="Y36" s="43"/>
      <c r="Z36" s="44"/>
      <c r="AA36" s="45"/>
      <c r="AB36" s="49"/>
      <c r="AC36" s="43"/>
      <c r="AD36" s="44"/>
      <c r="AE36" s="45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21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61"/>
      <c r="AI37" s="60"/>
      <c r="AJ37" s="61"/>
      <c r="AK37" s="62"/>
      <c r="AL37" s="60"/>
      <c r="AM37" s="64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47"/>
      <c r="Y41" s="24"/>
      <c r="Z41" s="25"/>
      <c r="AA41" s="26"/>
      <c r="AB41" s="47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2"/>
      <c r="U43" s="24"/>
      <c r="V43" s="25"/>
      <c r="W43" s="26"/>
      <c r="X43" s="29"/>
      <c r="Y43" s="24"/>
      <c r="Z43" s="25"/>
      <c r="AA43" s="26"/>
      <c r="AB43" s="29"/>
      <c r="AC43" s="24"/>
      <c r="AD43" s="25"/>
      <c r="AE43" s="26"/>
      <c r="AF43" s="26"/>
      <c r="AG43" s="26"/>
      <c r="AH43" s="51"/>
    </row>
    <row r="44" spans="1:39">
      <c r="A44" s="31"/>
      <c r="B44" s="30"/>
      <c r="C44" s="32"/>
      <c r="E44" s="24"/>
      <c r="F44" s="25"/>
      <c r="G44" s="26"/>
      <c r="H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0"/>
      <c r="C45" s="32"/>
      <c r="D45" s="32"/>
      <c r="E45" s="24"/>
      <c r="F45" s="25"/>
      <c r="G45" s="26"/>
      <c r="H45" s="29"/>
      <c r="I45" s="29"/>
      <c r="J45" s="24"/>
      <c r="K45" s="25"/>
      <c r="L45" s="26"/>
      <c r="M45" s="29"/>
      <c r="O45" s="24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  <row r="57" spans="1:34">
      <c r="A57" s="31"/>
      <c r="C57" s="32"/>
      <c r="H57" s="29"/>
      <c r="M57" s="29"/>
      <c r="R57" s="41"/>
      <c r="AH57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FF00"/>
  </sheetPr>
  <dimension ref="A1:AM56"/>
  <sheetViews>
    <sheetView topLeftCell="P25" workbookViewId="0">
      <selection activeCell="U32" sqref="U32:AA32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39" ht="22.5">
      <c r="A1" s="74" t="s">
        <v>40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39">
      <c r="A2" s="12" t="s">
        <v>1</v>
      </c>
      <c r="B2" s="12"/>
      <c r="C2" s="79">
        <v>44569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39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39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39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39">
      <c r="A6" s="21">
        <v>44569</v>
      </c>
      <c r="B6" s="22">
        <v>792.27269999999999</v>
      </c>
      <c r="C6" s="27">
        <v>5.8213999999999997</v>
      </c>
      <c r="D6" s="23">
        <f>C6+B6</f>
        <v>798.09410000000003</v>
      </c>
      <c r="E6" s="24">
        <v>0</v>
      </c>
      <c r="F6" s="25">
        <v>0</v>
      </c>
      <c r="G6" s="26">
        <v>0</v>
      </c>
      <c r="H6" s="6">
        <v>6.5857999999999999</v>
      </c>
      <c r="I6" s="35">
        <f>H6+B6</f>
        <v>798.85850000000005</v>
      </c>
      <c r="J6" s="24">
        <v>0</v>
      </c>
      <c r="K6" s="25">
        <v>0</v>
      </c>
      <c r="L6" s="26">
        <v>0</v>
      </c>
      <c r="M6" s="6">
        <v>5.3944999999999999</v>
      </c>
      <c r="N6" s="35">
        <f>M6+B6</f>
        <v>797.66719999999998</v>
      </c>
      <c r="O6" s="24">
        <v>0</v>
      </c>
      <c r="P6" s="25">
        <v>0</v>
      </c>
      <c r="Q6" s="26">
        <v>0</v>
      </c>
      <c r="R6" s="41"/>
      <c r="S6" s="21">
        <f>A6</f>
        <v>44569</v>
      </c>
      <c r="T6" s="42">
        <v>8.1213999999999995</v>
      </c>
      <c r="U6" s="43">
        <v>0</v>
      </c>
      <c r="V6" s="44">
        <v>0</v>
      </c>
      <c r="W6" s="45">
        <f>U6/(S6-S11)</f>
        <v>0</v>
      </c>
      <c r="X6" s="29">
        <v>12.0131</v>
      </c>
      <c r="Y6" s="43">
        <v>0</v>
      </c>
      <c r="Z6" s="44">
        <v>0</v>
      </c>
      <c r="AA6" s="45">
        <v>0</v>
      </c>
      <c r="AB6" s="49">
        <v>8.3104999999999993</v>
      </c>
      <c r="AC6" s="43">
        <v>0</v>
      </c>
      <c r="AD6" s="44">
        <v>0</v>
      </c>
      <c r="AE6" s="45">
        <v>0</v>
      </c>
      <c r="AF6" s="50">
        <v>79332</v>
      </c>
      <c r="AG6" s="58">
        <f>AF6-79325</f>
        <v>7</v>
      </c>
      <c r="AH6" s="59"/>
      <c r="AI6" s="60"/>
      <c r="AJ6" s="61"/>
      <c r="AK6" s="62"/>
      <c r="AL6" s="52"/>
      <c r="AM6" s="52"/>
    </row>
    <row r="7" spans="1:39">
      <c r="A7" s="21">
        <v>44570</v>
      </c>
      <c r="B7" s="22">
        <v>792.27269999999999</v>
      </c>
      <c r="C7" s="27">
        <v>5.8209999999999997</v>
      </c>
      <c r="D7" s="23">
        <f>C7+B7</f>
        <v>798.09370000000001</v>
      </c>
      <c r="E7" s="24">
        <f>(D7-D6)*1000</f>
        <v>-0.40000000001327901</v>
      </c>
      <c r="F7" s="25">
        <f>F6+E7</f>
        <v>-0.40000000001327901</v>
      </c>
      <c r="G7" s="26">
        <f>E7/(A7-A6)</f>
        <v>-0.40000000001327901</v>
      </c>
      <c r="H7" s="6">
        <v>6.5852000000000004</v>
      </c>
      <c r="I7" s="35">
        <f>H7+B7</f>
        <v>798.85789999999997</v>
      </c>
      <c r="J7" s="24">
        <f>(I7-I6)*1000</f>
        <v>-0.59999999996307496</v>
      </c>
      <c r="K7" s="25">
        <f>K6+J7</f>
        <v>-0.59999999996307496</v>
      </c>
      <c r="L7" s="26">
        <f>J7/(A7-A6)</f>
        <v>-0.59999999996307496</v>
      </c>
      <c r="M7" s="6">
        <v>5.3941999999999997</v>
      </c>
      <c r="N7" s="35">
        <f>M7+B7</f>
        <v>797.66690000000006</v>
      </c>
      <c r="O7" s="24">
        <f>(N7-N6)*1000</f>
        <v>-0.30000000003838101</v>
      </c>
      <c r="P7" s="25">
        <f>P6+O7</f>
        <v>-0.30000000003838101</v>
      </c>
      <c r="Q7" s="26">
        <f>O7/(A7-A6)</f>
        <v>-0.30000000003838101</v>
      </c>
      <c r="R7" s="41"/>
      <c r="S7" s="21">
        <f>A7</f>
        <v>44570</v>
      </c>
      <c r="T7" s="42">
        <v>8.1210000000000004</v>
      </c>
      <c r="U7" s="43">
        <f>(T7-T6)*1000</f>
        <v>-0.39999999999906799</v>
      </c>
      <c r="V7" s="44">
        <f>V6+U7</f>
        <v>-0.39999999999906799</v>
      </c>
      <c r="W7" s="45">
        <f>U7/(S6-S7)</f>
        <v>0.39999999999906799</v>
      </c>
      <c r="X7" s="29">
        <v>12.012499999999999</v>
      </c>
      <c r="Y7" s="43">
        <f>(X7-X6)*1000</f>
        <v>-0.60000000000037801</v>
      </c>
      <c r="Z7" s="44">
        <f>Z6+Y7</f>
        <v>-0.60000000000037801</v>
      </c>
      <c r="AA7" s="45">
        <f>Y7/(S7-S6)</f>
        <v>-0.60000000000037801</v>
      </c>
      <c r="AB7" s="49">
        <v>8.31</v>
      </c>
      <c r="AC7" s="43">
        <f>(AB7-AB6)*1000</f>
        <v>-0.49999999999883499</v>
      </c>
      <c r="AD7" s="44">
        <f>AD6+AC7</f>
        <v>-0.49999999999883499</v>
      </c>
      <c r="AE7" s="45">
        <f>AC7/(S7-S6)</f>
        <v>-0.49999999999883499</v>
      </c>
      <c r="AF7" s="50">
        <v>79335</v>
      </c>
      <c r="AG7" s="58">
        <f t="shared" ref="AG7:AG18" si="0">AF7-79325</f>
        <v>10</v>
      </c>
      <c r="AH7" s="59"/>
      <c r="AI7" s="60"/>
      <c r="AJ7" s="61"/>
      <c r="AK7" s="62"/>
      <c r="AL7" s="52"/>
      <c r="AM7" s="52"/>
    </row>
    <row r="8" spans="1:39">
      <c r="A8" s="21">
        <v>44571</v>
      </c>
      <c r="B8" s="22">
        <v>792.27269999999999</v>
      </c>
      <c r="C8" s="27">
        <v>5.8205</v>
      </c>
      <c r="D8" s="23">
        <f>C8+B8</f>
        <v>798.09320000000002</v>
      </c>
      <c r="E8" s="24">
        <f>(D8-D7)*1000</f>
        <v>-0.49999999998817701</v>
      </c>
      <c r="F8" s="25">
        <f>F7+E8</f>
        <v>-0.90000000000145497</v>
      </c>
      <c r="G8" s="26">
        <f>E8/(A8-A7)</f>
        <v>-0.49999999998817701</v>
      </c>
      <c r="H8" s="6">
        <v>6.585</v>
      </c>
      <c r="I8" s="35">
        <f>H8+B8</f>
        <v>798.85770000000002</v>
      </c>
      <c r="J8" s="24">
        <f>(I8-I7)*1000</f>
        <v>-0.199999999949796</v>
      </c>
      <c r="K8" s="25">
        <f>K7+J8</f>
        <v>-0.79999999991286996</v>
      </c>
      <c r="L8" s="26">
        <f>J8/(A8-A7)</f>
        <v>-0.199999999949796</v>
      </c>
      <c r="M8" s="6">
        <v>5.3935000000000004</v>
      </c>
      <c r="N8" s="35">
        <f>M8+B8</f>
        <v>797.6662</v>
      </c>
      <c r="O8" s="24">
        <f>(N8-N7)*1000</f>
        <v>-0.69999999993797202</v>
      </c>
      <c r="P8" s="25">
        <f>P7+O8</f>
        <v>-0.99999999997635303</v>
      </c>
      <c r="Q8" s="26">
        <f>O8/(A8-A7)</f>
        <v>-0.69999999993797202</v>
      </c>
      <c r="R8" s="41"/>
      <c r="S8" s="21">
        <f>A8</f>
        <v>44571</v>
      </c>
      <c r="T8" s="42">
        <v>8.1204999999999998</v>
      </c>
      <c r="U8" s="43">
        <f>(T8-T7)*1000</f>
        <v>-0.50000000000061096</v>
      </c>
      <c r="V8" s="44">
        <f>V7+U8</f>
        <v>-0.89999999999967895</v>
      </c>
      <c r="W8" s="45">
        <f>U8/(S7-S8)</f>
        <v>0.50000000000061096</v>
      </c>
      <c r="X8" s="29">
        <v>12.0123</v>
      </c>
      <c r="Y8" s="43">
        <f>(X8-X7)*1000</f>
        <v>-0.19999999999953399</v>
      </c>
      <c r="Z8" s="44">
        <f>Z7+Y8</f>
        <v>-0.799999999999912</v>
      </c>
      <c r="AA8" s="45">
        <f>Y8/(S8-S7)</f>
        <v>-0.19999999999953399</v>
      </c>
      <c r="AB8" s="49">
        <v>8.3094999999999999</v>
      </c>
      <c r="AC8" s="43">
        <f>(AB8-AB7)*1000</f>
        <v>-0.50000000000061096</v>
      </c>
      <c r="AD8" s="44">
        <f>AD7+AC8</f>
        <v>-0.999999999999446</v>
      </c>
      <c r="AE8" s="45">
        <f>AC8/(S8-S7)</f>
        <v>-0.50000000000061096</v>
      </c>
      <c r="AF8" s="50">
        <v>79349</v>
      </c>
      <c r="AG8" s="58">
        <f t="shared" si="0"/>
        <v>24</v>
      </c>
      <c r="AH8" s="59"/>
      <c r="AI8" s="60"/>
      <c r="AJ8" s="61"/>
      <c r="AK8" s="62"/>
      <c r="AL8" s="52"/>
      <c r="AM8" s="52"/>
    </row>
    <row r="9" spans="1:39">
      <c r="A9" s="21">
        <v>44572</v>
      </c>
      <c r="B9" s="22">
        <v>792.27269999999999</v>
      </c>
      <c r="C9" s="27">
        <v>5.8202999999999996</v>
      </c>
      <c r="D9" s="23">
        <f t="shared" ref="D9:D18" si="1">C9+B9</f>
        <v>798.09299999999996</v>
      </c>
      <c r="E9" s="24">
        <f t="shared" ref="E9:E18" si="2">(D9-D8)*1000</f>
        <v>-0.20000000006348301</v>
      </c>
      <c r="F9" s="25">
        <f t="shared" ref="F9:F18" si="3">F8+E9</f>
        <v>-1.1000000000649399</v>
      </c>
      <c r="G9" s="26">
        <f t="shared" ref="G9:G18" si="4">E9/(A9-A8)</f>
        <v>-0.20000000006348301</v>
      </c>
      <c r="H9" s="6">
        <v>6.5848000000000004</v>
      </c>
      <c r="I9" s="35">
        <f t="shared" ref="I9:I18" si="5">H9+B9</f>
        <v>798.85749999999996</v>
      </c>
      <c r="J9" s="24">
        <f t="shared" ref="J9:J18" si="6">(I9-I8)*1000</f>
        <v>-0.20000000006348301</v>
      </c>
      <c r="K9" s="25">
        <f t="shared" ref="K9:K18" si="7">K8+J9</f>
        <v>-0.99999999997635303</v>
      </c>
      <c r="L9" s="26">
        <f t="shared" ref="L9:L18" si="8">J9/(A9-A8)</f>
        <v>-0.20000000006348301</v>
      </c>
      <c r="M9" s="6">
        <v>5.3936000000000002</v>
      </c>
      <c r="N9" s="35">
        <f t="shared" ref="N9:N18" si="9">M9+B9</f>
        <v>797.66629999999998</v>
      </c>
      <c r="O9" s="24">
        <f t="shared" ref="O9:O18" si="10">(N9-N8)*1000</f>
        <v>9.9999999974897905E-2</v>
      </c>
      <c r="P9" s="25">
        <f t="shared" ref="P9:P18" si="11">P8+O9</f>
        <v>-0.90000000000145497</v>
      </c>
      <c r="Q9" s="26">
        <f t="shared" ref="Q9:Q18" si="12">O9/(A9-A8)</f>
        <v>9.9999999974897905E-2</v>
      </c>
      <c r="R9" s="41"/>
      <c r="S9" s="21">
        <f t="shared" ref="S9:S18" si="13">A9</f>
        <v>44572</v>
      </c>
      <c r="T9" s="42">
        <v>8.1203000000000003</v>
      </c>
      <c r="U9" s="43">
        <f t="shared" ref="U9:U18" si="14">(T9-T8)*1000</f>
        <v>-0.19999999999953399</v>
      </c>
      <c r="V9" s="44">
        <f t="shared" ref="V9:V18" si="15">V8+U9</f>
        <v>-1.0999999999992101</v>
      </c>
      <c r="W9" s="45">
        <f t="shared" ref="W9:W18" si="16">U9/(S8-S9)</f>
        <v>0.19999999999953399</v>
      </c>
      <c r="X9" s="29">
        <v>12.012499999999999</v>
      </c>
      <c r="Y9" s="43">
        <f t="shared" ref="Y9:Y18" si="17">(X9-X8)*1000</f>
        <v>0.19999999999953399</v>
      </c>
      <c r="Z9" s="44">
        <f t="shared" ref="Z9:Z18" si="18">Z8+Y9</f>
        <v>-0.60000000000037801</v>
      </c>
      <c r="AA9" s="45">
        <f t="shared" ref="AA9:AA18" si="19">Y9/(S9-S8)</f>
        <v>0.19999999999953399</v>
      </c>
      <c r="AB9" s="49">
        <v>8.3093000000000004</v>
      </c>
      <c r="AC9" s="43">
        <f t="shared" ref="AC9:AC18" si="20">(AB9-AB8)*1000</f>
        <v>-0.19999999999953399</v>
      </c>
      <c r="AD9" s="44">
        <f t="shared" ref="AD9:AD18" si="21">AD8+AC9</f>
        <v>-1.1999999999989801</v>
      </c>
      <c r="AE9" s="45">
        <f t="shared" ref="AE9:AE18" si="22">AC9/(S9-S8)</f>
        <v>-0.19999999999953399</v>
      </c>
      <c r="AF9" s="50">
        <v>79353</v>
      </c>
      <c r="AG9" s="58">
        <f t="shared" si="0"/>
        <v>28</v>
      </c>
      <c r="AH9" s="59"/>
      <c r="AI9" s="60"/>
      <c r="AJ9" s="61"/>
      <c r="AK9" s="62"/>
      <c r="AL9" s="52"/>
      <c r="AM9" s="52"/>
    </row>
    <row r="10" spans="1:39">
      <c r="A10" s="21">
        <v>44573</v>
      </c>
      <c r="B10" s="22">
        <v>792.27269999999999</v>
      </c>
      <c r="C10" s="27">
        <v>5.8205</v>
      </c>
      <c r="D10" s="23">
        <f t="shared" si="1"/>
        <v>798.09320000000002</v>
      </c>
      <c r="E10" s="24">
        <f t="shared" si="2"/>
        <v>0.20000000006348301</v>
      </c>
      <c r="F10" s="25">
        <f t="shared" si="3"/>
        <v>-0.90000000000145497</v>
      </c>
      <c r="G10" s="26">
        <f t="shared" si="4"/>
        <v>0.20000000006348301</v>
      </c>
      <c r="H10" s="6">
        <v>6.5845000000000002</v>
      </c>
      <c r="I10" s="35">
        <f t="shared" si="5"/>
        <v>798.85720000000003</v>
      </c>
      <c r="J10" s="24">
        <f t="shared" si="6"/>
        <v>-0.29999999992469401</v>
      </c>
      <c r="K10" s="25">
        <f t="shared" si="7"/>
        <v>-1.2999999999010501</v>
      </c>
      <c r="L10" s="26">
        <f t="shared" si="8"/>
        <v>-0.29999999992469401</v>
      </c>
      <c r="M10" s="6">
        <v>5.3933999999999997</v>
      </c>
      <c r="N10" s="35">
        <f t="shared" si="9"/>
        <v>797.66610000000003</v>
      </c>
      <c r="O10" s="24">
        <f t="shared" si="10"/>
        <v>-0.199999999949796</v>
      </c>
      <c r="P10" s="25">
        <f t="shared" si="11"/>
        <v>-1.09999999995125</v>
      </c>
      <c r="Q10" s="26">
        <f t="shared" si="12"/>
        <v>-0.199999999949796</v>
      </c>
      <c r="R10" s="41"/>
      <c r="S10" s="21">
        <f t="shared" si="13"/>
        <v>44573</v>
      </c>
      <c r="T10" s="42">
        <v>8.1201000000000008</v>
      </c>
      <c r="U10" s="43">
        <f t="shared" si="14"/>
        <v>-0.19999999999953399</v>
      </c>
      <c r="V10" s="44">
        <f t="shared" si="15"/>
        <v>-1.2999999999987499</v>
      </c>
      <c r="W10" s="45">
        <f t="shared" si="16"/>
        <v>0.19999999999953399</v>
      </c>
      <c r="X10" s="29">
        <v>12.011900000000001</v>
      </c>
      <c r="Y10" s="43">
        <f t="shared" si="17"/>
        <v>-0.59999999999860198</v>
      </c>
      <c r="Z10" s="44">
        <f t="shared" si="18"/>
        <v>-1.1999999999989801</v>
      </c>
      <c r="AA10" s="45">
        <f t="shared" si="19"/>
        <v>-0.59999999999860198</v>
      </c>
      <c r="AB10" s="49">
        <v>8.3092000000000006</v>
      </c>
      <c r="AC10" s="43">
        <f t="shared" si="20"/>
        <v>-9.99999999997669E-2</v>
      </c>
      <c r="AD10" s="44">
        <f t="shared" si="21"/>
        <v>-1.2999999999987499</v>
      </c>
      <c r="AE10" s="45">
        <f t="shared" si="22"/>
        <v>-9.99999999997669E-2</v>
      </c>
      <c r="AF10" s="50">
        <v>79359</v>
      </c>
      <c r="AG10" s="58">
        <f t="shared" si="0"/>
        <v>34</v>
      </c>
      <c r="AH10" s="59"/>
      <c r="AI10" s="60"/>
      <c r="AJ10" s="61"/>
      <c r="AK10" s="62"/>
      <c r="AL10" s="52"/>
      <c r="AM10" s="52"/>
    </row>
    <row r="11" spans="1:39">
      <c r="A11" s="21">
        <v>44574</v>
      </c>
      <c r="B11" s="22">
        <v>792.27269999999999</v>
      </c>
      <c r="C11" s="27">
        <v>5.8198999999999996</v>
      </c>
      <c r="D11" s="23">
        <f t="shared" si="1"/>
        <v>798.09259999999995</v>
      </c>
      <c r="E11" s="24">
        <f t="shared" si="2"/>
        <v>-0.60000000007676102</v>
      </c>
      <c r="F11" s="25">
        <f t="shared" si="3"/>
        <v>-1.5000000000782201</v>
      </c>
      <c r="G11" s="26">
        <f t="shared" si="4"/>
        <v>-0.60000000007676102</v>
      </c>
      <c r="H11" s="6">
        <v>6.5843999999999996</v>
      </c>
      <c r="I11" s="35">
        <f t="shared" si="5"/>
        <v>798.85709999999995</v>
      </c>
      <c r="J11" s="24">
        <f t="shared" si="6"/>
        <v>-0.10000000008858501</v>
      </c>
      <c r="K11" s="25">
        <f t="shared" si="7"/>
        <v>-1.39999999998963</v>
      </c>
      <c r="L11" s="26">
        <f t="shared" si="8"/>
        <v>-0.10000000008858501</v>
      </c>
      <c r="M11" s="6">
        <v>5.3932000000000002</v>
      </c>
      <c r="N11" s="35">
        <f t="shared" si="9"/>
        <v>797.66589999999997</v>
      </c>
      <c r="O11" s="24">
        <f t="shared" si="10"/>
        <v>-0.20000000006348301</v>
      </c>
      <c r="P11" s="25">
        <f t="shared" si="11"/>
        <v>-1.30000000001473</v>
      </c>
      <c r="Q11" s="26">
        <f t="shared" si="12"/>
        <v>-0.20000000006348301</v>
      </c>
      <c r="R11" s="41"/>
      <c r="S11" s="21">
        <f t="shared" si="13"/>
        <v>44574</v>
      </c>
      <c r="T11" s="42">
        <v>8.1195000000000004</v>
      </c>
      <c r="U11" s="43">
        <f t="shared" si="14"/>
        <v>-0.60000000000037801</v>
      </c>
      <c r="V11" s="44">
        <f t="shared" si="15"/>
        <v>-1.8999999999991199</v>
      </c>
      <c r="W11" s="45">
        <f t="shared" si="16"/>
        <v>0.60000000000037801</v>
      </c>
      <c r="X11" s="29">
        <v>12.011699999999999</v>
      </c>
      <c r="Y11" s="43">
        <f t="shared" si="17"/>
        <v>-0.20000000000130999</v>
      </c>
      <c r="Z11" s="44">
        <f t="shared" si="18"/>
        <v>-1.4000000000002899</v>
      </c>
      <c r="AA11" s="45">
        <f t="shared" si="19"/>
        <v>-0.20000000000130999</v>
      </c>
      <c r="AB11" s="49">
        <v>8.3089999999999993</v>
      </c>
      <c r="AC11" s="43">
        <f t="shared" si="20"/>
        <v>-0.20000000000130999</v>
      </c>
      <c r="AD11" s="44">
        <f t="shared" si="21"/>
        <v>-1.50000000000006</v>
      </c>
      <c r="AE11" s="45">
        <f t="shared" si="22"/>
        <v>-0.20000000000130999</v>
      </c>
      <c r="AF11" s="50">
        <v>79362</v>
      </c>
      <c r="AG11" s="58">
        <f t="shared" si="0"/>
        <v>37</v>
      </c>
      <c r="AH11" s="59"/>
      <c r="AI11" s="60"/>
      <c r="AJ11" s="52"/>
      <c r="AK11" s="52"/>
      <c r="AL11" s="52"/>
      <c r="AM11" s="52"/>
    </row>
    <row r="12" spans="1:39">
      <c r="A12" s="21">
        <v>44575</v>
      </c>
      <c r="B12" s="22">
        <v>792.27269999999999</v>
      </c>
      <c r="C12" s="27">
        <v>5.8197000000000001</v>
      </c>
      <c r="D12" s="23">
        <f t="shared" si="1"/>
        <v>798.0924</v>
      </c>
      <c r="E12" s="24">
        <f t="shared" si="2"/>
        <v>-0.199999999949796</v>
      </c>
      <c r="F12" s="25">
        <f t="shared" si="3"/>
        <v>-1.70000000002801</v>
      </c>
      <c r="G12" s="26">
        <f t="shared" si="4"/>
        <v>-0.199999999949796</v>
      </c>
      <c r="H12" s="6">
        <v>6.5842000000000001</v>
      </c>
      <c r="I12" s="35">
        <f t="shared" si="5"/>
        <v>798.8569</v>
      </c>
      <c r="J12" s="24">
        <f t="shared" si="6"/>
        <v>-0.199999999949796</v>
      </c>
      <c r="K12" s="25">
        <f t="shared" si="7"/>
        <v>-1.5999999999394301</v>
      </c>
      <c r="L12" s="26">
        <f t="shared" si="8"/>
        <v>-0.199999999949796</v>
      </c>
      <c r="M12" s="6">
        <v>5.3933</v>
      </c>
      <c r="N12" s="35">
        <f t="shared" si="9"/>
        <v>797.66600000000005</v>
      </c>
      <c r="O12" s="24">
        <f t="shared" si="10"/>
        <v>9.9999999974897905E-2</v>
      </c>
      <c r="P12" s="25">
        <f t="shared" si="11"/>
        <v>-1.2000000000398401</v>
      </c>
      <c r="Q12" s="26">
        <f t="shared" si="12"/>
        <v>9.9999999974897905E-2</v>
      </c>
      <c r="R12" s="41"/>
      <c r="S12" s="21">
        <f t="shared" si="13"/>
        <v>44575</v>
      </c>
      <c r="T12" s="42">
        <v>8.1196999999999999</v>
      </c>
      <c r="U12" s="43">
        <f t="shared" si="14"/>
        <v>0.19999999999953399</v>
      </c>
      <c r="V12" s="44">
        <f t="shared" si="15"/>
        <v>-1.6999999999995901</v>
      </c>
      <c r="W12" s="45">
        <f t="shared" si="16"/>
        <v>-0.19999999999953399</v>
      </c>
      <c r="X12" s="29">
        <v>12.012</v>
      </c>
      <c r="Y12" s="43">
        <f t="shared" si="17"/>
        <v>0.30000000000107702</v>
      </c>
      <c r="Z12" s="44">
        <f t="shared" si="18"/>
        <v>-1.0999999999992101</v>
      </c>
      <c r="AA12" s="45">
        <f t="shared" si="19"/>
        <v>0.30000000000107702</v>
      </c>
      <c r="AB12" s="49">
        <v>8.3089999999999993</v>
      </c>
      <c r="AC12" s="43">
        <f t="shared" si="20"/>
        <v>0</v>
      </c>
      <c r="AD12" s="44">
        <f t="shared" si="21"/>
        <v>-1.50000000000006</v>
      </c>
      <c r="AE12" s="45">
        <f t="shared" si="22"/>
        <v>0</v>
      </c>
      <c r="AF12" s="50">
        <v>79365</v>
      </c>
      <c r="AG12" s="58">
        <f t="shared" si="0"/>
        <v>40</v>
      </c>
      <c r="AH12" s="59"/>
      <c r="AI12" s="60"/>
      <c r="AJ12"/>
      <c r="AK12"/>
      <c r="AL12"/>
      <c r="AM12"/>
    </row>
    <row r="13" spans="1:39">
      <c r="A13" s="21">
        <v>44576</v>
      </c>
      <c r="B13" s="22">
        <v>792.27269999999999</v>
      </c>
      <c r="C13" s="27">
        <v>5.8201000000000001</v>
      </c>
      <c r="D13" s="23">
        <f t="shared" si="1"/>
        <v>798.09280000000001</v>
      </c>
      <c r="E13" s="24">
        <f t="shared" si="2"/>
        <v>0.40000000001327901</v>
      </c>
      <c r="F13" s="25">
        <f t="shared" si="3"/>
        <v>-1.30000000001473</v>
      </c>
      <c r="G13" s="26">
        <f t="shared" si="4"/>
        <v>0.40000000001327901</v>
      </c>
      <c r="H13" s="6">
        <v>6.5842999999999998</v>
      </c>
      <c r="I13" s="35">
        <f t="shared" si="5"/>
        <v>798.85699999999997</v>
      </c>
      <c r="J13" s="24">
        <f t="shared" si="6"/>
        <v>9.9999999974897905E-2</v>
      </c>
      <c r="K13" s="25">
        <f t="shared" si="7"/>
        <v>-1.4999999999645299</v>
      </c>
      <c r="L13" s="26">
        <f t="shared" si="8"/>
        <v>9.9999999974897905E-2</v>
      </c>
      <c r="M13" s="6">
        <v>5.3930999999999996</v>
      </c>
      <c r="N13" s="35">
        <f t="shared" si="9"/>
        <v>797.66579999999999</v>
      </c>
      <c r="O13" s="24">
        <f t="shared" si="10"/>
        <v>-0.199999999949796</v>
      </c>
      <c r="P13" s="25">
        <f t="shared" si="11"/>
        <v>-1.39999999998963</v>
      </c>
      <c r="Q13" s="26">
        <f t="shared" si="12"/>
        <v>-0.199999999949796</v>
      </c>
      <c r="R13" s="41"/>
      <c r="S13" s="21">
        <f t="shared" si="13"/>
        <v>44576</v>
      </c>
      <c r="T13" s="42">
        <v>8.1195000000000004</v>
      </c>
      <c r="U13" s="43">
        <f t="shared" si="14"/>
        <v>-0.19999999999953399</v>
      </c>
      <c r="V13" s="44">
        <f t="shared" si="15"/>
        <v>-1.8999999999991199</v>
      </c>
      <c r="W13" s="45">
        <f t="shared" si="16"/>
        <v>0.19999999999953399</v>
      </c>
      <c r="X13" s="29">
        <v>12.0113</v>
      </c>
      <c r="Y13" s="43">
        <f t="shared" si="17"/>
        <v>-0.70000000000014495</v>
      </c>
      <c r="Z13" s="44">
        <f t="shared" si="18"/>
        <v>-1.7999999999993599</v>
      </c>
      <c r="AA13" s="45">
        <f t="shared" si="19"/>
        <v>-0.70000000000014495</v>
      </c>
      <c r="AB13" s="49">
        <v>8.3091000000000008</v>
      </c>
      <c r="AC13" s="43">
        <f t="shared" si="20"/>
        <v>0.10000000000154299</v>
      </c>
      <c r="AD13" s="44">
        <f t="shared" si="21"/>
        <v>-1.39999999999851</v>
      </c>
      <c r="AE13" s="45">
        <f t="shared" si="22"/>
        <v>0.10000000000154299</v>
      </c>
      <c r="AF13" s="50">
        <v>79368</v>
      </c>
      <c r="AG13" s="58">
        <f t="shared" si="0"/>
        <v>43</v>
      </c>
      <c r="AH13" s="59"/>
      <c r="AI13" s="60"/>
      <c r="AJ13"/>
      <c r="AK13"/>
      <c r="AL13"/>
      <c r="AM13"/>
    </row>
    <row r="14" spans="1:39">
      <c r="A14" s="21">
        <v>44577</v>
      </c>
      <c r="B14" s="22">
        <v>792.27269999999999</v>
      </c>
      <c r="C14" s="27">
        <v>5.8193000000000001</v>
      </c>
      <c r="D14" s="23">
        <f t="shared" si="1"/>
        <v>798.09199999999998</v>
      </c>
      <c r="E14" s="24">
        <f t="shared" si="2"/>
        <v>-0.80000000002655702</v>
      </c>
      <c r="F14" s="25">
        <f t="shared" si="3"/>
        <v>-2.1000000000412902</v>
      </c>
      <c r="G14" s="26">
        <f t="shared" si="4"/>
        <v>-0.80000000002655702</v>
      </c>
      <c r="H14" s="6">
        <v>6.5838000000000001</v>
      </c>
      <c r="I14" s="35">
        <f t="shared" si="5"/>
        <v>798.85649999999998</v>
      </c>
      <c r="J14" s="24">
        <f t="shared" si="6"/>
        <v>-0.49999999998817701</v>
      </c>
      <c r="K14" s="25">
        <f t="shared" si="7"/>
        <v>-1.9999999999527101</v>
      </c>
      <c r="L14" s="26">
        <f t="shared" si="8"/>
        <v>-0.49999999998817701</v>
      </c>
      <c r="M14" s="6">
        <v>5.3932000000000002</v>
      </c>
      <c r="N14" s="35">
        <f t="shared" si="9"/>
        <v>797.66589999999997</v>
      </c>
      <c r="O14" s="24">
        <f t="shared" si="10"/>
        <v>9.9999999974897905E-2</v>
      </c>
      <c r="P14" s="25">
        <f t="shared" si="11"/>
        <v>-1.30000000001473</v>
      </c>
      <c r="Q14" s="26">
        <f t="shared" si="12"/>
        <v>9.9999999974897905E-2</v>
      </c>
      <c r="R14" s="41"/>
      <c r="S14" s="21">
        <f t="shared" si="13"/>
        <v>44577</v>
      </c>
      <c r="T14" s="42">
        <v>8.1193000000000008</v>
      </c>
      <c r="U14" s="43">
        <f t="shared" si="14"/>
        <v>-0.19999999999953399</v>
      </c>
      <c r="V14" s="44">
        <f t="shared" si="15"/>
        <v>-2.0999999999986598</v>
      </c>
      <c r="W14" s="45">
        <f t="shared" si="16"/>
        <v>0.19999999999953399</v>
      </c>
      <c r="X14" s="29">
        <v>12.011699999999999</v>
      </c>
      <c r="Y14" s="43">
        <f t="shared" si="17"/>
        <v>0.39999999999906799</v>
      </c>
      <c r="Z14" s="44">
        <f t="shared" si="18"/>
        <v>-1.4000000000002899</v>
      </c>
      <c r="AA14" s="45">
        <f t="shared" si="19"/>
        <v>0.39999999999906799</v>
      </c>
      <c r="AB14" s="49">
        <v>8.3084000000000007</v>
      </c>
      <c r="AC14" s="43">
        <f t="shared" si="20"/>
        <v>-0.70000000000014495</v>
      </c>
      <c r="AD14" s="44">
        <f t="shared" si="21"/>
        <v>-2.0999999999986598</v>
      </c>
      <c r="AE14" s="45">
        <f t="shared" si="22"/>
        <v>-0.70000000000014495</v>
      </c>
      <c r="AF14" s="50">
        <v>79371</v>
      </c>
      <c r="AG14" s="58">
        <f t="shared" si="0"/>
        <v>46</v>
      </c>
      <c r="AH14" s="59"/>
      <c r="AI14" s="60"/>
      <c r="AJ14" s="52"/>
      <c r="AK14" s="52"/>
      <c r="AL14" s="52"/>
      <c r="AM14" s="52"/>
    </row>
    <row r="15" spans="1:39">
      <c r="A15" s="21">
        <v>44578</v>
      </c>
      <c r="B15" s="22">
        <v>792.27269999999999</v>
      </c>
      <c r="C15" s="27">
        <v>5.8190999999999997</v>
      </c>
      <c r="D15" s="23">
        <f t="shared" si="1"/>
        <v>798.09180000000003</v>
      </c>
      <c r="E15" s="24">
        <f t="shared" si="2"/>
        <v>-0.199999999949796</v>
      </c>
      <c r="F15" s="25">
        <f t="shared" si="3"/>
        <v>-2.2999999999910901</v>
      </c>
      <c r="G15" s="26">
        <f t="shared" si="4"/>
        <v>-0.199999999949796</v>
      </c>
      <c r="H15" s="6">
        <v>6.5835999999999997</v>
      </c>
      <c r="I15" s="35">
        <f t="shared" si="5"/>
        <v>798.85630000000003</v>
      </c>
      <c r="J15" s="24">
        <f t="shared" si="6"/>
        <v>-0.199999999949796</v>
      </c>
      <c r="K15" s="25">
        <f t="shared" si="7"/>
        <v>-2.1999999999024999</v>
      </c>
      <c r="L15" s="26">
        <f t="shared" si="8"/>
        <v>-0.199999999949796</v>
      </c>
      <c r="M15" s="6">
        <v>5.3932000000000002</v>
      </c>
      <c r="N15" s="35">
        <f t="shared" si="9"/>
        <v>797.66589999999997</v>
      </c>
      <c r="O15" s="24">
        <f t="shared" si="10"/>
        <v>0</v>
      </c>
      <c r="P15" s="25">
        <f t="shared" si="11"/>
        <v>-1.30000000001473</v>
      </c>
      <c r="Q15" s="26">
        <f t="shared" si="12"/>
        <v>0</v>
      </c>
      <c r="R15" s="41"/>
      <c r="S15" s="21">
        <f t="shared" si="13"/>
        <v>44578</v>
      </c>
      <c r="T15" s="42">
        <v>8.1190999999999995</v>
      </c>
      <c r="U15" s="43">
        <f t="shared" si="14"/>
        <v>-0.20000000000130999</v>
      </c>
      <c r="V15" s="44">
        <f t="shared" si="15"/>
        <v>-2.2999999999999701</v>
      </c>
      <c r="W15" s="45">
        <f t="shared" si="16"/>
        <v>0.20000000000130999</v>
      </c>
      <c r="X15" s="29">
        <v>12.010899999999999</v>
      </c>
      <c r="Y15" s="43">
        <f t="shared" si="17"/>
        <v>-0.799999999999912</v>
      </c>
      <c r="Z15" s="44">
        <f t="shared" si="18"/>
        <v>-2.2000000000002</v>
      </c>
      <c r="AA15" s="45">
        <f t="shared" si="19"/>
        <v>-0.799999999999912</v>
      </c>
      <c r="AB15" s="49">
        <v>8.3081999999999905</v>
      </c>
      <c r="AC15" s="43">
        <f t="shared" si="20"/>
        <v>-0.200000000010192</v>
      </c>
      <c r="AD15" s="44">
        <f t="shared" si="21"/>
        <v>-2.3000000000088501</v>
      </c>
      <c r="AE15" s="45">
        <f t="shared" si="22"/>
        <v>-0.200000000010192</v>
      </c>
      <c r="AF15" s="50">
        <v>79375</v>
      </c>
      <c r="AG15" s="58">
        <f t="shared" si="0"/>
        <v>50</v>
      </c>
      <c r="AH15" s="59"/>
      <c r="AI15" s="60"/>
      <c r="AJ15" s="52"/>
      <c r="AK15" s="52"/>
      <c r="AL15" s="52"/>
      <c r="AM15" s="52"/>
    </row>
    <row r="16" spans="1:39">
      <c r="A16" s="21">
        <v>44579</v>
      </c>
      <c r="B16" s="22">
        <v>792.27269999999999</v>
      </c>
      <c r="C16" s="27">
        <v>5.8194999999999997</v>
      </c>
      <c r="D16" s="23">
        <f t="shared" si="1"/>
        <v>798.09220000000005</v>
      </c>
      <c r="E16" s="24">
        <f t="shared" si="2"/>
        <v>0.39999999989959201</v>
      </c>
      <c r="F16" s="25">
        <f t="shared" si="3"/>
        <v>-1.9000000000915001</v>
      </c>
      <c r="G16" s="26">
        <f t="shared" si="4"/>
        <v>0.39999999989959201</v>
      </c>
      <c r="H16" s="6">
        <v>6.5842000000000001</v>
      </c>
      <c r="I16" s="35">
        <f t="shared" si="5"/>
        <v>798.8569</v>
      </c>
      <c r="J16" s="24">
        <f t="shared" si="6"/>
        <v>0.59999999996307496</v>
      </c>
      <c r="K16" s="25">
        <f t="shared" si="7"/>
        <v>-1.5999999999394301</v>
      </c>
      <c r="L16" s="26">
        <f t="shared" si="8"/>
        <v>0.59999999996307496</v>
      </c>
      <c r="M16" s="6">
        <v>5.3929999999999998</v>
      </c>
      <c r="N16" s="35">
        <f t="shared" si="9"/>
        <v>797.66570000000002</v>
      </c>
      <c r="O16" s="24">
        <f t="shared" si="10"/>
        <v>-0.199999999949796</v>
      </c>
      <c r="P16" s="25">
        <f t="shared" si="11"/>
        <v>-1.4999999999645299</v>
      </c>
      <c r="Q16" s="26">
        <f t="shared" si="12"/>
        <v>-0.199999999949796</v>
      </c>
      <c r="R16" s="41"/>
      <c r="S16" s="21">
        <f t="shared" si="13"/>
        <v>44579</v>
      </c>
      <c r="T16" s="42">
        <v>8.1189999999999998</v>
      </c>
      <c r="U16" s="43">
        <f t="shared" si="14"/>
        <v>-9.99999999997669E-2</v>
      </c>
      <c r="V16" s="44">
        <f t="shared" si="15"/>
        <v>-2.3999999999997401</v>
      </c>
      <c r="W16" s="45">
        <f t="shared" si="16"/>
        <v>9.99999999997669E-2</v>
      </c>
      <c r="X16" s="29">
        <v>12.010999999999999</v>
      </c>
      <c r="Y16" s="43">
        <f t="shared" si="17"/>
        <v>9.99999999997669E-2</v>
      </c>
      <c r="Z16" s="44">
        <f t="shared" si="18"/>
        <v>-2.10000000000043</v>
      </c>
      <c r="AA16" s="45">
        <f t="shared" si="19"/>
        <v>9.99999999997669E-2</v>
      </c>
      <c r="AB16" s="49">
        <v>8.3081999999999994</v>
      </c>
      <c r="AC16" s="43">
        <f t="shared" si="20"/>
        <v>8.8817841970012507E-12</v>
      </c>
      <c r="AD16" s="44">
        <f t="shared" si="21"/>
        <v>-2.2999999999999701</v>
      </c>
      <c r="AE16" s="45">
        <f t="shared" si="22"/>
        <v>8.8817841970012507E-12</v>
      </c>
      <c r="AF16" s="50">
        <v>79378</v>
      </c>
      <c r="AG16" s="58">
        <f t="shared" si="0"/>
        <v>53</v>
      </c>
      <c r="AH16" s="59"/>
      <c r="AI16" s="60"/>
      <c r="AJ16" s="52"/>
      <c r="AK16" s="52"/>
      <c r="AL16" s="52"/>
      <c r="AM16" s="52"/>
    </row>
    <row r="17" spans="1:39">
      <c r="A17" s="21">
        <v>44580</v>
      </c>
      <c r="B17" s="22">
        <v>792.27269999999999</v>
      </c>
      <c r="C17" s="27">
        <v>5.8193000000000001</v>
      </c>
      <c r="D17" s="23">
        <f t="shared" si="1"/>
        <v>798.09199999999998</v>
      </c>
      <c r="E17" s="24">
        <f t="shared" si="2"/>
        <v>-0.199999999949796</v>
      </c>
      <c r="F17" s="25">
        <f t="shared" si="3"/>
        <v>-2.1000000000412902</v>
      </c>
      <c r="G17" s="26">
        <f t="shared" si="4"/>
        <v>-0.199999999949796</v>
      </c>
      <c r="H17" s="6">
        <v>6.5831999999999997</v>
      </c>
      <c r="I17" s="35">
        <f t="shared" si="5"/>
        <v>798.85590000000002</v>
      </c>
      <c r="J17" s="24">
        <f t="shared" si="6"/>
        <v>-0.99999999997635303</v>
      </c>
      <c r="K17" s="25">
        <f t="shared" si="7"/>
        <v>-2.5999999999157799</v>
      </c>
      <c r="L17" s="26">
        <f t="shared" si="8"/>
        <v>-0.99999999997635303</v>
      </c>
      <c r="M17" s="6">
        <v>5.3930999999999996</v>
      </c>
      <c r="N17" s="35">
        <f t="shared" si="9"/>
        <v>797.66579999999999</v>
      </c>
      <c r="O17" s="24">
        <f t="shared" si="10"/>
        <v>9.9999999974897905E-2</v>
      </c>
      <c r="P17" s="25">
        <f t="shared" si="11"/>
        <v>-1.39999999998963</v>
      </c>
      <c r="Q17" s="26">
        <f t="shared" si="12"/>
        <v>9.9999999974897905E-2</v>
      </c>
      <c r="R17" s="41"/>
      <c r="S17" s="21">
        <f t="shared" si="13"/>
        <v>44580</v>
      </c>
      <c r="T17" s="42">
        <v>8.1187000000000005</v>
      </c>
      <c r="U17" s="43">
        <f t="shared" si="14"/>
        <v>-0.29999999999930099</v>
      </c>
      <c r="V17" s="44">
        <f t="shared" si="15"/>
        <v>-2.6999999999990401</v>
      </c>
      <c r="W17" s="45">
        <f t="shared" si="16"/>
        <v>0.29999999999930099</v>
      </c>
      <c r="X17" s="29">
        <v>12.0105</v>
      </c>
      <c r="Y17" s="43">
        <f t="shared" si="17"/>
        <v>-0.49999999999883499</v>
      </c>
      <c r="Z17" s="44">
        <f t="shared" si="18"/>
        <v>-2.59999999999927</v>
      </c>
      <c r="AA17" s="45">
        <f t="shared" si="19"/>
        <v>-0.49999999999883499</v>
      </c>
      <c r="AB17" s="49">
        <v>8.3077999999999896</v>
      </c>
      <c r="AC17" s="43">
        <f t="shared" si="20"/>
        <v>-0.40000000000972602</v>
      </c>
      <c r="AD17" s="44">
        <f t="shared" si="21"/>
        <v>-2.7000000000096902</v>
      </c>
      <c r="AE17" s="45">
        <f t="shared" si="22"/>
        <v>-0.40000000000972602</v>
      </c>
      <c r="AF17" s="50">
        <v>79383</v>
      </c>
      <c r="AG17" s="58">
        <f t="shared" si="0"/>
        <v>58</v>
      </c>
      <c r="AH17" s="59"/>
      <c r="AI17" s="52"/>
      <c r="AJ17" s="52"/>
      <c r="AK17" s="52"/>
      <c r="AL17" s="52"/>
      <c r="AM17" s="52"/>
    </row>
    <row r="18" spans="1:39">
      <c r="A18" s="21">
        <v>44581</v>
      </c>
      <c r="B18" s="22">
        <v>792.27269999999999</v>
      </c>
      <c r="C18" s="27">
        <v>5.8193999999999999</v>
      </c>
      <c r="D18" s="23">
        <f t="shared" si="1"/>
        <v>798.09209999999996</v>
      </c>
      <c r="E18" s="24">
        <f t="shared" si="2"/>
        <v>9.9999999974897905E-2</v>
      </c>
      <c r="F18" s="25">
        <f t="shared" si="3"/>
        <v>-2.00000000006639</v>
      </c>
      <c r="G18" s="26">
        <f t="shared" si="4"/>
        <v>9.9999999974897905E-2</v>
      </c>
      <c r="H18" s="6">
        <v>6.5830000000000002</v>
      </c>
      <c r="I18" s="35">
        <f t="shared" si="5"/>
        <v>798.85569999999996</v>
      </c>
      <c r="J18" s="24">
        <f t="shared" si="6"/>
        <v>-0.20000000006348301</v>
      </c>
      <c r="K18" s="25">
        <f t="shared" si="7"/>
        <v>-2.79999999997926</v>
      </c>
      <c r="L18" s="26">
        <f t="shared" si="8"/>
        <v>-0.20000000006348301</v>
      </c>
      <c r="M18" s="6">
        <v>5.3928000000000003</v>
      </c>
      <c r="N18" s="35">
        <f t="shared" si="9"/>
        <v>797.66549999999995</v>
      </c>
      <c r="O18" s="24">
        <f t="shared" si="10"/>
        <v>-0.30000000003838101</v>
      </c>
      <c r="P18" s="25">
        <f t="shared" si="11"/>
        <v>-1.70000000002801</v>
      </c>
      <c r="Q18" s="26">
        <f t="shared" si="12"/>
        <v>-0.30000000003838101</v>
      </c>
      <c r="R18" s="41"/>
      <c r="S18" s="21">
        <f t="shared" si="13"/>
        <v>44581</v>
      </c>
      <c r="T18" s="42">
        <v>8.1189999999999998</v>
      </c>
      <c r="U18" s="43">
        <f t="shared" si="14"/>
        <v>0.29999999999930099</v>
      </c>
      <c r="V18" s="44">
        <f t="shared" si="15"/>
        <v>-2.3999999999997401</v>
      </c>
      <c r="W18" s="45">
        <f t="shared" si="16"/>
        <v>-0.29999999999930099</v>
      </c>
      <c r="X18" s="29">
        <v>12.0106</v>
      </c>
      <c r="Y18" s="43">
        <f t="shared" si="17"/>
        <v>9.99999999997669E-2</v>
      </c>
      <c r="Z18" s="44">
        <f t="shared" si="18"/>
        <v>-2.4999999999995</v>
      </c>
      <c r="AA18" s="45">
        <f t="shared" si="19"/>
        <v>9.99999999997669E-2</v>
      </c>
      <c r="AB18" s="49">
        <v>8.3075999999999901</v>
      </c>
      <c r="AC18" s="43">
        <f t="shared" si="20"/>
        <v>-0.19999999999953399</v>
      </c>
      <c r="AD18" s="44">
        <f t="shared" si="21"/>
        <v>-2.9000000000092299</v>
      </c>
      <c r="AE18" s="45">
        <f t="shared" si="22"/>
        <v>-0.19999999999953399</v>
      </c>
      <c r="AF18" s="50">
        <v>79385</v>
      </c>
      <c r="AG18" s="58">
        <f t="shared" si="0"/>
        <v>60</v>
      </c>
      <c r="AH18" s="59"/>
      <c r="AI18" s="52"/>
      <c r="AJ18" s="52"/>
      <c r="AK18" s="52"/>
      <c r="AL18" s="52"/>
      <c r="AM18" s="52"/>
    </row>
    <row r="19" spans="1:39" s="67" customFormat="1">
      <c r="A19" s="21">
        <v>44582</v>
      </c>
      <c r="B19" s="22">
        <v>792.27269999999999</v>
      </c>
      <c r="C19" s="27">
        <v>5.8194999999999997</v>
      </c>
      <c r="D19" s="23">
        <f t="shared" ref="D19:D31" si="23">C19+B19</f>
        <v>798.09220000000005</v>
      </c>
      <c r="E19" s="24">
        <f t="shared" ref="E19:E22" si="24">(D19-D18)*1000</f>
        <v>9.9999999974897905E-2</v>
      </c>
      <c r="F19" s="25">
        <f t="shared" ref="F19:F22" si="25">F18+E19</f>
        <v>-1.9000000000915001</v>
      </c>
      <c r="G19" s="26">
        <f t="shared" ref="G19:G22" si="26">E19/(A19-A18)</f>
        <v>9.9999999974897905E-2</v>
      </c>
      <c r="H19" s="6">
        <v>6.5827999999999998</v>
      </c>
      <c r="I19" s="35">
        <f t="shared" ref="I19:I31" si="27">H19+B19</f>
        <v>798.85550000000001</v>
      </c>
      <c r="J19" s="24">
        <f t="shared" ref="J19:J22" si="28">(I19-I18)*1000</f>
        <v>-0.199999999949796</v>
      </c>
      <c r="K19" s="25">
        <f t="shared" ref="K19:K22" si="29">K18+J19</f>
        <v>-2.9999999999290599</v>
      </c>
      <c r="L19" s="26">
        <f t="shared" ref="L19:L22" si="30">J19/(A19-A18)</f>
        <v>-0.199999999949796</v>
      </c>
      <c r="M19" s="6">
        <v>5.3925000000000001</v>
      </c>
      <c r="N19" s="35">
        <f t="shared" ref="N19:N31" si="31">M19+B19</f>
        <v>797.66520000000003</v>
      </c>
      <c r="O19" s="24">
        <f t="shared" ref="O19:O22" si="32">(N19-N18)*1000</f>
        <v>-0.29999999992469401</v>
      </c>
      <c r="P19" s="25">
        <f t="shared" ref="P19:P22" si="33">P18+O19</f>
        <v>-1.9999999999527101</v>
      </c>
      <c r="Q19" s="26">
        <f t="shared" ref="Q19:Q22" si="34">O19/(A19-A18)</f>
        <v>-0.29999999992469401</v>
      </c>
      <c r="R19" s="41"/>
      <c r="S19" s="21">
        <f t="shared" ref="S19:S31" si="35">A19</f>
        <v>44582</v>
      </c>
      <c r="T19" s="42">
        <v>8.1193000000000008</v>
      </c>
      <c r="U19" s="43">
        <f t="shared" ref="U19:U22" si="36">(T19-T18)*1000</f>
        <v>0.30000000000107702</v>
      </c>
      <c r="V19" s="44">
        <f t="shared" ref="V19:V22" si="37">V18+U19</f>
        <v>-2.0999999999986598</v>
      </c>
      <c r="W19" s="45">
        <f t="shared" ref="W19:W22" si="38">U19/(S18-S19)</f>
        <v>-0.30000000000107702</v>
      </c>
      <c r="X19" s="29">
        <v>12.010400000000001</v>
      </c>
      <c r="Y19" s="43">
        <f t="shared" ref="Y19:Y22" si="39">(X19-X18)*1000</f>
        <v>-0.19999999999953399</v>
      </c>
      <c r="Z19" s="44">
        <f t="shared" ref="Z19:Z22" si="40">Z18+Y19</f>
        <v>-2.6999999999990401</v>
      </c>
      <c r="AA19" s="45">
        <f t="shared" ref="AA19:AA22" si="41">Y19/(S19-S18)</f>
        <v>-0.19999999999953399</v>
      </c>
      <c r="AB19" s="49">
        <v>8.3073999999999906</v>
      </c>
      <c r="AC19" s="43">
        <f t="shared" ref="AC19:AC22" si="42">(AB19-AB18)*1000</f>
        <v>-0.19999999999953399</v>
      </c>
      <c r="AD19" s="44">
        <f t="shared" ref="AD19:AD22" si="43">AD18+AC19</f>
        <v>-3.1000000000087602</v>
      </c>
      <c r="AE19" s="45">
        <f t="shared" ref="AE19:AE22" si="44">AC19/(S19-S18)</f>
        <v>-0.19999999999953399</v>
      </c>
      <c r="AF19" s="50">
        <v>79385</v>
      </c>
      <c r="AG19" s="58">
        <f t="shared" ref="AG19:AG31" si="45">AF19-79325</f>
        <v>60</v>
      </c>
      <c r="AH19" s="59"/>
      <c r="AI19" s="60"/>
    </row>
    <row r="20" spans="1:39">
      <c r="A20" s="21">
        <v>44583</v>
      </c>
      <c r="B20" s="22">
        <v>792.27269999999999</v>
      </c>
      <c r="C20" s="27">
        <v>5.8193999999999999</v>
      </c>
      <c r="D20" s="23">
        <f t="shared" si="23"/>
        <v>798.09209999999996</v>
      </c>
      <c r="E20" s="24">
        <f t="shared" si="24"/>
        <v>-9.9999999974897905E-2</v>
      </c>
      <c r="F20" s="25">
        <f t="shared" si="25"/>
        <v>-2.00000000006639</v>
      </c>
      <c r="G20" s="26">
        <f t="shared" si="26"/>
        <v>-9.9999999974897905E-2</v>
      </c>
      <c r="H20" s="6">
        <v>6.5824999999999996</v>
      </c>
      <c r="I20" s="35">
        <f t="shared" si="27"/>
        <v>798.85519999999997</v>
      </c>
      <c r="J20" s="24">
        <f t="shared" si="28"/>
        <v>-0.30000000003838101</v>
      </c>
      <c r="K20" s="25">
        <f t="shared" si="29"/>
        <v>-3.2999999999674401</v>
      </c>
      <c r="L20" s="26">
        <f t="shared" si="30"/>
        <v>-0.30000000003838101</v>
      </c>
      <c r="M20" s="6">
        <v>5.3921999999999999</v>
      </c>
      <c r="N20" s="35">
        <f t="shared" si="31"/>
        <v>797.66489999999999</v>
      </c>
      <c r="O20" s="24">
        <f t="shared" si="32"/>
        <v>-0.30000000003838101</v>
      </c>
      <c r="P20" s="25">
        <f t="shared" si="33"/>
        <v>-2.2999999999910901</v>
      </c>
      <c r="Q20" s="26">
        <f t="shared" si="34"/>
        <v>-0.30000000003838101</v>
      </c>
      <c r="R20" s="41"/>
      <c r="S20" s="21">
        <f t="shared" si="35"/>
        <v>44583</v>
      </c>
      <c r="T20" s="42">
        <v>8.1196000000000002</v>
      </c>
      <c r="U20" s="43">
        <f t="shared" si="36"/>
        <v>0.29999999999930099</v>
      </c>
      <c r="V20" s="44">
        <f t="shared" si="37"/>
        <v>-1.7999999999993599</v>
      </c>
      <c r="W20" s="45">
        <f t="shared" si="38"/>
        <v>-0.29999999999930099</v>
      </c>
      <c r="X20" s="29">
        <v>12.010199999999999</v>
      </c>
      <c r="Y20" s="43">
        <f t="shared" si="39"/>
        <v>-0.20000000000130999</v>
      </c>
      <c r="Z20" s="44">
        <f t="shared" si="40"/>
        <v>-2.9000000000003499</v>
      </c>
      <c r="AA20" s="45">
        <f t="shared" si="41"/>
        <v>-0.20000000000130999</v>
      </c>
      <c r="AB20" s="49">
        <v>8.3074999999999992</v>
      </c>
      <c r="AC20" s="43">
        <f t="shared" si="42"/>
        <v>0.100000000008649</v>
      </c>
      <c r="AD20" s="44">
        <f t="shared" si="43"/>
        <v>-3.0000000000001101</v>
      </c>
      <c r="AE20" s="45">
        <f t="shared" si="44"/>
        <v>0.100000000008649</v>
      </c>
      <c r="AF20" s="50">
        <v>79385</v>
      </c>
      <c r="AG20" s="58">
        <f t="shared" si="45"/>
        <v>60</v>
      </c>
      <c r="AH20" s="59"/>
      <c r="AI20" s="52"/>
      <c r="AJ20" s="52"/>
      <c r="AK20" s="52"/>
      <c r="AL20" s="52"/>
      <c r="AM20" s="52"/>
    </row>
    <row r="21" spans="1:39">
      <c r="A21" s="21">
        <v>44585</v>
      </c>
      <c r="B21" s="22">
        <v>792.27269999999999</v>
      </c>
      <c r="C21" s="27">
        <v>5.8192000000000004</v>
      </c>
      <c r="D21" s="23">
        <f t="shared" si="23"/>
        <v>798.09190000000001</v>
      </c>
      <c r="E21" s="24">
        <f t="shared" si="24"/>
        <v>-0.199999999949796</v>
      </c>
      <c r="F21" s="25">
        <f t="shared" si="25"/>
        <v>-2.2000000000161899</v>
      </c>
      <c r="G21" s="26">
        <f t="shared" si="26"/>
        <v>-9.9999999974897905E-2</v>
      </c>
      <c r="H21" s="6">
        <v>6.5823999999999998</v>
      </c>
      <c r="I21" s="35">
        <f t="shared" si="27"/>
        <v>798.85509999999999</v>
      </c>
      <c r="J21" s="24">
        <f t="shared" si="28"/>
        <v>-9.9999999974897905E-2</v>
      </c>
      <c r="K21" s="25">
        <f t="shared" si="29"/>
        <v>-3.3999999999423398</v>
      </c>
      <c r="L21" s="26">
        <f t="shared" si="30"/>
        <v>-4.9999999987449001E-2</v>
      </c>
      <c r="M21" s="6">
        <v>5.3924000000000003</v>
      </c>
      <c r="N21" s="35">
        <f t="shared" si="31"/>
        <v>797.66510000000005</v>
      </c>
      <c r="O21" s="24">
        <f t="shared" si="32"/>
        <v>0.199999999949796</v>
      </c>
      <c r="P21" s="25">
        <f t="shared" si="33"/>
        <v>-2.1000000000412902</v>
      </c>
      <c r="Q21" s="26">
        <f t="shared" si="34"/>
        <v>9.9999999974897905E-2</v>
      </c>
      <c r="R21" s="41"/>
      <c r="S21" s="21">
        <f t="shared" si="35"/>
        <v>44585</v>
      </c>
      <c r="T21" s="42">
        <v>8.1194000000000006</v>
      </c>
      <c r="U21" s="43">
        <f t="shared" si="36"/>
        <v>-0.19999999999953399</v>
      </c>
      <c r="V21" s="44">
        <f t="shared" si="37"/>
        <v>-1.99999999999889</v>
      </c>
      <c r="W21" s="45">
        <f t="shared" si="38"/>
        <v>9.99999999997669E-2</v>
      </c>
      <c r="X21" s="29">
        <v>12.010400000000001</v>
      </c>
      <c r="Y21" s="43">
        <f t="shared" si="39"/>
        <v>0.20000000000130999</v>
      </c>
      <c r="Z21" s="44">
        <f t="shared" si="40"/>
        <v>-2.6999999999990401</v>
      </c>
      <c r="AA21" s="45">
        <f t="shared" si="41"/>
        <v>0.100000000000655</v>
      </c>
      <c r="AB21" s="49">
        <v>8.3069999999999897</v>
      </c>
      <c r="AC21" s="43">
        <f t="shared" si="42"/>
        <v>-0.50000000000949296</v>
      </c>
      <c r="AD21" s="44">
        <f t="shared" si="43"/>
        <v>-3.5000000000096101</v>
      </c>
      <c r="AE21" s="45">
        <f t="shared" si="44"/>
        <v>-0.25000000000474598</v>
      </c>
      <c r="AF21" s="50">
        <v>79385</v>
      </c>
      <c r="AG21" s="58">
        <f t="shared" si="45"/>
        <v>60</v>
      </c>
      <c r="AH21" s="59"/>
      <c r="AI21" s="52"/>
      <c r="AJ21" s="52"/>
      <c r="AK21" s="52"/>
      <c r="AL21" s="52"/>
      <c r="AM21" s="52"/>
    </row>
    <row r="22" spans="1:39">
      <c r="A22" s="21">
        <v>44587</v>
      </c>
      <c r="B22" s="22">
        <v>792.27269999999999</v>
      </c>
      <c r="C22" s="27">
        <v>5.8190999999999997</v>
      </c>
      <c r="D22" s="23">
        <f t="shared" si="23"/>
        <v>798.09180000000003</v>
      </c>
      <c r="E22" s="24">
        <f t="shared" si="24"/>
        <v>-9.9999999974897905E-2</v>
      </c>
      <c r="F22" s="25">
        <f t="shared" si="25"/>
        <v>-2.2999999999910901</v>
      </c>
      <c r="G22" s="26">
        <f t="shared" si="26"/>
        <v>-4.9999999987449001E-2</v>
      </c>
      <c r="H22" s="6">
        <v>6.5822000000000003</v>
      </c>
      <c r="I22" s="35">
        <f t="shared" si="27"/>
        <v>798.85490000000004</v>
      </c>
      <c r="J22" s="24">
        <f t="shared" si="28"/>
        <v>-0.199999999949796</v>
      </c>
      <c r="K22" s="25">
        <f t="shared" si="29"/>
        <v>-3.5999999998921299</v>
      </c>
      <c r="L22" s="26">
        <f t="shared" si="30"/>
        <v>-9.9999999974897905E-2</v>
      </c>
      <c r="M22" s="6">
        <v>5.3916000000000004</v>
      </c>
      <c r="N22" s="35">
        <f t="shared" si="31"/>
        <v>797.66430000000003</v>
      </c>
      <c r="O22" s="24">
        <f t="shared" si="32"/>
        <v>-0.79999999991286996</v>
      </c>
      <c r="P22" s="25">
        <f t="shared" si="33"/>
        <v>-2.8999999999541601</v>
      </c>
      <c r="Q22" s="26">
        <f t="shared" si="34"/>
        <v>-0.39999999995643498</v>
      </c>
      <c r="R22" s="41"/>
      <c r="S22" s="21">
        <f t="shared" si="35"/>
        <v>44587</v>
      </c>
      <c r="T22" s="42">
        <v>8.1193000000000008</v>
      </c>
      <c r="U22" s="43">
        <f t="shared" si="36"/>
        <v>-9.99999999997669E-2</v>
      </c>
      <c r="V22" s="44">
        <f t="shared" si="37"/>
        <v>-2.0999999999986598</v>
      </c>
      <c r="W22" s="45">
        <f t="shared" si="38"/>
        <v>4.9999999999883499E-2</v>
      </c>
      <c r="X22" s="29">
        <v>12.0098</v>
      </c>
      <c r="Y22" s="43">
        <f t="shared" si="39"/>
        <v>-0.60000000000037801</v>
      </c>
      <c r="Z22" s="44">
        <f t="shared" si="40"/>
        <v>-3.2999999999994101</v>
      </c>
      <c r="AA22" s="45">
        <f t="shared" si="41"/>
        <v>-0.300000000000189</v>
      </c>
      <c r="AB22" s="49">
        <v>8.3067999999999902</v>
      </c>
      <c r="AC22" s="43">
        <f t="shared" si="42"/>
        <v>-0.19999999999953399</v>
      </c>
      <c r="AD22" s="44">
        <f t="shared" si="43"/>
        <v>-3.70000000000914</v>
      </c>
      <c r="AE22" s="45">
        <f t="shared" si="44"/>
        <v>-9.99999999997669E-2</v>
      </c>
      <c r="AF22" s="50">
        <v>79385</v>
      </c>
      <c r="AG22" s="58">
        <f t="shared" si="45"/>
        <v>60</v>
      </c>
      <c r="AH22" s="59"/>
      <c r="AI22" s="52"/>
      <c r="AJ22" s="52"/>
      <c r="AK22" s="52"/>
      <c r="AL22" s="52"/>
      <c r="AM22" s="52"/>
    </row>
    <row r="23" spans="1:39">
      <c r="A23" s="21">
        <v>44597</v>
      </c>
      <c r="B23" s="22">
        <v>792.27269999999999</v>
      </c>
      <c r="C23" s="27">
        <v>5.8189000000000002</v>
      </c>
      <c r="D23" s="23">
        <f t="shared" si="23"/>
        <v>798.09159999999997</v>
      </c>
      <c r="E23" s="24">
        <f t="shared" ref="E23:E27" si="46">(D23-D22)*1000</f>
        <v>-0.20000000006348301</v>
      </c>
      <c r="F23" s="25">
        <f t="shared" ref="F23:F27" si="47">F22+E23</f>
        <v>-2.5000000000545701</v>
      </c>
      <c r="G23" s="26">
        <f t="shared" ref="G23:G27" si="48">E23/(A23-A22)</f>
        <v>-2.0000000006348301E-2</v>
      </c>
      <c r="H23" s="6">
        <v>6.5819999999999999</v>
      </c>
      <c r="I23" s="35">
        <f t="shared" si="27"/>
        <v>798.85469999999998</v>
      </c>
      <c r="J23" s="24">
        <f t="shared" ref="J23:J27" si="49">(I23-I22)*1000</f>
        <v>-0.20000000006348301</v>
      </c>
      <c r="K23" s="25">
        <f t="shared" ref="K23:K27" si="50">K22+J23</f>
        <v>-3.7999999999556202</v>
      </c>
      <c r="L23" s="26">
        <f t="shared" ref="L23:L27" si="51">J23/(A23-A22)</f>
        <v>-2.0000000006348301E-2</v>
      </c>
      <c r="M23" s="6">
        <v>5.3914</v>
      </c>
      <c r="N23" s="35">
        <f t="shared" si="31"/>
        <v>797.66409999999996</v>
      </c>
      <c r="O23" s="24">
        <f t="shared" ref="O23:O27" si="52">(N23-N22)*1000</f>
        <v>-0.20000000006348301</v>
      </c>
      <c r="P23" s="25">
        <f t="shared" ref="P23:P27" si="53">P22+O23</f>
        <v>-3.1000000000176402</v>
      </c>
      <c r="Q23" s="26">
        <f t="shared" ref="Q23:Q27" si="54">O23/(A23-A22)</f>
        <v>-2.0000000006348301E-2</v>
      </c>
      <c r="R23" s="41"/>
      <c r="S23" s="21">
        <f t="shared" si="35"/>
        <v>44597</v>
      </c>
      <c r="T23" s="42">
        <v>8.1191999999999993</v>
      </c>
      <c r="U23" s="43">
        <f t="shared" ref="U23:U27" si="55">(T23-T22)*1000</f>
        <v>-0.10000000000154299</v>
      </c>
      <c r="V23" s="44">
        <f t="shared" ref="V23:V27" si="56">V22+U23</f>
        <v>-2.2000000000002</v>
      </c>
      <c r="W23" s="45">
        <f t="shared" ref="W23:W27" si="57">U23/(S22-S23)</f>
        <v>1.00000000001543E-2</v>
      </c>
      <c r="X23" s="29">
        <v>12.009499999999999</v>
      </c>
      <c r="Y23" s="43">
        <f t="shared" ref="Y23:Y27" si="58">(X23-X22)*1000</f>
        <v>-0.30000000000107702</v>
      </c>
      <c r="Z23" s="44">
        <f t="shared" ref="Z23:Z27" si="59">Z22+Y23</f>
        <v>-3.6000000000004899</v>
      </c>
      <c r="AA23" s="45">
        <f t="shared" ref="AA23:AA27" si="60">Y23/(S23-S22)</f>
        <v>-3.0000000000107701E-2</v>
      </c>
      <c r="AB23" s="49">
        <v>8.3064999999999998</v>
      </c>
      <c r="AC23" s="43">
        <f t="shared" ref="AC23:AC27" si="61">(AB23-AB22)*1000</f>
        <v>-0.29999999999041899</v>
      </c>
      <c r="AD23" s="44">
        <f t="shared" ref="AD23:AD27" si="62">AD22+AC23</f>
        <v>-3.9999999999995599</v>
      </c>
      <c r="AE23" s="45">
        <f t="shared" ref="AE23:AE27" si="63">AC23/(S23-S22)</f>
        <v>-2.9999999999041901E-2</v>
      </c>
      <c r="AF23" s="50">
        <v>79385</v>
      </c>
      <c r="AG23" s="58">
        <f t="shared" si="45"/>
        <v>60</v>
      </c>
      <c r="AH23" s="59"/>
      <c r="AI23" s="52"/>
      <c r="AJ23" s="52"/>
      <c r="AK23" s="52"/>
      <c r="AL23" s="52"/>
      <c r="AM23" s="52"/>
    </row>
    <row r="24" spans="1:39">
      <c r="A24" s="21">
        <v>44602</v>
      </c>
      <c r="B24" s="22">
        <v>792.27269999999999</v>
      </c>
      <c r="C24" s="27">
        <v>5.8188000000000004</v>
      </c>
      <c r="D24" s="23">
        <f t="shared" si="23"/>
        <v>798.0915</v>
      </c>
      <c r="E24" s="24">
        <f t="shared" si="46"/>
        <v>-9.9999999974897905E-2</v>
      </c>
      <c r="F24" s="25">
        <f t="shared" si="47"/>
        <v>-2.6000000000294698</v>
      </c>
      <c r="G24" s="26">
        <f t="shared" si="48"/>
        <v>-1.99999999949796E-2</v>
      </c>
      <c r="H24" s="6">
        <v>6.5823999999999998</v>
      </c>
      <c r="I24" s="35">
        <f t="shared" si="27"/>
        <v>798.85509999999999</v>
      </c>
      <c r="J24" s="24">
        <f t="shared" si="49"/>
        <v>0.40000000001327901</v>
      </c>
      <c r="K24" s="25">
        <f t="shared" si="50"/>
        <v>-3.3999999999423398</v>
      </c>
      <c r="L24" s="26">
        <f t="shared" si="51"/>
        <v>8.0000000002655697E-2</v>
      </c>
      <c r="M24" s="6">
        <v>5.3913000000000002</v>
      </c>
      <c r="N24" s="35">
        <f t="shared" si="31"/>
        <v>797.66399999999999</v>
      </c>
      <c r="O24" s="24">
        <f t="shared" si="52"/>
        <v>-9.9999999974897905E-2</v>
      </c>
      <c r="P24" s="25">
        <f t="shared" si="53"/>
        <v>-3.1999999999925399</v>
      </c>
      <c r="Q24" s="26">
        <f t="shared" si="54"/>
        <v>-1.99999999949796E-2</v>
      </c>
      <c r="S24" s="21">
        <f t="shared" si="35"/>
        <v>44602</v>
      </c>
      <c r="T24" s="42">
        <v>8.1190000000000104</v>
      </c>
      <c r="U24" s="43">
        <f t="shared" si="55"/>
        <v>-0.19999999998887599</v>
      </c>
      <c r="V24" s="44">
        <f t="shared" si="56"/>
        <v>-2.3999999999890802</v>
      </c>
      <c r="W24" s="45">
        <f t="shared" si="57"/>
        <v>3.99999999977751E-2</v>
      </c>
      <c r="X24" s="29">
        <v>12.009600000000001</v>
      </c>
      <c r="Y24" s="43">
        <f t="shared" si="58"/>
        <v>0.10000000000154299</v>
      </c>
      <c r="Z24" s="44">
        <f t="shared" si="59"/>
        <v>-3.4999999999989502</v>
      </c>
      <c r="AA24" s="45">
        <f t="shared" si="60"/>
        <v>2.0000000000308701E-2</v>
      </c>
      <c r="AB24" s="49">
        <v>8.3065999999999907</v>
      </c>
      <c r="AC24" s="43">
        <f t="shared" si="61"/>
        <v>9.9999999990885199E-2</v>
      </c>
      <c r="AD24" s="44">
        <f t="shared" si="62"/>
        <v>-3.9000000000086699</v>
      </c>
      <c r="AE24" s="45">
        <f t="shared" si="63"/>
        <v>1.9999999998177E-2</v>
      </c>
      <c r="AF24" s="50">
        <v>79385</v>
      </c>
      <c r="AG24" s="58">
        <f t="shared" si="45"/>
        <v>60</v>
      </c>
      <c r="AH24" s="59"/>
      <c r="AI24" s="52"/>
      <c r="AJ24" s="52"/>
      <c r="AK24" s="52"/>
      <c r="AL24" s="52"/>
      <c r="AM24" s="52"/>
    </row>
    <row r="25" spans="1:39">
      <c r="A25" s="21">
        <v>44604</v>
      </c>
      <c r="B25" s="22">
        <v>792.27269999999999</v>
      </c>
      <c r="C25" s="27">
        <v>5.8186</v>
      </c>
      <c r="D25" s="23">
        <f t="shared" si="23"/>
        <v>798.09130000000005</v>
      </c>
      <c r="E25" s="24">
        <f t="shared" si="46"/>
        <v>-0.20000000006348301</v>
      </c>
      <c r="F25" s="25">
        <f t="shared" si="47"/>
        <v>-2.8000000000929499</v>
      </c>
      <c r="G25" s="26">
        <f t="shared" si="48"/>
        <v>-0.100000000031741</v>
      </c>
      <c r="H25" s="6">
        <v>6.5818000000000003</v>
      </c>
      <c r="I25" s="35">
        <f t="shared" si="27"/>
        <v>798.85450000000003</v>
      </c>
      <c r="J25" s="24">
        <f t="shared" si="49"/>
        <v>-0.59999999996307496</v>
      </c>
      <c r="K25" s="25">
        <f t="shared" si="50"/>
        <v>-3.9999999999054099</v>
      </c>
      <c r="L25" s="26">
        <f t="shared" si="51"/>
        <v>-0.29999999998153698</v>
      </c>
      <c r="M25" s="6">
        <v>5.3914999999999997</v>
      </c>
      <c r="N25" s="35">
        <f t="shared" si="31"/>
        <v>797.66420000000005</v>
      </c>
      <c r="O25" s="24">
        <f t="shared" si="52"/>
        <v>0.199999999949796</v>
      </c>
      <c r="P25" s="25">
        <f t="shared" si="53"/>
        <v>-3.0000000000427498</v>
      </c>
      <c r="Q25" s="26">
        <f t="shared" si="54"/>
        <v>9.9999999974897905E-2</v>
      </c>
      <c r="S25" s="21">
        <f t="shared" si="35"/>
        <v>44604</v>
      </c>
      <c r="T25" s="42">
        <v>8.1190999999999995</v>
      </c>
      <c r="U25" s="43">
        <f t="shared" si="55"/>
        <v>9.9999999989108801E-2</v>
      </c>
      <c r="V25" s="44">
        <f t="shared" si="56"/>
        <v>-2.2999999999999701</v>
      </c>
      <c r="W25" s="45">
        <f t="shared" si="57"/>
        <v>-4.99999999945544E-2</v>
      </c>
      <c r="X25" s="29">
        <v>12.009399999999999</v>
      </c>
      <c r="Y25" s="43">
        <f t="shared" si="58"/>
        <v>-0.20000000000130999</v>
      </c>
      <c r="Z25" s="44">
        <f t="shared" si="59"/>
        <v>-3.70000000000026</v>
      </c>
      <c r="AA25" s="45">
        <f t="shared" si="60"/>
        <v>-0.100000000000655</v>
      </c>
      <c r="AB25" s="49">
        <v>8.3064</v>
      </c>
      <c r="AC25" s="43">
        <f t="shared" si="61"/>
        <v>-0.19999999999065199</v>
      </c>
      <c r="AD25" s="44">
        <f t="shared" si="62"/>
        <v>-4.09999999999933</v>
      </c>
      <c r="AE25" s="45">
        <f t="shared" si="63"/>
        <v>-9.9999999995325994E-2</v>
      </c>
      <c r="AF25" s="50">
        <v>79385</v>
      </c>
      <c r="AG25" s="58">
        <f t="shared" si="45"/>
        <v>60</v>
      </c>
      <c r="AH25" s="59"/>
      <c r="AI25" s="52"/>
      <c r="AJ25" s="52"/>
      <c r="AK25" s="52"/>
      <c r="AL25" s="52"/>
      <c r="AM25" s="52"/>
    </row>
    <row r="26" spans="1:39">
      <c r="A26" s="21">
        <v>44606</v>
      </c>
      <c r="B26" s="22">
        <v>792.27269999999999</v>
      </c>
      <c r="C26" s="27">
        <v>5.8182999999999998</v>
      </c>
      <c r="D26" s="23">
        <f t="shared" si="23"/>
        <v>798.09100000000001</v>
      </c>
      <c r="E26" s="24">
        <f t="shared" si="46"/>
        <v>-0.29999999992469401</v>
      </c>
      <c r="F26" s="25">
        <f t="shared" si="47"/>
        <v>-3.1000000000176402</v>
      </c>
      <c r="G26" s="26">
        <f t="shared" si="48"/>
        <v>-0.149999999962347</v>
      </c>
      <c r="H26" s="6">
        <v>6.5815999999999999</v>
      </c>
      <c r="I26" s="35">
        <f t="shared" si="27"/>
        <v>798.85429999999997</v>
      </c>
      <c r="J26" s="24">
        <f t="shared" si="49"/>
        <v>-0.20000000006348301</v>
      </c>
      <c r="K26" s="25">
        <f t="shared" si="50"/>
        <v>-4.1999999999688997</v>
      </c>
      <c r="L26" s="26">
        <f t="shared" si="51"/>
        <v>-0.100000000031741</v>
      </c>
      <c r="M26" s="6">
        <v>5.3907000000000096</v>
      </c>
      <c r="N26" s="35">
        <f t="shared" si="31"/>
        <v>797.66340000000002</v>
      </c>
      <c r="O26" s="24">
        <f t="shared" si="52"/>
        <v>-0.79999999991286996</v>
      </c>
      <c r="P26" s="25">
        <f t="shared" si="53"/>
        <v>-3.7999999999556202</v>
      </c>
      <c r="Q26" s="26">
        <f t="shared" si="54"/>
        <v>-0.39999999995643498</v>
      </c>
      <c r="R26" s="41"/>
      <c r="S26" s="21">
        <f t="shared" si="35"/>
        <v>44606</v>
      </c>
      <c r="T26" s="42">
        <v>8.1186000000000096</v>
      </c>
      <c r="U26" s="43">
        <f t="shared" si="55"/>
        <v>-0.49999999998995298</v>
      </c>
      <c r="V26" s="44">
        <f t="shared" si="56"/>
        <v>-2.7999999999899199</v>
      </c>
      <c r="W26" s="45">
        <f t="shared" si="57"/>
        <v>0.24999999999497599</v>
      </c>
      <c r="X26" s="29">
        <v>12.009499999999999</v>
      </c>
      <c r="Y26" s="43">
        <f t="shared" si="58"/>
        <v>9.99999999997669E-2</v>
      </c>
      <c r="Z26" s="44">
        <f t="shared" si="59"/>
        <v>-3.6000000000004899</v>
      </c>
      <c r="AA26" s="45">
        <f t="shared" si="60"/>
        <v>4.9999999999883499E-2</v>
      </c>
      <c r="AB26" s="49">
        <v>8.3064999999999998</v>
      </c>
      <c r="AC26" s="43">
        <f t="shared" si="61"/>
        <v>9.99999999997669E-2</v>
      </c>
      <c r="AD26" s="44">
        <f t="shared" si="62"/>
        <v>-3.9999999999995599</v>
      </c>
      <c r="AE26" s="45">
        <f t="shared" si="63"/>
        <v>4.9999999999883499E-2</v>
      </c>
      <c r="AF26" s="50">
        <v>79385</v>
      </c>
      <c r="AG26" s="58">
        <f t="shared" si="45"/>
        <v>60</v>
      </c>
      <c r="AH26" s="59"/>
      <c r="AI26" s="52"/>
      <c r="AJ26" s="52"/>
      <c r="AK26" s="52"/>
      <c r="AL26" s="52"/>
      <c r="AM26" s="52"/>
    </row>
    <row r="27" spans="1:39">
      <c r="A27" s="21">
        <v>44608</v>
      </c>
      <c r="B27" s="22">
        <v>792.27269999999999</v>
      </c>
      <c r="C27" s="27">
        <v>5.8182</v>
      </c>
      <c r="D27" s="23">
        <f t="shared" si="23"/>
        <v>798.09090000000003</v>
      </c>
      <c r="E27" s="24">
        <f t="shared" si="46"/>
        <v>-9.9999999974897905E-2</v>
      </c>
      <c r="F27" s="25">
        <f t="shared" si="47"/>
        <v>-3.1999999999925399</v>
      </c>
      <c r="G27" s="26">
        <f t="shared" si="48"/>
        <v>-4.9999999987449001E-2</v>
      </c>
      <c r="H27" s="6">
        <v>6.5814000000000004</v>
      </c>
      <c r="I27" s="35">
        <f t="shared" si="27"/>
        <v>798.85410000000002</v>
      </c>
      <c r="J27" s="24">
        <f t="shared" si="49"/>
        <v>-0.199999999949796</v>
      </c>
      <c r="K27" s="25">
        <f t="shared" si="50"/>
        <v>-4.3999999999186903</v>
      </c>
      <c r="L27" s="26">
        <f t="shared" si="51"/>
        <v>-9.9999999974897905E-2</v>
      </c>
      <c r="M27" s="6">
        <v>5.3906000000000001</v>
      </c>
      <c r="N27" s="35">
        <f t="shared" si="31"/>
        <v>797.66330000000005</v>
      </c>
      <c r="O27" s="24">
        <f t="shared" si="52"/>
        <v>-0.10000000008858501</v>
      </c>
      <c r="P27" s="25">
        <f t="shared" si="53"/>
        <v>-3.9000000000442001</v>
      </c>
      <c r="Q27" s="26">
        <f t="shared" si="54"/>
        <v>-5.0000000044292399E-2</v>
      </c>
      <c r="R27" s="41"/>
      <c r="S27" s="21">
        <f t="shared" si="35"/>
        <v>44608</v>
      </c>
      <c r="T27" s="42">
        <v>8.1184000000000101</v>
      </c>
      <c r="U27" s="43">
        <f t="shared" si="55"/>
        <v>-0.19999999999953399</v>
      </c>
      <c r="V27" s="44">
        <f t="shared" si="56"/>
        <v>-2.99999999998946</v>
      </c>
      <c r="W27" s="45">
        <f t="shared" si="57"/>
        <v>9.99999999997669E-2</v>
      </c>
      <c r="X27" s="29">
        <v>12.009</v>
      </c>
      <c r="Y27" s="43">
        <f t="shared" si="58"/>
        <v>-0.49999999999883499</v>
      </c>
      <c r="Z27" s="44">
        <f t="shared" si="59"/>
        <v>-4.09999999999933</v>
      </c>
      <c r="AA27" s="45">
        <f t="shared" si="60"/>
        <v>-0.24999999999941699</v>
      </c>
      <c r="AB27" s="49">
        <v>8.3059999999999903</v>
      </c>
      <c r="AC27" s="43">
        <f t="shared" si="61"/>
        <v>-0.50000000000949296</v>
      </c>
      <c r="AD27" s="44">
        <f t="shared" si="62"/>
        <v>-4.5000000000090496</v>
      </c>
      <c r="AE27" s="45">
        <f t="shared" si="63"/>
        <v>-0.25000000000474598</v>
      </c>
      <c r="AF27" s="50">
        <v>79393</v>
      </c>
      <c r="AG27" s="58">
        <f t="shared" si="45"/>
        <v>68</v>
      </c>
      <c r="AH27" s="59"/>
      <c r="AI27" s="60"/>
      <c r="AJ27" s="61"/>
      <c r="AK27" s="62"/>
      <c r="AL27" s="60"/>
      <c r="AM27" s="64"/>
    </row>
    <row r="28" spans="1:39">
      <c r="A28" s="21">
        <v>44610</v>
      </c>
      <c r="B28" s="22">
        <v>792.27269999999999</v>
      </c>
      <c r="C28" s="27">
        <v>5.8181000000000003</v>
      </c>
      <c r="D28" s="23">
        <f t="shared" si="23"/>
        <v>798.09079999999994</v>
      </c>
      <c r="E28" s="24">
        <f t="shared" ref="E28:E29" si="64">(D28-D27)*1000</f>
        <v>-0.10000000008858501</v>
      </c>
      <c r="F28" s="25">
        <f t="shared" ref="F28:F29" si="65">F27+E28</f>
        <v>-3.30000000008113</v>
      </c>
      <c r="G28" s="26">
        <f t="shared" ref="G28:G29" si="66">E28/(A28-A27)</f>
        <v>-5.0000000044292399E-2</v>
      </c>
      <c r="H28" s="6">
        <v>6.5816999999999997</v>
      </c>
      <c r="I28" s="35">
        <f t="shared" si="27"/>
        <v>798.85440000000006</v>
      </c>
      <c r="J28" s="24">
        <f t="shared" ref="J28:J29" si="67">(I28-I27)*1000</f>
        <v>0.29999999992469401</v>
      </c>
      <c r="K28" s="25">
        <f t="shared" ref="K28:K29" si="68">K27+J28</f>
        <v>-4.099999999994</v>
      </c>
      <c r="L28" s="26">
        <f t="shared" ref="L28:L29" si="69">J28/(A28-A27)</f>
        <v>0.149999999962347</v>
      </c>
      <c r="M28" s="6">
        <v>5.3909000000000002</v>
      </c>
      <c r="N28" s="35">
        <f t="shared" si="31"/>
        <v>797.66359999999997</v>
      </c>
      <c r="O28" s="24">
        <f t="shared" ref="O28:O29" si="70">(N28-N27)*1000</f>
        <v>0.30000000003838101</v>
      </c>
      <c r="P28" s="25">
        <f t="shared" ref="P28:P29" si="71">P27+O28</f>
        <v>-3.6000000000058199</v>
      </c>
      <c r="Q28" s="26">
        <f t="shared" ref="Q28:Q29" si="72">O28/(A28-A27)</f>
        <v>0.15000000001919001</v>
      </c>
      <c r="R28" s="41"/>
      <c r="S28" s="21">
        <f t="shared" si="35"/>
        <v>44610</v>
      </c>
      <c r="T28" s="42">
        <v>8.1186000000000007</v>
      </c>
      <c r="U28" s="43">
        <f t="shared" ref="U28:U29" si="73">(T28-T27)*1000</f>
        <v>0.19999999999065199</v>
      </c>
      <c r="V28" s="44">
        <f t="shared" ref="V28:V29" si="74">V27+U28</f>
        <v>-2.7999999999987999</v>
      </c>
      <c r="W28" s="45">
        <f t="shared" ref="W28:W29" si="75">U28/(S27-S28)</f>
        <v>-9.9999999995325994E-2</v>
      </c>
      <c r="X28" s="29">
        <v>12.0093</v>
      </c>
      <c r="Y28" s="43">
        <f t="shared" ref="Y28:Y29" si="76">(X28-X27)*1000</f>
        <v>0.29999999999930099</v>
      </c>
      <c r="Z28" s="44">
        <f t="shared" ref="Z28:Z29" si="77">Z27+Y28</f>
        <v>-3.80000000000003</v>
      </c>
      <c r="AA28" s="45">
        <f t="shared" ref="AA28:AA29" si="78">Y28/(S28-S27)</f>
        <v>0.14999999999965</v>
      </c>
      <c r="AB28" s="49">
        <v>8.3063000000000002</v>
      </c>
      <c r="AC28" s="43">
        <f t="shared" ref="AC28:AC29" si="79">(AB28-AB27)*1000</f>
        <v>0.30000000000995902</v>
      </c>
      <c r="AD28" s="44">
        <f t="shared" ref="AD28:AD29" si="80">AD27+AC28</f>
        <v>-4.1999999999990898</v>
      </c>
      <c r="AE28" s="45">
        <f t="shared" ref="AE28:AE29" si="81">AC28/(S28-S27)</f>
        <v>0.15000000000497901</v>
      </c>
      <c r="AF28" s="50">
        <v>79397</v>
      </c>
      <c r="AG28" s="58">
        <f t="shared" si="45"/>
        <v>72</v>
      </c>
      <c r="AH28" s="59"/>
      <c r="AI28" s="60"/>
      <c r="AJ28" s="61"/>
      <c r="AK28" s="62"/>
      <c r="AL28" s="60"/>
      <c r="AM28" s="64"/>
    </row>
    <row r="29" spans="1:39">
      <c r="A29" s="21">
        <v>44612</v>
      </c>
      <c r="B29" s="22">
        <v>792.27269999999999</v>
      </c>
      <c r="C29" s="27">
        <v>5.8182999999999998</v>
      </c>
      <c r="D29" s="23">
        <f t="shared" si="23"/>
        <v>798.09100000000001</v>
      </c>
      <c r="E29" s="24">
        <f t="shared" si="64"/>
        <v>0.20000000006348301</v>
      </c>
      <c r="F29" s="25">
        <f t="shared" si="65"/>
        <v>-3.1000000000176402</v>
      </c>
      <c r="G29" s="26">
        <f t="shared" si="66"/>
        <v>0.100000000031741</v>
      </c>
      <c r="H29" s="6">
        <v>6.5815000000000001</v>
      </c>
      <c r="I29" s="35">
        <f t="shared" si="27"/>
        <v>798.85419999999999</v>
      </c>
      <c r="J29" s="24">
        <f t="shared" si="67"/>
        <v>-0.199999999949796</v>
      </c>
      <c r="K29" s="25">
        <f t="shared" si="68"/>
        <v>-4.2999999999437897</v>
      </c>
      <c r="L29" s="26">
        <f t="shared" si="69"/>
        <v>-9.9999999974897905E-2</v>
      </c>
      <c r="M29" s="6">
        <v>5.3907999999999996</v>
      </c>
      <c r="N29" s="35">
        <f t="shared" si="31"/>
        <v>797.6635</v>
      </c>
      <c r="O29" s="24">
        <f t="shared" si="70"/>
        <v>-9.9999999974897905E-2</v>
      </c>
      <c r="P29" s="25">
        <f t="shared" si="71"/>
        <v>-3.69999999998072</v>
      </c>
      <c r="Q29" s="26">
        <f t="shared" si="72"/>
        <v>-4.9999999987449001E-2</v>
      </c>
      <c r="R29" s="41"/>
      <c r="S29" s="21">
        <f t="shared" si="35"/>
        <v>44612</v>
      </c>
      <c r="T29" s="42">
        <v>8.1184999999999992</v>
      </c>
      <c r="U29" s="43">
        <f t="shared" si="73"/>
        <v>-0.10000000000154299</v>
      </c>
      <c r="V29" s="44">
        <f t="shared" si="74"/>
        <v>-2.9000000000003499</v>
      </c>
      <c r="W29" s="45">
        <f t="shared" si="75"/>
        <v>5.0000000000771601E-2</v>
      </c>
      <c r="X29" s="29">
        <v>12.0091</v>
      </c>
      <c r="Y29" s="43">
        <f t="shared" si="76"/>
        <v>-0.19999999999953399</v>
      </c>
      <c r="Z29" s="44">
        <f t="shared" si="77"/>
        <v>-3.9999999999995599</v>
      </c>
      <c r="AA29" s="45">
        <f t="shared" si="78"/>
        <v>-9.99999999997669E-2</v>
      </c>
      <c r="AB29" s="49">
        <v>8.3062000000000005</v>
      </c>
      <c r="AC29" s="43">
        <f t="shared" si="79"/>
        <v>-9.99999999997669E-2</v>
      </c>
      <c r="AD29" s="44">
        <f t="shared" si="80"/>
        <v>-4.2999999999988603</v>
      </c>
      <c r="AE29" s="45">
        <f t="shared" si="81"/>
        <v>-4.9999999999883499E-2</v>
      </c>
      <c r="AF29" s="50">
        <v>79405</v>
      </c>
      <c r="AG29" s="58">
        <f t="shared" si="45"/>
        <v>80</v>
      </c>
      <c r="AH29" s="59"/>
      <c r="AI29" s="60"/>
      <c r="AJ29" s="61"/>
      <c r="AK29" s="62"/>
      <c r="AL29" s="60"/>
      <c r="AM29" s="64"/>
    </row>
    <row r="30" spans="1:39">
      <c r="A30" s="21">
        <v>44614</v>
      </c>
      <c r="B30" s="22">
        <v>792.27269999999999</v>
      </c>
      <c r="C30" s="27">
        <v>5.8182</v>
      </c>
      <c r="D30" s="23">
        <f t="shared" si="23"/>
        <v>798.09090000000003</v>
      </c>
      <c r="E30" s="24">
        <f t="shared" ref="E30:E31" si="82">(D30-D29)*1000</f>
        <v>-9.9999999974897905E-2</v>
      </c>
      <c r="F30" s="25">
        <f t="shared" ref="F30:F31" si="83">F29+E30</f>
        <v>-3.1999999999925399</v>
      </c>
      <c r="G30" s="26">
        <f t="shared" ref="G30:G31" si="84">E30/(A30-A29)</f>
        <v>-4.9999999987449001E-2</v>
      </c>
      <c r="H30" s="6">
        <v>6.5814000000000004</v>
      </c>
      <c r="I30" s="35">
        <f t="shared" si="27"/>
        <v>798.85410000000002</v>
      </c>
      <c r="J30" s="24">
        <f t="shared" ref="J30:J31" si="85">(I30-I29)*1000</f>
        <v>-9.9999999974897905E-2</v>
      </c>
      <c r="K30" s="25">
        <f t="shared" ref="K30:K31" si="86">K29+J30</f>
        <v>-4.3999999999186903</v>
      </c>
      <c r="L30" s="26">
        <f t="shared" ref="L30:L31" si="87">J30/(A30-A29)</f>
        <v>-4.9999999987449001E-2</v>
      </c>
      <c r="M30" s="6">
        <v>5.3906000000000001</v>
      </c>
      <c r="N30" s="35">
        <f t="shared" si="31"/>
        <v>797.66330000000005</v>
      </c>
      <c r="O30" s="24">
        <f t="shared" ref="O30:O31" si="88">(N30-N29)*1000</f>
        <v>-0.20000000006348301</v>
      </c>
      <c r="P30" s="25">
        <f t="shared" ref="P30:P31" si="89">P29+O30</f>
        <v>-3.9000000000442001</v>
      </c>
      <c r="Q30" s="26">
        <f t="shared" ref="Q30:Q31" si="90">O30/(A30-A29)</f>
        <v>-0.100000000031741</v>
      </c>
      <c r="R30" s="41"/>
      <c r="S30" s="21">
        <f t="shared" si="35"/>
        <v>44614</v>
      </c>
      <c r="T30" s="42">
        <v>8.1182999999999996</v>
      </c>
      <c r="U30" s="43">
        <f t="shared" ref="U30:U31" si="91">(T30-T29)*1000</f>
        <v>-0.19999999999953399</v>
      </c>
      <c r="V30" s="44">
        <f t="shared" ref="V30:V31" si="92">V29+U30</f>
        <v>-3.0999999999998802</v>
      </c>
      <c r="W30" s="45">
        <f t="shared" ref="W30:W31" si="93">U30/(S29-S30)</f>
        <v>9.99999999997669E-2</v>
      </c>
      <c r="X30" s="29">
        <v>12.0092</v>
      </c>
      <c r="Y30" s="43">
        <f t="shared" ref="Y30:Y31" si="94">(X30-X29)*1000</f>
        <v>9.99999999997669E-2</v>
      </c>
      <c r="Z30" s="44">
        <f t="shared" ref="Z30:Z31" si="95">Z29+Y30</f>
        <v>-3.8999999999997899</v>
      </c>
      <c r="AA30" s="45">
        <f t="shared" ref="AA30:AA31" si="96">Y30/(S30-S29)</f>
        <v>4.9999999999883499E-2</v>
      </c>
      <c r="AB30" s="49">
        <v>8.3065999999999995</v>
      </c>
      <c r="AC30" s="43">
        <f t="shared" ref="AC30:AC31" si="97">(AB30-AB29)*1000</f>
        <v>0.39999999999906799</v>
      </c>
      <c r="AD30" s="44">
        <f t="shared" ref="AD30:AD31" si="98">AD29+AC30</f>
        <v>-3.8999999999997899</v>
      </c>
      <c r="AE30" s="45">
        <f t="shared" ref="AE30:AE31" si="99">AC30/(S30-S29)</f>
        <v>0.19999999999953399</v>
      </c>
      <c r="AF30" s="50">
        <v>79408</v>
      </c>
      <c r="AG30" s="58">
        <f t="shared" si="45"/>
        <v>83</v>
      </c>
      <c r="AH30" s="59"/>
      <c r="AI30" s="60"/>
      <c r="AJ30" s="61"/>
      <c r="AK30" s="62"/>
      <c r="AL30" s="60"/>
      <c r="AM30" s="64"/>
    </row>
    <row r="31" spans="1:39">
      <c r="A31" s="21">
        <v>44620</v>
      </c>
      <c r="B31" s="22">
        <v>792.27269999999999</v>
      </c>
      <c r="C31" s="27">
        <v>5.8185000000000002</v>
      </c>
      <c r="D31" s="23">
        <f t="shared" si="23"/>
        <v>798.09119999999996</v>
      </c>
      <c r="E31" s="24">
        <f t="shared" si="82"/>
        <v>0.29999999992469401</v>
      </c>
      <c r="F31" s="25">
        <f t="shared" si="83"/>
        <v>-2.9000000000678501</v>
      </c>
      <c r="G31" s="26">
        <f t="shared" si="84"/>
        <v>4.9999999987449001E-2</v>
      </c>
      <c r="H31" s="6">
        <v>6.5812999999999997</v>
      </c>
      <c r="I31" s="35">
        <f t="shared" si="27"/>
        <v>798.85400000000004</v>
      </c>
      <c r="J31" s="24">
        <f t="shared" si="85"/>
        <v>-9.9999999974897905E-2</v>
      </c>
      <c r="K31" s="25">
        <f t="shared" si="86"/>
        <v>-4.49999999989359</v>
      </c>
      <c r="L31" s="26">
        <f t="shared" si="87"/>
        <v>-1.6666666662482999E-2</v>
      </c>
      <c r="M31" s="6">
        <v>5.3906999999999998</v>
      </c>
      <c r="N31" s="35">
        <f t="shared" si="31"/>
        <v>797.66340000000002</v>
      </c>
      <c r="O31" s="24">
        <f t="shared" si="88"/>
        <v>0.10000000008858501</v>
      </c>
      <c r="P31" s="25">
        <f t="shared" si="89"/>
        <v>-3.7999999999556202</v>
      </c>
      <c r="Q31" s="26">
        <f t="shared" si="90"/>
        <v>1.6666666681430801E-2</v>
      </c>
      <c r="R31" s="41"/>
      <c r="S31" s="21">
        <f t="shared" si="35"/>
        <v>44620</v>
      </c>
      <c r="T31" s="42">
        <v>8.1183999999999994</v>
      </c>
      <c r="U31" s="43">
        <f t="shared" si="91"/>
        <v>9.99999999997669E-2</v>
      </c>
      <c r="V31" s="44">
        <f t="shared" si="92"/>
        <v>-3.0000000000001101</v>
      </c>
      <c r="W31" s="45">
        <f t="shared" si="93"/>
        <v>-1.6666666666627802E-2</v>
      </c>
      <c r="X31" s="29">
        <v>12.008900000000001</v>
      </c>
      <c r="Y31" s="43">
        <f t="shared" si="94"/>
        <v>-0.29999999999930099</v>
      </c>
      <c r="Z31" s="44">
        <f t="shared" si="95"/>
        <v>-4.1999999999990898</v>
      </c>
      <c r="AA31" s="45">
        <f t="shared" si="96"/>
        <v>-4.9999999999883499E-2</v>
      </c>
      <c r="AB31" s="49">
        <v>8.3061000000000007</v>
      </c>
      <c r="AC31" s="43">
        <f t="shared" si="97"/>
        <v>-0.49999999999883499</v>
      </c>
      <c r="AD31" s="44">
        <f t="shared" si="98"/>
        <v>-4.3999999999986299</v>
      </c>
      <c r="AE31" s="45">
        <f t="shared" si="99"/>
        <v>-8.3333333333139095E-2</v>
      </c>
      <c r="AF31" s="50">
        <v>79413</v>
      </c>
      <c r="AG31" s="58">
        <f t="shared" si="45"/>
        <v>88</v>
      </c>
      <c r="AH31" s="61"/>
      <c r="AI31" s="60"/>
      <c r="AJ31" s="61"/>
      <c r="AK31" s="62"/>
      <c r="AL31" s="60"/>
      <c r="AM31" s="64"/>
    </row>
    <row r="32" spans="1:39">
      <c r="A32" s="21"/>
      <c r="B32" s="22"/>
      <c r="C32" s="27"/>
      <c r="D32" s="23"/>
      <c r="E32" s="65">
        <f>F31-F29</f>
        <v>0.199999999949796</v>
      </c>
      <c r="F32" s="33">
        <f>K31-K29</f>
        <v>-0.199999999949796</v>
      </c>
      <c r="G32" s="33">
        <f>P31-P29</f>
        <v>-9.9999999974897905E-2</v>
      </c>
      <c r="H32" s="33">
        <f>F31</f>
        <v>-2.9000000000678501</v>
      </c>
      <c r="I32" s="66">
        <f>K31</f>
        <v>-4.49999999989359</v>
      </c>
      <c r="J32" s="65">
        <f>P31</f>
        <v>-3.7999999999556202</v>
      </c>
      <c r="K32" s="33">
        <f>(K31-K29)/8</f>
        <v>-2.49999999937245E-2</v>
      </c>
      <c r="L32" s="26"/>
      <c r="N32" s="35"/>
      <c r="O32" s="24"/>
      <c r="P32" s="25"/>
      <c r="Q32" s="26"/>
      <c r="R32" s="41"/>
      <c r="S32" s="21"/>
      <c r="T32" s="42"/>
      <c r="U32" s="65">
        <f>V31-V29</f>
        <v>-9.99999999997669E-2</v>
      </c>
      <c r="V32" s="33">
        <f>Z31-Z29</f>
        <v>-0.19999999999953399</v>
      </c>
      <c r="W32" s="33">
        <f>AD31-AD29</f>
        <v>-9.99999999997669E-2</v>
      </c>
      <c r="X32" s="33">
        <f>V31</f>
        <v>-3.0000000000001101</v>
      </c>
      <c r="Y32" s="65">
        <f>Z31</f>
        <v>-4.1999999999990898</v>
      </c>
      <c r="Z32" s="33">
        <f>AD31</f>
        <v>-4.3999999999986299</v>
      </c>
      <c r="AA32" s="33">
        <f>(Z31-Z29)/8</f>
        <v>-2.4999999999941701E-2</v>
      </c>
      <c r="AB32" s="49"/>
      <c r="AC32" s="43"/>
      <c r="AD32" s="44"/>
      <c r="AE32" s="45"/>
      <c r="AF32" s="50"/>
      <c r="AG32" s="58"/>
      <c r="AH32" s="61"/>
      <c r="AI32" s="60"/>
      <c r="AJ32"/>
      <c r="AK32"/>
      <c r="AL32"/>
      <c r="AM32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47"/>
      <c r="Y40" s="24"/>
      <c r="Z40" s="25"/>
      <c r="AA40" s="26"/>
      <c r="AB40" s="47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2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26"/>
      <c r="AG42" s="26"/>
      <c r="AH42" s="51"/>
    </row>
    <row r="43" spans="1:39">
      <c r="A43" s="31"/>
      <c r="B43" s="30"/>
      <c r="C43" s="32"/>
      <c r="E43" s="24"/>
      <c r="F43" s="25"/>
      <c r="G43" s="26"/>
      <c r="H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0"/>
      <c r="C44" s="32"/>
      <c r="D44" s="32"/>
      <c r="E44" s="24"/>
      <c r="F44" s="25"/>
      <c r="G44" s="26"/>
      <c r="H44" s="29"/>
      <c r="I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O28" workbookViewId="0">
      <selection activeCell="E29" sqref="E29:K2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44576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44576</v>
      </c>
      <c r="B6" s="22">
        <v>792.27269999999999</v>
      </c>
      <c r="C6" s="27">
        <v>4.4752000000000001</v>
      </c>
      <c r="D6" s="23">
        <f t="shared" ref="D6:D11" si="0">C6+B6</f>
        <v>796.74789999999996</v>
      </c>
      <c r="E6" s="24">
        <v>0</v>
      </c>
      <c r="F6" s="25">
        <v>0</v>
      </c>
      <c r="G6" s="26">
        <v>0</v>
      </c>
      <c r="H6" s="6">
        <v>5.2362000000000002</v>
      </c>
      <c r="I6" s="35">
        <f t="shared" ref="I6:I11" si="1">H6+B6</f>
        <v>797.50890000000004</v>
      </c>
      <c r="J6" s="24">
        <v>0</v>
      </c>
      <c r="K6" s="25">
        <v>0</v>
      </c>
      <c r="L6" s="26">
        <v>0</v>
      </c>
      <c r="M6" s="6">
        <v>4.4440999999999997</v>
      </c>
      <c r="N6" s="35">
        <f t="shared" ref="N6:N11" si="2">M6+B6</f>
        <v>796.71680000000003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44576</v>
      </c>
      <c r="T6" s="42">
        <v>8.1213999999999995</v>
      </c>
      <c r="U6" s="43">
        <v>0</v>
      </c>
      <c r="V6" s="44">
        <v>0</v>
      </c>
      <c r="W6" s="45">
        <f>U6/(S6-S11)</f>
        <v>0</v>
      </c>
      <c r="X6" s="29">
        <v>12.0131</v>
      </c>
      <c r="Y6" s="43">
        <v>0</v>
      </c>
      <c r="Z6" s="44">
        <v>0</v>
      </c>
      <c r="AA6" s="45">
        <v>0</v>
      </c>
      <c r="AB6" s="49">
        <v>8.3104999999999993</v>
      </c>
      <c r="AC6" s="43">
        <v>0</v>
      </c>
      <c r="AD6" s="44">
        <v>0</v>
      </c>
      <c r="AE6" s="45">
        <v>0</v>
      </c>
      <c r="AF6" s="50">
        <v>79368</v>
      </c>
      <c r="AG6" s="58">
        <f>AF6-79360</f>
        <v>8</v>
      </c>
      <c r="AH6" s="59"/>
      <c r="AI6" s="60"/>
      <c r="AJ6" s="61"/>
      <c r="AK6" s="62"/>
      <c r="AL6" s="52"/>
      <c r="AM6" s="52"/>
    </row>
    <row r="7" spans="1:48">
      <c r="A7" s="21">
        <v>44577</v>
      </c>
      <c r="B7" s="22">
        <v>792.27269999999999</v>
      </c>
      <c r="C7" s="27">
        <v>4.4752999999999998</v>
      </c>
      <c r="D7" s="23">
        <f t="shared" si="0"/>
        <v>796.74800000000005</v>
      </c>
      <c r="E7" s="24">
        <f>(D7-D6)*1000</f>
        <v>9.9999999974897905E-2</v>
      </c>
      <c r="F7" s="25">
        <f>F6+E7</f>
        <v>9.9999999974897905E-2</v>
      </c>
      <c r="G7" s="26">
        <f>E7/(A7-A6)</f>
        <v>9.9999999974897905E-2</v>
      </c>
      <c r="H7" s="6">
        <v>5.2359999999999998</v>
      </c>
      <c r="I7" s="35">
        <f t="shared" si="1"/>
        <v>797.50869999999998</v>
      </c>
      <c r="J7" s="24">
        <f>(I7-I6)*1000</f>
        <v>-0.20000000006348301</v>
      </c>
      <c r="K7" s="25">
        <f>K6+J7</f>
        <v>-0.20000000006348301</v>
      </c>
      <c r="L7" s="26">
        <f>J7/(A7-A6)</f>
        <v>-0.20000000006348301</v>
      </c>
      <c r="M7" s="6">
        <v>4.4438000000000004</v>
      </c>
      <c r="N7" s="35">
        <f t="shared" si="2"/>
        <v>796.7165</v>
      </c>
      <c r="O7" s="24">
        <f>(N7-N6)*1000</f>
        <v>-0.30000000003838101</v>
      </c>
      <c r="P7" s="25">
        <f>P6+O7</f>
        <v>-0.30000000003838101</v>
      </c>
      <c r="Q7" s="26">
        <f>O7/(A7-A6)</f>
        <v>-0.30000000003838101</v>
      </c>
      <c r="R7" s="41"/>
      <c r="S7" s="21">
        <f t="shared" si="3"/>
        <v>44577</v>
      </c>
      <c r="T7" s="42">
        <v>8.1210000000000004</v>
      </c>
      <c r="U7" s="43">
        <f>(T7-T6)*1000</f>
        <v>-0.39999999999906799</v>
      </c>
      <c r="V7" s="44">
        <f>V6+U7</f>
        <v>-0.39999999999906799</v>
      </c>
      <c r="W7" s="45">
        <f>U7/(S6-S7)</f>
        <v>0.39999999999906799</v>
      </c>
      <c r="X7" s="29">
        <v>12.012499999999999</v>
      </c>
      <c r="Y7" s="43">
        <f>(X7-X6)*1000</f>
        <v>-0.60000000000037801</v>
      </c>
      <c r="Z7" s="44">
        <f>Z6+Y7</f>
        <v>-0.60000000000037801</v>
      </c>
      <c r="AA7" s="45">
        <f>Y7/(S7-S6)</f>
        <v>-0.60000000000037801</v>
      </c>
      <c r="AB7" s="49">
        <v>8.31</v>
      </c>
      <c r="AC7" s="43">
        <f>(AB7-AB6)*1000</f>
        <v>-0.49999999999883499</v>
      </c>
      <c r="AD7" s="44">
        <f>AD6+AC7</f>
        <v>-0.49999999999883499</v>
      </c>
      <c r="AE7" s="45">
        <f>AC7/(S7-S6)</f>
        <v>-0.49999999999883499</v>
      </c>
      <c r="AF7" s="50">
        <v>79371</v>
      </c>
      <c r="AG7" s="58">
        <f t="shared" ref="AG7:AG11" si="4">AF7-79360</f>
        <v>11</v>
      </c>
      <c r="AH7" s="59"/>
      <c r="AI7" s="60"/>
      <c r="AJ7" s="61"/>
      <c r="AK7" s="62"/>
      <c r="AL7" s="52"/>
      <c r="AM7" s="52"/>
    </row>
    <row r="8" spans="1:48">
      <c r="A8" s="21">
        <v>44578</v>
      </c>
      <c r="B8" s="22">
        <v>792.27269999999999</v>
      </c>
      <c r="C8" s="27">
        <v>4.4749999999999996</v>
      </c>
      <c r="D8" s="23">
        <f t="shared" si="0"/>
        <v>796.74770000000001</v>
      </c>
      <c r="E8" s="24">
        <f>(D8-D7)*1000</f>
        <v>-0.29999999992469401</v>
      </c>
      <c r="F8" s="25">
        <f>F7+E8</f>
        <v>-0.199999999949796</v>
      </c>
      <c r="G8" s="26">
        <f>E8/(A8-A7)</f>
        <v>-0.29999999992469401</v>
      </c>
      <c r="H8" s="6">
        <v>5.2359999999999998</v>
      </c>
      <c r="I8" s="35">
        <f t="shared" si="1"/>
        <v>797.50869999999998</v>
      </c>
      <c r="J8" s="24">
        <f>(I8-I7)*1000</f>
        <v>0</v>
      </c>
      <c r="K8" s="25">
        <f>K7+J8</f>
        <v>-0.20000000006348301</v>
      </c>
      <c r="L8" s="26">
        <f>J8/(A8-A7)</f>
        <v>0</v>
      </c>
      <c r="M8" s="6">
        <v>4.4429999999999996</v>
      </c>
      <c r="N8" s="35">
        <f t="shared" si="2"/>
        <v>796.71569999999997</v>
      </c>
      <c r="O8" s="24">
        <f>(N8-N7)*1000</f>
        <v>-0.80000000002655702</v>
      </c>
      <c r="P8" s="25">
        <f>P7+O8</f>
        <v>-1.1000000000649399</v>
      </c>
      <c r="Q8" s="26">
        <f>O8/(A8-A7)</f>
        <v>-0.80000000002655702</v>
      </c>
      <c r="R8" s="41"/>
      <c r="S8" s="21">
        <f t="shared" si="3"/>
        <v>44578</v>
      </c>
      <c r="T8" s="42">
        <v>8.1204999999999998</v>
      </c>
      <c r="U8" s="43">
        <f>(T8-T7)*1000</f>
        <v>-0.50000000000061096</v>
      </c>
      <c r="V8" s="44">
        <f>V7+U8</f>
        <v>-0.89999999999967895</v>
      </c>
      <c r="W8" s="45">
        <f>U8/(S7-S8)</f>
        <v>0.50000000000061096</v>
      </c>
      <c r="X8" s="29">
        <v>12.0123</v>
      </c>
      <c r="Y8" s="43">
        <f>(X8-X7)*1000</f>
        <v>-0.19999999999953399</v>
      </c>
      <c r="Z8" s="44">
        <f>Z7+Y8</f>
        <v>-0.799999999999912</v>
      </c>
      <c r="AA8" s="45">
        <f>Y8/(S8-S7)</f>
        <v>-0.19999999999953399</v>
      </c>
      <c r="AB8" s="49">
        <v>8.3094999999999999</v>
      </c>
      <c r="AC8" s="43">
        <f>(AB8-AB7)*1000</f>
        <v>-0.50000000000061096</v>
      </c>
      <c r="AD8" s="44">
        <f>AD7+AC8</f>
        <v>-0.999999999999446</v>
      </c>
      <c r="AE8" s="45">
        <f>AC8/(S8-S7)</f>
        <v>-0.50000000000061096</v>
      </c>
      <c r="AF8" s="50">
        <v>79375</v>
      </c>
      <c r="AG8" s="58">
        <f t="shared" si="4"/>
        <v>15</v>
      </c>
      <c r="AH8" s="59"/>
      <c r="AI8" s="60"/>
      <c r="AJ8" s="61"/>
      <c r="AK8" s="62"/>
      <c r="AL8" s="52"/>
      <c r="AM8" s="52"/>
    </row>
    <row r="9" spans="1:48">
      <c r="A9" s="21">
        <v>44579</v>
      </c>
      <c r="B9" s="22">
        <v>792.27269999999999</v>
      </c>
      <c r="C9" s="27">
        <v>4.4748000000000001</v>
      </c>
      <c r="D9" s="23">
        <f t="shared" si="0"/>
        <v>796.74749999999995</v>
      </c>
      <c r="E9" s="24">
        <f>(D9-D8)*1000</f>
        <v>-0.20000000006348301</v>
      </c>
      <c r="F9" s="25">
        <f>F8+E9</f>
        <v>-0.40000000001327901</v>
      </c>
      <c r="G9" s="26">
        <f>E9/(A9-A8)</f>
        <v>-0.20000000006348301</v>
      </c>
      <c r="H9" s="6">
        <v>5.2355</v>
      </c>
      <c r="I9" s="35">
        <f t="shared" si="1"/>
        <v>797.50819999999999</v>
      </c>
      <c r="J9" s="24">
        <f>(I9-I8)*1000</f>
        <v>-0.49999999998817701</v>
      </c>
      <c r="K9" s="25">
        <f>K8+J9</f>
        <v>-0.70000000005165897</v>
      </c>
      <c r="L9" s="26">
        <f>J9/(A9-A8)</f>
        <v>-0.49999999998817701</v>
      </c>
      <c r="M9" s="6">
        <v>4.4432</v>
      </c>
      <c r="N9" s="35">
        <f t="shared" si="2"/>
        <v>796.71590000000003</v>
      </c>
      <c r="O9" s="24">
        <f>(N9-N8)*1000</f>
        <v>0.20000000006348301</v>
      </c>
      <c r="P9" s="25">
        <f>P8+O9</f>
        <v>-0.90000000000145497</v>
      </c>
      <c r="Q9" s="26">
        <f>O9/(A9-A8)</f>
        <v>0.20000000006348301</v>
      </c>
      <c r="R9" s="41"/>
      <c r="S9" s="21">
        <f t="shared" si="3"/>
        <v>44579</v>
      </c>
      <c r="T9" s="42">
        <v>8.1203000000000003</v>
      </c>
      <c r="U9" s="43">
        <f>(T9-T8)*1000</f>
        <v>-0.19999999999953399</v>
      </c>
      <c r="V9" s="44">
        <f>V8+U9</f>
        <v>-1.0999999999992101</v>
      </c>
      <c r="W9" s="45">
        <f>U9/(S8-S9)</f>
        <v>0.19999999999953399</v>
      </c>
      <c r="X9" s="29">
        <v>12.012499999999999</v>
      </c>
      <c r="Y9" s="43">
        <f>(X9-X8)*1000</f>
        <v>0.19999999999953399</v>
      </c>
      <c r="Z9" s="44">
        <f>Z8+Y9</f>
        <v>-0.60000000000037801</v>
      </c>
      <c r="AA9" s="45">
        <f>Y9/(S9-S8)</f>
        <v>0.19999999999953399</v>
      </c>
      <c r="AB9" s="49">
        <v>8.3093000000000004</v>
      </c>
      <c r="AC9" s="43">
        <f>(AB9-AB8)*1000</f>
        <v>-0.19999999999953399</v>
      </c>
      <c r="AD9" s="44">
        <f>AD8+AC9</f>
        <v>-1.1999999999989801</v>
      </c>
      <c r="AE9" s="45">
        <f>AC9/(S9-S8)</f>
        <v>-0.19999999999953399</v>
      </c>
      <c r="AF9" s="50">
        <v>79378</v>
      </c>
      <c r="AG9" s="58">
        <f t="shared" si="4"/>
        <v>18</v>
      </c>
      <c r="AH9" s="59"/>
      <c r="AI9" s="60"/>
      <c r="AJ9" s="61"/>
      <c r="AK9" s="62"/>
      <c r="AL9" s="52"/>
      <c r="AM9" s="52"/>
    </row>
    <row r="10" spans="1:48">
      <c r="A10" s="21">
        <v>44580</v>
      </c>
      <c r="B10" s="22">
        <v>792.27269999999999</v>
      </c>
      <c r="C10" s="27">
        <v>4.4748999999999999</v>
      </c>
      <c r="D10" s="23">
        <f t="shared" si="0"/>
        <v>796.74760000000003</v>
      </c>
      <c r="E10" s="24">
        <f>(D10-D9)*1000</f>
        <v>0.10000000008858501</v>
      </c>
      <c r="F10" s="25">
        <f>F9+E10</f>
        <v>-0.29999999992469401</v>
      </c>
      <c r="G10" s="26">
        <f>E10/(A10-A9)</f>
        <v>0.10000000008858501</v>
      </c>
      <c r="H10" s="6">
        <v>5.2350000000000003</v>
      </c>
      <c r="I10" s="35">
        <f t="shared" si="1"/>
        <v>797.5077</v>
      </c>
      <c r="J10" s="24">
        <f>(I10-I9)*1000</f>
        <v>-0.49999999998817701</v>
      </c>
      <c r="K10" s="25">
        <f>K9+J10</f>
        <v>-1.2000000000398401</v>
      </c>
      <c r="L10" s="26">
        <f>J10/(A10-A9)</f>
        <v>-0.49999999998817701</v>
      </c>
      <c r="M10" s="6">
        <v>4.4432999999999998</v>
      </c>
      <c r="N10" s="35">
        <f t="shared" si="2"/>
        <v>796.71600000000001</v>
      </c>
      <c r="O10" s="24">
        <f>(N10-N9)*1000</f>
        <v>9.9999999974897905E-2</v>
      </c>
      <c r="P10" s="25">
        <f>P9+O10</f>
        <v>-0.80000000002655702</v>
      </c>
      <c r="Q10" s="26">
        <f>O10/(A10-A9)</f>
        <v>9.9999999974897905E-2</v>
      </c>
      <c r="R10" s="41"/>
      <c r="S10" s="21">
        <f t="shared" si="3"/>
        <v>44580</v>
      </c>
      <c r="T10" s="42">
        <v>8.1201000000000008</v>
      </c>
      <c r="U10" s="43">
        <f>(T10-T9)*1000</f>
        <v>-0.19999999999953399</v>
      </c>
      <c r="V10" s="44">
        <f>V9+U10</f>
        <v>-1.2999999999987499</v>
      </c>
      <c r="W10" s="45">
        <f>U10/(S9-S10)</f>
        <v>0.19999999999953399</v>
      </c>
      <c r="X10" s="29">
        <v>12.011900000000001</v>
      </c>
      <c r="Y10" s="43">
        <f>(X10-X9)*1000</f>
        <v>-0.59999999999860198</v>
      </c>
      <c r="Z10" s="44">
        <f>Z9+Y10</f>
        <v>-1.1999999999989801</v>
      </c>
      <c r="AA10" s="45">
        <f>Y10/(S10-S9)</f>
        <v>-0.59999999999860198</v>
      </c>
      <c r="AB10" s="49">
        <v>8.3092000000000006</v>
      </c>
      <c r="AC10" s="43">
        <f>(AB10-AB9)*1000</f>
        <v>-9.99999999997669E-2</v>
      </c>
      <c r="AD10" s="44">
        <f>AD9+AC10</f>
        <v>-1.2999999999987499</v>
      </c>
      <c r="AE10" s="45">
        <f>AC10/(S10-S9)</f>
        <v>-9.99999999997669E-2</v>
      </c>
      <c r="AF10" s="50">
        <v>79383</v>
      </c>
      <c r="AG10" s="58">
        <f t="shared" si="4"/>
        <v>23</v>
      </c>
      <c r="AH10" s="59"/>
      <c r="AI10" s="60"/>
      <c r="AJ10" s="61"/>
      <c r="AK10" s="62"/>
      <c r="AL10" s="52"/>
      <c r="AM10" s="52"/>
    </row>
    <row r="11" spans="1:48">
      <c r="A11" s="21">
        <v>44581</v>
      </c>
      <c r="B11" s="22">
        <v>792.27269999999999</v>
      </c>
      <c r="C11" s="27">
        <v>4.4747000000000003</v>
      </c>
      <c r="D11" s="23">
        <f t="shared" si="0"/>
        <v>796.74739999999997</v>
      </c>
      <c r="E11" s="24">
        <f>(D11-D10)*1000</f>
        <v>-0.20000000006348301</v>
      </c>
      <c r="F11" s="25">
        <f>F10+E11</f>
        <v>-0.49999999998817701</v>
      </c>
      <c r="G11" s="26">
        <f>E11/(A11-A10)</f>
        <v>-0.20000000006348301</v>
      </c>
      <c r="H11" s="6">
        <v>5.2351999999999999</v>
      </c>
      <c r="I11" s="35">
        <f t="shared" si="1"/>
        <v>797.50789999999995</v>
      </c>
      <c r="J11" s="24">
        <f>(I11-I10)*1000</f>
        <v>0.199999999949796</v>
      </c>
      <c r="K11" s="25">
        <f>K10+J11</f>
        <v>-1.00000000009004</v>
      </c>
      <c r="L11" s="26">
        <f>J11/(A11-A10)</f>
        <v>0.199999999949796</v>
      </c>
      <c r="M11" s="6">
        <v>4.4431000000000003</v>
      </c>
      <c r="N11" s="35">
        <f t="shared" si="2"/>
        <v>796.71579999999994</v>
      </c>
      <c r="O11" s="24">
        <f>(N11-N10)*1000</f>
        <v>-0.20000000006348301</v>
      </c>
      <c r="P11" s="25">
        <f>P10+O11</f>
        <v>-1.00000000009004</v>
      </c>
      <c r="Q11" s="26">
        <f>O11/(A11-A10)</f>
        <v>-0.20000000006348301</v>
      </c>
      <c r="R11" s="41"/>
      <c r="S11" s="21">
        <f t="shared" si="3"/>
        <v>44581</v>
      </c>
      <c r="T11" s="42">
        <v>8.1195000000000004</v>
      </c>
      <c r="U11" s="43">
        <f>(T11-T10)*1000</f>
        <v>-0.60000000000037801</v>
      </c>
      <c r="V11" s="44">
        <f>V10+U11</f>
        <v>-1.8999999999991199</v>
      </c>
      <c r="W11" s="45">
        <f>U11/(S10-S11)</f>
        <v>0.60000000000037801</v>
      </c>
      <c r="X11" s="29">
        <v>12.011699999999999</v>
      </c>
      <c r="Y11" s="43">
        <f>(X11-X10)*1000</f>
        <v>-0.20000000000130999</v>
      </c>
      <c r="Z11" s="44">
        <f>Z10+Y11</f>
        <v>-1.4000000000002899</v>
      </c>
      <c r="AA11" s="45">
        <f>Y11/(S11-S10)</f>
        <v>-0.20000000000130999</v>
      </c>
      <c r="AB11" s="49">
        <v>8.3089999999999993</v>
      </c>
      <c r="AC11" s="43">
        <f>(AB11-AB10)*1000</f>
        <v>-0.20000000000130999</v>
      </c>
      <c r="AD11" s="44">
        <f>AD10+AC11</f>
        <v>-1.50000000000006</v>
      </c>
      <c r="AE11" s="45">
        <f>AC11/(S11-S10)</f>
        <v>-0.20000000000130999</v>
      </c>
      <c r="AF11" s="50">
        <v>79385</v>
      </c>
      <c r="AG11" s="58">
        <f t="shared" si="4"/>
        <v>25</v>
      </c>
      <c r="AH11" s="59"/>
      <c r="AI11" s="60"/>
      <c r="AJ11" s="52"/>
      <c r="AK11" s="52"/>
      <c r="AL11" s="52"/>
      <c r="AM11" s="52"/>
    </row>
    <row r="12" spans="1:48" s="67" customFormat="1">
      <c r="A12" s="21">
        <v>44582</v>
      </c>
      <c r="B12" s="22">
        <v>792.27269999999999</v>
      </c>
      <c r="C12" s="27">
        <v>4.4748000000000001</v>
      </c>
      <c r="D12" s="23">
        <f t="shared" ref="D12:D28" si="5">C12+B12</f>
        <v>796.74749999999995</v>
      </c>
      <c r="E12" s="24">
        <f t="shared" ref="E12:E17" si="6">(D12-D11)*1000</f>
        <v>9.9999999974897905E-2</v>
      </c>
      <c r="F12" s="25">
        <f t="shared" ref="F12:F17" si="7">F11+E12</f>
        <v>-0.40000000001327901</v>
      </c>
      <c r="G12" s="26">
        <f t="shared" ref="G12:G17" si="8">E12/(A12-A11)</f>
        <v>9.9999999974897905E-2</v>
      </c>
      <c r="H12" s="6">
        <v>5.2350000000000003</v>
      </c>
      <c r="I12" s="35">
        <f t="shared" ref="I12:I28" si="9">H12+B12</f>
        <v>797.5077</v>
      </c>
      <c r="J12" s="24">
        <f t="shared" ref="J12:J17" si="10">(I12-I11)*1000</f>
        <v>-0.199999999949796</v>
      </c>
      <c r="K12" s="25">
        <f t="shared" ref="K12:K17" si="11">K11+J12</f>
        <v>-1.2000000000398401</v>
      </c>
      <c r="L12" s="26">
        <f t="shared" ref="L12:L17" si="12">J12/(A12-A11)</f>
        <v>-0.199999999949796</v>
      </c>
      <c r="M12" s="6">
        <v>4.4428999999999998</v>
      </c>
      <c r="N12" s="35">
        <f t="shared" ref="N12:N28" si="13">M12+B12</f>
        <v>796.71559999999999</v>
      </c>
      <c r="O12" s="24">
        <f t="shared" ref="O12:O17" si="14">(N12-N11)*1000</f>
        <v>-0.199999999949796</v>
      </c>
      <c r="P12" s="25">
        <f t="shared" ref="P12:P17" si="15">P11+O12</f>
        <v>-1.2000000000398401</v>
      </c>
      <c r="Q12" s="26">
        <f t="shared" ref="Q12:Q17" si="16">O12/(A12-A11)</f>
        <v>-0.199999999949796</v>
      </c>
      <c r="R12" s="41"/>
      <c r="S12" s="21">
        <f t="shared" ref="S12:S28" si="17">A12</f>
        <v>44582</v>
      </c>
      <c r="T12" s="42">
        <v>8.1193000000000008</v>
      </c>
      <c r="U12" s="43">
        <f t="shared" ref="U12:U17" si="18">(T12-T11)*1000</f>
        <v>-0.19999999999953399</v>
      </c>
      <c r="V12" s="44">
        <f t="shared" ref="V12:V17" si="19">V11+U12</f>
        <v>-2.0999999999986598</v>
      </c>
      <c r="W12" s="45">
        <f t="shared" ref="W12:W17" si="20">U12/(S11-S12)</f>
        <v>0.19999999999953399</v>
      </c>
      <c r="X12" s="29">
        <v>12.0115</v>
      </c>
      <c r="Y12" s="43">
        <f t="shared" ref="Y12:Y17" si="21">(X12-X11)*1000</f>
        <v>-0.19999999999953399</v>
      </c>
      <c r="Z12" s="44">
        <f t="shared" ref="Z12:Z17" si="22">Z11+Y12</f>
        <v>-1.59999999999982</v>
      </c>
      <c r="AA12" s="45">
        <f t="shared" ref="AA12:AA17" si="23">Y12/(S12-S11)</f>
        <v>-0.19999999999953399</v>
      </c>
      <c r="AB12" s="49">
        <v>8.3087999999999997</v>
      </c>
      <c r="AC12" s="43">
        <f t="shared" ref="AC12:AC17" si="24">(AB12-AB11)*1000</f>
        <v>-0.19999999999953399</v>
      </c>
      <c r="AD12" s="44">
        <f t="shared" ref="AD12:AD17" si="25">AD11+AC12</f>
        <v>-1.6999999999995901</v>
      </c>
      <c r="AE12" s="45">
        <f t="shared" ref="AE12:AE17" si="26">AC12/(S12-S11)</f>
        <v>-0.19999999999953399</v>
      </c>
      <c r="AF12" s="50">
        <v>79385</v>
      </c>
      <c r="AG12" s="58">
        <f t="shared" ref="AG12:AG28" si="27">AF12-79360</f>
        <v>25</v>
      </c>
      <c r="AH12" s="61"/>
      <c r="AI12" s="60"/>
    </row>
    <row r="13" spans="1:48">
      <c r="A13" s="21">
        <v>44583</v>
      </c>
      <c r="B13" s="22">
        <v>792.27269999999999</v>
      </c>
      <c r="C13" s="27">
        <v>4.4743000000000004</v>
      </c>
      <c r="D13" s="23">
        <f t="shared" si="5"/>
        <v>796.74699999999996</v>
      </c>
      <c r="E13" s="24">
        <f t="shared" si="6"/>
        <v>-0.49999999998817701</v>
      </c>
      <c r="F13" s="25">
        <f t="shared" si="7"/>
        <v>-0.90000000000145497</v>
      </c>
      <c r="G13" s="26">
        <f t="shared" si="8"/>
        <v>-0.49999999998817701</v>
      </c>
      <c r="H13" s="6">
        <v>5.2351000000000001</v>
      </c>
      <c r="I13" s="35">
        <f t="shared" si="9"/>
        <v>797.50779999999997</v>
      </c>
      <c r="J13" s="24">
        <f t="shared" si="10"/>
        <v>9.9999999974897905E-2</v>
      </c>
      <c r="K13" s="25">
        <f t="shared" si="11"/>
        <v>-1.1000000000649399</v>
      </c>
      <c r="L13" s="26">
        <f t="shared" si="12"/>
        <v>9.9999999974897905E-2</v>
      </c>
      <c r="M13" s="6">
        <v>4.4424999999999999</v>
      </c>
      <c r="N13" s="35">
        <f t="shared" si="13"/>
        <v>796.71519999999998</v>
      </c>
      <c r="O13" s="24">
        <f t="shared" si="14"/>
        <v>-0.40000000001327901</v>
      </c>
      <c r="P13" s="25">
        <f t="shared" si="15"/>
        <v>-1.60000000005311</v>
      </c>
      <c r="Q13" s="26">
        <f t="shared" si="16"/>
        <v>-0.40000000001327901</v>
      </c>
      <c r="R13" s="41"/>
      <c r="S13" s="21">
        <f t="shared" si="17"/>
        <v>44583</v>
      </c>
      <c r="T13" s="42">
        <v>8.1190999999999995</v>
      </c>
      <c r="U13" s="43">
        <f t="shared" si="18"/>
        <v>-0.20000000000130999</v>
      </c>
      <c r="V13" s="44">
        <f t="shared" si="19"/>
        <v>-2.2999999999999701</v>
      </c>
      <c r="W13" s="45">
        <f t="shared" si="20"/>
        <v>0.20000000000130999</v>
      </c>
      <c r="X13" s="29">
        <v>12.0114</v>
      </c>
      <c r="Y13" s="43">
        <f t="shared" si="21"/>
        <v>-9.99999999997669E-2</v>
      </c>
      <c r="Z13" s="44">
        <f t="shared" si="22"/>
        <v>-1.6999999999995901</v>
      </c>
      <c r="AA13" s="45">
        <f t="shared" si="23"/>
        <v>-9.99999999997669E-2</v>
      </c>
      <c r="AB13" s="49">
        <v>8.3085000000000004</v>
      </c>
      <c r="AC13" s="43">
        <f t="shared" si="24"/>
        <v>-0.29999999999930099</v>
      </c>
      <c r="AD13" s="44">
        <f t="shared" si="25"/>
        <v>-1.99999999999889</v>
      </c>
      <c r="AE13" s="45">
        <f t="shared" si="26"/>
        <v>-0.29999999999930099</v>
      </c>
      <c r="AF13" s="50">
        <v>79385</v>
      </c>
      <c r="AG13" s="58">
        <f t="shared" si="27"/>
        <v>25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44584</v>
      </c>
      <c r="B14" s="22">
        <v>792.27269999999999</v>
      </c>
      <c r="C14" s="27">
        <v>4.4741</v>
      </c>
      <c r="D14" s="23">
        <f t="shared" si="5"/>
        <v>796.74680000000001</v>
      </c>
      <c r="E14" s="24">
        <f t="shared" si="6"/>
        <v>-0.199999999949796</v>
      </c>
      <c r="F14" s="25">
        <f t="shared" si="7"/>
        <v>-1.09999999995125</v>
      </c>
      <c r="G14" s="26">
        <f t="shared" si="8"/>
        <v>-0.199999999949796</v>
      </c>
      <c r="H14" s="6">
        <v>5.2346000000000004</v>
      </c>
      <c r="I14" s="35">
        <f t="shared" si="9"/>
        <v>797.50729999999999</v>
      </c>
      <c r="J14" s="24">
        <f t="shared" si="10"/>
        <v>-0.49999999998817701</v>
      </c>
      <c r="K14" s="25">
        <f t="shared" si="11"/>
        <v>-1.60000000005311</v>
      </c>
      <c r="L14" s="26">
        <f t="shared" si="12"/>
        <v>-0.49999999998817701</v>
      </c>
      <c r="M14" s="6">
        <v>4.4424999999999999</v>
      </c>
      <c r="N14" s="35">
        <f t="shared" si="13"/>
        <v>796.71519999999998</v>
      </c>
      <c r="O14" s="24">
        <f t="shared" si="14"/>
        <v>0</v>
      </c>
      <c r="P14" s="25">
        <f t="shared" si="15"/>
        <v>-1.60000000005311</v>
      </c>
      <c r="Q14" s="26">
        <f t="shared" si="16"/>
        <v>0</v>
      </c>
      <c r="R14" s="41"/>
      <c r="S14" s="21">
        <f t="shared" si="17"/>
        <v>44584</v>
      </c>
      <c r="T14" s="42">
        <v>8.1195000000000004</v>
      </c>
      <c r="U14" s="43">
        <f t="shared" si="18"/>
        <v>0.40000000000084401</v>
      </c>
      <c r="V14" s="44">
        <f t="shared" si="19"/>
        <v>-1.8999999999991199</v>
      </c>
      <c r="W14" s="45">
        <f t="shared" si="20"/>
        <v>-0.40000000000084401</v>
      </c>
      <c r="X14" s="29">
        <v>12.011100000000001</v>
      </c>
      <c r="Y14" s="43">
        <f t="shared" si="21"/>
        <v>-0.29999999999930099</v>
      </c>
      <c r="Z14" s="44">
        <f t="shared" si="22"/>
        <v>-1.99999999999889</v>
      </c>
      <c r="AA14" s="45">
        <f t="shared" si="23"/>
        <v>-0.29999999999930099</v>
      </c>
      <c r="AB14" s="49">
        <v>8.3084000000000007</v>
      </c>
      <c r="AC14" s="43">
        <f t="shared" si="24"/>
        <v>-9.99999999997669E-2</v>
      </c>
      <c r="AD14" s="44">
        <f t="shared" si="25"/>
        <v>-2.0999999999986598</v>
      </c>
      <c r="AE14" s="45">
        <f t="shared" si="26"/>
        <v>-9.99999999997669E-2</v>
      </c>
      <c r="AF14" s="50">
        <v>79385</v>
      </c>
      <c r="AG14" s="58">
        <f t="shared" si="27"/>
        <v>25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44585</v>
      </c>
      <c r="B15" s="22">
        <v>792.27269999999999</v>
      </c>
      <c r="C15" s="27">
        <v>4.4741999999999997</v>
      </c>
      <c r="D15" s="23">
        <f t="shared" si="5"/>
        <v>796.74689999999998</v>
      </c>
      <c r="E15" s="24">
        <f t="shared" si="6"/>
        <v>9.9999999974897905E-2</v>
      </c>
      <c r="F15" s="25">
        <f t="shared" si="7"/>
        <v>-0.99999999997635303</v>
      </c>
      <c r="G15" s="26">
        <f t="shared" si="8"/>
        <v>9.9999999974897905E-2</v>
      </c>
      <c r="H15" s="6">
        <v>5.2343999999999999</v>
      </c>
      <c r="I15" s="35">
        <f t="shared" si="9"/>
        <v>797.50710000000004</v>
      </c>
      <c r="J15" s="24">
        <f t="shared" si="10"/>
        <v>-0.199999999949796</v>
      </c>
      <c r="K15" s="25">
        <f t="shared" si="11"/>
        <v>-1.8000000000029099</v>
      </c>
      <c r="L15" s="26">
        <f t="shared" si="12"/>
        <v>-0.199999999949796</v>
      </c>
      <c r="M15" s="6">
        <v>4.4423000000000004</v>
      </c>
      <c r="N15" s="35">
        <f t="shared" si="13"/>
        <v>796.71500000000003</v>
      </c>
      <c r="O15" s="24">
        <f t="shared" si="14"/>
        <v>-0.199999999949796</v>
      </c>
      <c r="P15" s="25">
        <f t="shared" si="15"/>
        <v>-1.8000000000029099</v>
      </c>
      <c r="Q15" s="26">
        <f t="shared" si="16"/>
        <v>-0.199999999949796</v>
      </c>
      <c r="R15" s="41"/>
      <c r="S15" s="21">
        <f t="shared" si="17"/>
        <v>44585</v>
      </c>
      <c r="T15" s="42">
        <v>8.1187000000000005</v>
      </c>
      <c r="U15" s="43">
        <f t="shared" si="18"/>
        <v>-0.799999999999912</v>
      </c>
      <c r="V15" s="44">
        <f t="shared" si="19"/>
        <v>-2.6999999999990401</v>
      </c>
      <c r="W15" s="45">
        <f t="shared" si="20"/>
        <v>0.799999999999912</v>
      </c>
      <c r="X15" s="29">
        <v>12.010899999999999</v>
      </c>
      <c r="Y15" s="43">
        <f t="shared" si="21"/>
        <v>-0.20000000000130999</v>
      </c>
      <c r="Z15" s="44">
        <f t="shared" si="22"/>
        <v>-2.2000000000002</v>
      </c>
      <c r="AA15" s="45">
        <f t="shared" si="23"/>
        <v>-0.20000000000130999</v>
      </c>
      <c r="AB15" s="49">
        <v>8.3081999999999905</v>
      </c>
      <c r="AC15" s="43">
        <f t="shared" si="24"/>
        <v>-0.200000000010192</v>
      </c>
      <c r="AD15" s="44">
        <f t="shared" si="25"/>
        <v>-2.3000000000088501</v>
      </c>
      <c r="AE15" s="45">
        <f t="shared" si="26"/>
        <v>-0.200000000010192</v>
      </c>
      <c r="AF15" s="50">
        <v>79385</v>
      </c>
      <c r="AG15" s="58">
        <f t="shared" si="27"/>
        <v>25</v>
      </c>
      <c r="AH15" s="59"/>
      <c r="AI15" s="60"/>
      <c r="AJ15" s="52"/>
      <c r="AK15" s="52"/>
      <c r="AL15" s="52"/>
      <c r="AM15" s="52"/>
      <c r="AN15" s="63"/>
      <c r="AO15" s="63"/>
      <c r="AP15" s="63"/>
      <c r="AQ15" s="63"/>
      <c r="AR15" s="63"/>
      <c r="AS15" s="63"/>
      <c r="AT15" s="63"/>
      <c r="AU15" s="63"/>
      <c r="AV15" s="63">
        <v>0.7</v>
      </c>
    </row>
    <row r="16" spans="1:48">
      <c r="A16" s="21">
        <v>44586</v>
      </c>
      <c r="B16" s="22">
        <v>792.27269999999999</v>
      </c>
      <c r="C16" s="27">
        <v>4.4737</v>
      </c>
      <c r="D16" s="23">
        <f t="shared" si="5"/>
        <v>796.74639999999999</v>
      </c>
      <c r="E16" s="24">
        <f t="shared" si="6"/>
        <v>-0.49999999998817701</v>
      </c>
      <c r="F16" s="25">
        <f t="shared" si="7"/>
        <v>-1.4999999999645299</v>
      </c>
      <c r="G16" s="26">
        <f t="shared" si="8"/>
        <v>-0.49999999998817701</v>
      </c>
      <c r="H16" s="6">
        <v>5.2344999999999997</v>
      </c>
      <c r="I16" s="35">
        <f t="shared" si="9"/>
        <v>797.50720000000001</v>
      </c>
      <c r="J16" s="24">
        <f t="shared" si="10"/>
        <v>9.9999999974897905E-2</v>
      </c>
      <c r="K16" s="25">
        <f t="shared" si="11"/>
        <v>-1.70000000002801</v>
      </c>
      <c r="L16" s="26">
        <f t="shared" si="12"/>
        <v>9.9999999974897905E-2</v>
      </c>
      <c r="M16" s="6">
        <v>4.4420999999999999</v>
      </c>
      <c r="N16" s="35">
        <f t="shared" si="13"/>
        <v>796.71479999999997</v>
      </c>
      <c r="O16" s="24">
        <f t="shared" si="14"/>
        <v>-0.20000000006348301</v>
      </c>
      <c r="P16" s="25">
        <f t="shared" si="15"/>
        <v>-2.00000000006639</v>
      </c>
      <c r="Q16" s="26">
        <f t="shared" si="16"/>
        <v>-0.20000000006348301</v>
      </c>
      <c r="R16" s="41"/>
      <c r="S16" s="21">
        <f t="shared" si="17"/>
        <v>44586</v>
      </c>
      <c r="T16" s="42">
        <v>8.1184999999999992</v>
      </c>
      <c r="U16" s="43">
        <f t="shared" si="18"/>
        <v>-0.20000000000130999</v>
      </c>
      <c r="V16" s="44">
        <f t="shared" si="19"/>
        <v>-2.9000000000003499</v>
      </c>
      <c r="W16" s="45">
        <f t="shared" si="20"/>
        <v>0.20000000000130999</v>
      </c>
      <c r="X16" s="29">
        <v>12.010999999999999</v>
      </c>
      <c r="Y16" s="43">
        <f t="shared" si="21"/>
        <v>9.99999999997669E-2</v>
      </c>
      <c r="Z16" s="44">
        <f t="shared" si="22"/>
        <v>-2.10000000000043</v>
      </c>
      <c r="AA16" s="45">
        <f t="shared" si="23"/>
        <v>9.99999999997669E-2</v>
      </c>
      <c r="AB16" s="49">
        <v>8.3084000000000007</v>
      </c>
      <c r="AC16" s="43">
        <f t="shared" si="24"/>
        <v>0.200000000010192</v>
      </c>
      <c r="AD16" s="44">
        <f t="shared" si="25"/>
        <v>-2.0999999999986598</v>
      </c>
      <c r="AE16" s="45">
        <f t="shared" si="26"/>
        <v>0.200000000010192</v>
      </c>
      <c r="AF16" s="50">
        <v>79385</v>
      </c>
      <c r="AG16" s="58">
        <f t="shared" si="27"/>
        <v>25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44587</v>
      </c>
      <c r="B17" s="22">
        <v>792.27269999999999</v>
      </c>
      <c r="C17" s="27">
        <v>4.4734999999999996</v>
      </c>
      <c r="D17" s="23">
        <f t="shared" si="5"/>
        <v>796.74620000000004</v>
      </c>
      <c r="E17" s="24">
        <f t="shared" si="6"/>
        <v>-0.20000000006348301</v>
      </c>
      <c r="F17" s="25">
        <f t="shared" si="7"/>
        <v>-1.70000000002801</v>
      </c>
      <c r="G17" s="26">
        <f t="shared" si="8"/>
        <v>-0.20000000006348301</v>
      </c>
      <c r="H17" s="6">
        <v>5.234</v>
      </c>
      <c r="I17" s="35">
        <f t="shared" si="9"/>
        <v>797.50670000000002</v>
      </c>
      <c r="J17" s="24">
        <f t="shared" si="10"/>
        <v>-0.49999999998817701</v>
      </c>
      <c r="K17" s="25">
        <f t="shared" si="11"/>
        <v>-2.2000000000161899</v>
      </c>
      <c r="L17" s="26">
        <f t="shared" si="12"/>
        <v>-0.49999999998817701</v>
      </c>
      <c r="M17" s="6">
        <v>4.4423000000000004</v>
      </c>
      <c r="N17" s="35">
        <f t="shared" si="13"/>
        <v>796.71500000000003</v>
      </c>
      <c r="O17" s="24">
        <f t="shared" si="14"/>
        <v>0.20000000006348301</v>
      </c>
      <c r="P17" s="25">
        <f t="shared" si="15"/>
        <v>-1.8000000000029099</v>
      </c>
      <c r="Q17" s="26">
        <f t="shared" si="16"/>
        <v>0.20000000006348301</v>
      </c>
      <c r="R17" s="41"/>
      <c r="S17" s="21">
        <f t="shared" si="17"/>
        <v>44587</v>
      </c>
      <c r="T17" s="42">
        <v>8.1189999999999998</v>
      </c>
      <c r="U17" s="43">
        <f t="shared" si="18"/>
        <v>0.50000000000061096</v>
      </c>
      <c r="V17" s="44">
        <f t="shared" si="19"/>
        <v>-2.3999999999997401</v>
      </c>
      <c r="W17" s="45">
        <f t="shared" si="20"/>
        <v>-0.50000000000061096</v>
      </c>
      <c r="X17" s="29">
        <v>12.0105</v>
      </c>
      <c r="Y17" s="43">
        <f t="shared" si="21"/>
        <v>-0.49999999999883499</v>
      </c>
      <c r="Z17" s="44">
        <f t="shared" si="22"/>
        <v>-2.59999999999927</v>
      </c>
      <c r="AA17" s="45">
        <f t="shared" si="23"/>
        <v>-0.49999999999883499</v>
      </c>
      <c r="AB17" s="49">
        <v>8.3077999999999896</v>
      </c>
      <c r="AC17" s="43">
        <f t="shared" si="24"/>
        <v>-0.60000000001103604</v>
      </c>
      <c r="AD17" s="44">
        <f t="shared" si="25"/>
        <v>-2.7000000000096902</v>
      </c>
      <c r="AE17" s="45">
        <f t="shared" si="26"/>
        <v>-0.60000000001103604</v>
      </c>
      <c r="AF17" s="50">
        <v>79385</v>
      </c>
      <c r="AG17" s="58">
        <f t="shared" si="27"/>
        <v>25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44597</v>
      </c>
      <c r="B18" s="22">
        <v>792.27269999999999</v>
      </c>
      <c r="C18" s="27">
        <v>4.4736000000000002</v>
      </c>
      <c r="D18" s="23">
        <f t="shared" si="5"/>
        <v>796.74630000000002</v>
      </c>
      <c r="E18" s="24">
        <f t="shared" ref="E18:E25" si="28">(D18-D17)*1000</f>
        <v>0.10000000008858501</v>
      </c>
      <c r="F18" s="25">
        <f t="shared" ref="F18:F25" si="29">F17+E18</f>
        <v>-1.5999999999394301</v>
      </c>
      <c r="G18" s="26">
        <f t="shared" ref="G18:G25" si="30">E18/(A18-A17)</f>
        <v>1.0000000008858499E-2</v>
      </c>
      <c r="H18" s="6">
        <v>5.2340999999999998</v>
      </c>
      <c r="I18" s="35">
        <f t="shared" si="9"/>
        <v>797.5068</v>
      </c>
      <c r="J18" s="24">
        <f t="shared" ref="J18:J25" si="31">(I18-I17)*1000</f>
        <v>9.9999999974897905E-2</v>
      </c>
      <c r="K18" s="25">
        <f t="shared" ref="K18:K25" si="32">K17+J18</f>
        <v>-2.1000000000412902</v>
      </c>
      <c r="L18" s="26">
        <f t="shared" ref="L18:L25" si="33">J18/(A18-A17)</f>
        <v>9.9999999974897894E-3</v>
      </c>
      <c r="M18" s="6">
        <v>4.4419000000000004</v>
      </c>
      <c r="N18" s="35">
        <f t="shared" si="13"/>
        <v>796.71460000000002</v>
      </c>
      <c r="O18" s="24">
        <f t="shared" ref="O18:O25" si="34">(N18-N17)*1000</f>
        <v>-0.40000000001327901</v>
      </c>
      <c r="P18" s="25">
        <f t="shared" ref="P18:P25" si="35">P17+O18</f>
        <v>-2.2000000000161899</v>
      </c>
      <c r="Q18" s="26">
        <f t="shared" ref="Q18:Q25" si="36">O18/(A18-A17)</f>
        <v>-4.0000000001327897E-2</v>
      </c>
      <c r="R18" s="41"/>
      <c r="S18" s="21">
        <f t="shared" si="17"/>
        <v>44597</v>
      </c>
      <c r="T18" s="42">
        <v>8.1186000000000007</v>
      </c>
      <c r="U18" s="43">
        <f t="shared" ref="U18:U25" si="37">(T18-T17)*1000</f>
        <v>-0.39999999999906799</v>
      </c>
      <c r="V18" s="44">
        <f t="shared" ref="V18:V25" si="38">V17+U18</f>
        <v>-2.7999999999987999</v>
      </c>
      <c r="W18" s="45">
        <f t="shared" ref="W18:W25" si="39">U18/(S17-S18)</f>
        <v>3.9999999999906798E-2</v>
      </c>
      <c r="X18" s="29">
        <v>12.010199999999999</v>
      </c>
      <c r="Y18" s="43">
        <f t="shared" ref="Y18:Y25" si="40">(X18-X17)*1000</f>
        <v>-0.30000000000107702</v>
      </c>
      <c r="Z18" s="44">
        <f t="shared" ref="Z18:Z25" si="41">Z17+Y18</f>
        <v>-2.9000000000003499</v>
      </c>
      <c r="AA18" s="45">
        <f t="shared" ref="AA18:AA25" si="42">Y18/(S18-S17)</f>
        <v>-3.0000000000107701E-2</v>
      </c>
      <c r="AB18" s="49">
        <v>8.3074999999999992</v>
      </c>
      <c r="AC18" s="43">
        <f t="shared" ref="AC18:AC25" si="43">(AB18-AB17)*1000</f>
        <v>-0.29999999999041899</v>
      </c>
      <c r="AD18" s="44">
        <f t="shared" ref="AD18:AD25" si="44">AD17+AC18</f>
        <v>-3.0000000000001101</v>
      </c>
      <c r="AE18" s="45">
        <f t="shared" ref="AE18:AE25" si="45">AC18/(S18-S17)</f>
        <v>-2.9999999999041901E-2</v>
      </c>
      <c r="AF18" s="50">
        <v>79385</v>
      </c>
      <c r="AG18" s="58">
        <f t="shared" si="27"/>
        <v>25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44602</v>
      </c>
      <c r="B19" s="22">
        <v>792.27269999999999</v>
      </c>
      <c r="C19" s="27">
        <v>4.4733000000000001</v>
      </c>
      <c r="D19" s="23">
        <f t="shared" si="5"/>
        <v>796.74599999999998</v>
      </c>
      <c r="E19" s="24">
        <f t="shared" si="28"/>
        <v>-0.30000000003838101</v>
      </c>
      <c r="F19" s="25">
        <f t="shared" si="29"/>
        <v>-1.8999999999778101</v>
      </c>
      <c r="G19" s="26">
        <f t="shared" si="30"/>
        <v>-6.0000000007676101E-2</v>
      </c>
      <c r="H19" s="6">
        <v>5.2337999999999996</v>
      </c>
      <c r="I19" s="35">
        <f t="shared" si="9"/>
        <v>797.50649999999996</v>
      </c>
      <c r="J19" s="24">
        <f t="shared" si="31"/>
        <v>-0.30000000003838101</v>
      </c>
      <c r="K19" s="25">
        <f t="shared" si="32"/>
        <v>-2.40000000007967</v>
      </c>
      <c r="L19" s="26">
        <f t="shared" si="33"/>
        <v>-6.0000000007676101E-2</v>
      </c>
      <c r="M19" s="6">
        <v>4.4417</v>
      </c>
      <c r="N19" s="35">
        <f t="shared" si="13"/>
        <v>796.71439999999996</v>
      </c>
      <c r="O19" s="24">
        <f t="shared" si="34"/>
        <v>-0.20000000006348301</v>
      </c>
      <c r="P19" s="25">
        <f t="shared" si="35"/>
        <v>-2.40000000007967</v>
      </c>
      <c r="Q19" s="26">
        <f t="shared" si="36"/>
        <v>-4.0000000012696497E-2</v>
      </c>
      <c r="R19" s="41"/>
      <c r="S19" s="21">
        <f t="shared" si="17"/>
        <v>44602</v>
      </c>
      <c r="T19" s="42">
        <v>8.1181000000000001</v>
      </c>
      <c r="U19" s="43">
        <f t="shared" si="37"/>
        <v>-0.50000000000061096</v>
      </c>
      <c r="V19" s="44">
        <f t="shared" si="38"/>
        <v>-3.2999999999994101</v>
      </c>
      <c r="W19" s="45">
        <f t="shared" si="39"/>
        <v>0.10000000000012201</v>
      </c>
      <c r="X19" s="29">
        <v>12.010300000000001</v>
      </c>
      <c r="Y19" s="43">
        <f t="shared" si="40"/>
        <v>0.10000000000154299</v>
      </c>
      <c r="Z19" s="44">
        <f t="shared" si="41"/>
        <v>-2.7999999999987999</v>
      </c>
      <c r="AA19" s="45">
        <f t="shared" si="42"/>
        <v>2.0000000000308701E-2</v>
      </c>
      <c r="AB19" s="49">
        <v>8.3075999999999901</v>
      </c>
      <c r="AC19" s="43">
        <f t="shared" si="43"/>
        <v>9.9999999990885199E-2</v>
      </c>
      <c r="AD19" s="44">
        <f t="shared" si="44"/>
        <v>-2.9000000000092299</v>
      </c>
      <c r="AE19" s="45">
        <f t="shared" si="45"/>
        <v>1.9999999998177E-2</v>
      </c>
      <c r="AF19" s="50">
        <v>79385</v>
      </c>
      <c r="AG19" s="58">
        <f t="shared" si="27"/>
        <v>25</v>
      </c>
      <c r="AH19" s="59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44603</v>
      </c>
      <c r="B20" s="22">
        <v>792.27269999999999</v>
      </c>
      <c r="C20" s="27">
        <v>4.4734999999999996</v>
      </c>
      <c r="D20" s="23">
        <f t="shared" si="5"/>
        <v>796.74620000000004</v>
      </c>
      <c r="E20" s="24">
        <f t="shared" si="28"/>
        <v>0.199999999949796</v>
      </c>
      <c r="F20" s="25">
        <f t="shared" si="29"/>
        <v>-1.70000000002801</v>
      </c>
      <c r="G20" s="26">
        <f t="shared" si="30"/>
        <v>0.199999999949796</v>
      </c>
      <c r="H20" s="6">
        <v>5.234</v>
      </c>
      <c r="I20" s="35">
        <f t="shared" si="9"/>
        <v>797.50670000000002</v>
      </c>
      <c r="J20" s="24">
        <f t="shared" si="31"/>
        <v>0.20000000006348301</v>
      </c>
      <c r="K20" s="25">
        <f t="shared" si="32"/>
        <v>-2.2000000000161899</v>
      </c>
      <c r="L20" s="26">
        <f t="shared" si="33"/>
        <v>0.20000000006348301</v>
      </c>
      <c r="M20" s="6">
        <v>4.4414999999999996</v>
      </c>
      <c r="N20" s="35">
        <f t="shared" si="13"/>
        <v>796.71420000000001</v>
      </c>
      <c r="O20" s="24">
        <f t="shared" si="34"/>
        <v>-0.199999999949796</v>
      </c>
      <c r="P20" s="25">
        <f t="shared" si="35"/>
        <v>-2.6000000000294698</v>
      </c>
      <c r="Q20" s="26">
        <f t="shared" si="36"/>
        <v>-0.199999999949796</v>
      </c>
      <c r="R20" s="41"/>
      <c r="S20" s="21">
        <f t="shared" si="17"/>
        <v>44603</v>
      </c>
      <c r="T20" s="42">
        <v>8.1179000000000006</v>
      </c>
      <c r="U20" s="43">
        <f t="shared" si="37"/>
        <v>-0.19999999999953399</v>
      </c>
      <c r="V20" s="44">
        <f t="shared" si="38"/>
        <v>-3.4999999999989502</v>
      </c>
      <c r="W20" s="45">
        <f t="shared" si="39"/>
        <v>0.19999999999953399</v>
      </c>
      <c r="X20" s="29">
        <v>12.010400000000001</v>
      </c>
      <c r="Y20" s="43">
        <f t="shared" si="40"/>
        <v>9.99999999997669E-2</v>
      </c>
      <c r="Z20" s="44">
        <f t="shared" si="41"/>
        <v>-2.6999999999990401</v>
      </c>
      <c r="AA20" s="45">
        <f t="shared" si="42"/>
        <v>9.99999999997669E-2</v>
      </c>
      <c r="AB20" s="49">
        <v>8.3074999999999992</v>
      </c>
      <c r="AC20" s="43">
        <f t="shared" si="43"/>
        <v>-9.9999999990885199E-2</v>
      </c>
      <c r="AD20" s="44">
        <f t="shared" si="44"/>
        <v>-3.0000000000001101</v>
      </c>
      <c r="AE20" s="45">
        <f t="shared" si="45"/>
        <v>-9.9999999990885199E-2</v>
      </c>
      <c r="AF20" s="50">
        <v>79385</v>
      </c>
      <c r="AG20" s="58">
        <f t="shared" si="27"/>
        <v>25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44604</v>
      </c>
      <c r="B21" s="22">
        <v>792.27269999999999</v>
      </c>
      <c r="C21" s="27">
        <v>4.4732000000000003</v>
      </c>
      <c r="D21" s="23">
        <f t="shared" si="5"/>
        <v>796.74590000000001</v>
      </c>
      <c r="E21" s="24">
        <f t="shared" si="28"/>
        <v>-0.29999999992469401</v>
      </c>
      <c r="F21" s="25">
        <f t="shared" si="29"/>
        <v>-1.9999999999527101</v>
      </c>
      <c r="G21" s="26">
        <f t="shared" si="30"/>
        <v>-0.29999999992469401</v>
      </c>
      <c r="H21" s="6">
        <v>5.2333999999999996</v>
      </c>
      <c r="I21" s="35">
        <f t="shared" si="9"/>
        <v>797.50609999999995</v>
      </c>
      <c r="J21" s="24">
        <f t="shared" si="31"/>
        <v>-0.60000000007676102</v>
      </c>
      <c r="K21" s="25">
        <f t="shared" si="32"/>
        <v>-2.8000000000929499</v>
      </c>
      <c r="L21" s="26">
        <f t="shared" si="33"/>
        <v>-0.60000000007676102</v>
      </c>
      <c r="M21" s="6">
        <v>4.4412000000000003</v>
      </c>
      <c r="N21" s="35">
        <f t="shared" si="13"/>
        <v>796.71389999999997</v>
      </c>
      <c r="O21" s="24">
        <f t="shared" si="34"/>
        <v>-0.30000000003838101</v>
      </c>
      <c r="P21" s="25">
        <f t="shared" si="35"/>
        <v>-2.9000000000678501</v>
      </c>
      <c r="Q21" s="26">
        <f t="shared" si="36"/>
        <v>-0.30000000003838101</v>
      </c>
      <c r="R21" s="41"/>
      <c r="S21" s="21">
        <f t="shared" si="17"/>
        <v>44604</v>
      </c>
      <c r="T21" s="42">
        <v>8.1181000000000001</v>
      </c>
      <c r="U21" s="43">
        <f t="shared" si="37"/>
        <v>0.19999999999953399</v>
      </c>
      <c r="V21" s="44">
        <f t="shared" si="38"/>
        <v>-3.2999999999994101</v>
      </c>
      <c r="W21" s="45">
        <f t="shared" si="39"/>
        <v>-0.19999999999953399</v>
      </c>
      <c r="X21" s="29">
        <v>12.0099</v>
      </c>
      <c r="Y21" s="43">
        <f t="shared" si="40"/>
        <v>-0.50000000000061096</v>
      </c>
      <c r="Z21" s="44">
        <f t="shared" si="41"/>
        <v>-3.1999999999996498</v>
      </c>
      <c r="AA21" s="45">
        <f t="shared" si="42"/>
        <v>-0.50000000000061096</v>
      </c>
      <c r="AB21" s="49">
        <v>8.3071999999999893</v>
      </c>
      <c r="AC21" s="43">
        <f t="shared" si="43"/>
        <v>-0.30000000000995902</v>
      </c>
      <c r="AD21" s="44">
        <f t="shared" si="44"/>
        <v>-3.30000000001007</v>
      </c>
      <c r="AE21" s="45">
        <f t="shared" si="45"/>
        <v>-0.30000000000995902</v>
      </c>
      <c r="AF21" s="50">
        <v>79385</v>
      </c>
      <c r="AG21" s="58">
        <f t="shared" si="27"/>
        <v>25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44606</v>
      </c>
      <c r="B22" s="22">
        <v>792.27269999999999</v>
      </c>
      <c r="C22" s="27">
        <v>4.4730999999999996</v>
      </c>
      <c r="D22" s="23">
        <f t="shared" si="5"/>
        <v>796.74580000000003</v>
      </c>
      <c r="E22" s="24">
        <f t="shared" si="28"/>
        <v>-9.9999999974897905E-2</v>
      </c>
      <c r="F22" s="25">
        <f t="shared" si="29"/>
        <v>-2.0999999999275998</v>
      </c>
      <c r="G22" s="26">
        <f t="shared" si="30"/>
        <v>-4.9999999987449001E-2</v>
      </c>
      <c r="H22" s="6">
        <v>5.2335000000000003</v>
      </c>
      <c r="I22" s="35">
        <f t="shared" si="9"/>
        <v>797.50620000000004</v>
      </c>
      <c r="J22" s="24">
        <f t="shared" si="31"/>
        <v>0.10000000008858501</v>
      </c>
      <c r="K22" s="25">
        <f t="shared" si="32"/>
        <v>-2.70000000000437</v>
      </c>
      <c r="L22" s="26">
        <f t="shared" si="33"/>
        <v>5.0000000044292399E-2</v>
      </c>
      <c r="M22" s="6">
        <v>4.4410999999999996</v>
      </c>
      <c r="N22" s="35">
        <f t="shared" si="13"/>
        <v>796.71379999999999</v>
      </c>
      <c r="O22" s="24">
        <f t="shared" si="34"/>
        <v>-9.9999999974897905E-2</v>
      </c>
      <c r="P22" s="25">
        <f t="shared" si="35"/>
        <v>-3.0000000000427498</v>
      </c>
      <c r="Q22" s="26">
        <f t="shared" si="36"/>
        <v>-4.9999999987449001E-2</v>
      </c>
      <c r="R22" s="41"/>
      <c r="S22" s="21">
        <f t="shared" si="17"/>
        <v>44606</v>
      </c>
      <c r="T22" s="42">
        <v>8.1175000000000104</v>
      </c>
      <c r="U22" s="43">
        <f t="shared" si="37"/>
        <v>-0.59999999998971998</v>
      </c>
      <c r="V22" s="44">
        <f t="shared" si="38"/>
        <v>-3.8999999999891299</v>
      </c>
      <c r="W22" s="45">
        <f t="shared" si="39"/>
        <v>0.29999999999485999</v>
      </c>
      <c r="X22" s="29">
        <v>12.0097</v>
      </c>
      <c r="Y22" s="43">
        <f t="shared" si="40"/>
        <v>-0.19999999999953399</v>
      </c>
      <c r="Z22" s="44">
        <f t="shared" si="41"/>
        <v>-3.3999999999991801</v>
      </c>
      <c r="AA22" s="45">
        <f t="shared" si="42"/>
        <v>-9.99999999997669E-2</v>
      </c>
      <c r="AB22" s="49">
        <v>8.3069999999999897</v>
      </c>
      <c r="AC22" s="43">
        <f t="shared" si="43"/>
        <v>-0.19999999999953399</v>
      </c>
      <c r="AD22" s="44">
        <f t="shared" si="44"/>
        <v>-3.5000000000096101</v>
      </c>
      <c r="AE22" s="45">
        <f t="shared" si="45"/>
        <v>-9.99999999997669E-2</v>
      </c>
      <c r="AF22" s="50">
        <v>79385</v>
      </c>
      <c r="AG22" s="58">
        <f t="shared" si="27"/>
        <v>25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44608</v>
      </c>
      <c r="B23" s="22">
        <v>792.27269999999999</v>
      </c>
      <c r="C23" s="27">
        <v>4.4733000000000001</v>
      </c>
      <c r="D23" s="23">
        <f t="shared" si="5"/>
        <v>796.74599999999998</v>
      </c>
      <c r="E23" s="24">
        <f t="shared" si="28"/>
        <v>0.199999999949796</v>
      </c>
      <c r="F23" s="25">
        <f t="shared" si="29"/>
        <v>-1.8999999999778101</v>
      </c>
      <c r="G23" s="26">
        <f t="shared" si="30"/>
        <v>9.9999999974897905E-2</v>
      </c>
      <c r="H23" s="6">
        <v>5.2332999999999998</v>
      </c>
      <c r="I23" s="35">
        <f t="shared" si="9"/>
        <v>797.50599999999997</v>
      </c>
      <c r="J23" s="24">
        <f t="shared" si="31"/>
        <v>-0.20000000006348301</v>
      </c>
      <c r="K23" s="25">
        <f t="shared" si="32"/>
        <v>-2.9000000000678501</v>
      </c>
      <c r="L23" s="26">
        <f t="shared" si="33"/>
        <v>-0.100000000031741</v>
      </c>
      <c r="M23" s="6">
        <v>4.4409000000000098</v>
      </c>
      <c r="N23" s="35">
        <f t="shared" si="13"/>
        <v>796.71360000000004</v>
      </c>
      <c r="O23" s="24">
        <f t="shared" si="34"/>
        <v>-0.199999999949796</v>
      </c>
      <c r="P23" s="25">
        <f t="shared" si="35"/>
        <v>-3.1999999999925399</v>
      </c>
      <c r="Q23" s="26">
        <f t="shared" si="36"/>
        <v>-9.9999999974897905E-2</v>
      </c>
      <c r="R23" s="41"/>
      <c r="S23" s="21">
        <f t="shared" si="17"/>
        <v>44608</v>
      </c>
      <c r="T23" s="42">
        <v>8.1173000000000108</v>
      </c>
      <c r="U23" s="43">
        <f t="shared" si="37"/>
        <v>-0.19999999999953399</v>
      </c>
      <c r="V23" s="44">
        <f t="shared" si="38"/>
        <v>-4.09999999998867</v>
      </c>
      <c r="W23" s="45">
        <f t="shared" si="39"/>
        <v>9.99999999997669E-2</v>
      </c>
      <c r="X23" s="29">
        <v>12.0099</v>
      </c>
      <c r="Y23" s="43">
        <f t="shared" si="40"/>
        <v>0.19999999999953399</v>
      </c>
      <c r="Z23" s="44">
        <f t="shared" si="41"/>
        <v>-3.1999999999996498</v>
      </c>
      <c r="AA23" s="45">
        <f t="shared" si="42"/>
        <v>9.99999999997669E-2</v>
      </c>
      <c r="AB23" s="49">
        <v>8.3071999999999999</v>
      </c>
      <c r="AC23" s="43">
        <f t="shared" si="43"/>
        <v>0.200000000010192</v>
      </c>
      <c r="AD23" s="44">
        <f t="shared" si="44"/>
        <v>-3.2999999999994101</v>
      </c>
      <c r="AE23" s="45">
        <f t="shared" si="45"/>
        <v>0.100000000005096</v>
      </c>
      <c r="AF23" s="50">
        <v>79385</v>
      </c>
      <c r="AG23" s="58">
        <f t="shared" si="27"/>
        <v>25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44610</v>
      </c>
      <c r="B24" s="22">
        <v>792.27269999999999</v>
      </c>
      <c r="C24" s="27">
        <v>4.4728000000000003</v>
      </c>
      <c r="D24" s="23">
        <f t="shared" si="5"/>
        <v>796.74549999999999</v>
      </c>
      <c r="E24" s="24">
        <f t="shared" si="28"/>
        <v>-0.49999999998817701</v>
      </c>
      <c r="F24" s="25">
        <f t="shared" si="29"/>
        <v>-2.39999999996598</v>
      </c>
      <c r="G24" s="26">
        <f t="shared" si="30"/>
        <v>-0.24999999999408801</v>
      </c>
      <c r="H24" s="6">
        <v>5.2331000000000003</v>
      </c>
      <c r="I24" s="35">
        <f t="shared" si="9"/>
        <v>797.50580000000002</v>
      </c>
      <c r="J24" s="24">
        <f t="shared" si="31"/>
        <v>-0.199999999949796</v>
      </c>
      <c r="K24" s="25">
        <f t="shared" si="32"/>
        <v>-3.1000000000176402</v>
      </c>
      <c r="L24" s="26">
        <f t="shared" si="33"/>
        <v>-9.9999999974897905E-2</v>
      </c>
      <c r="M24" s="6">
        <v>4.4410999999999996</v>
      </c>
      <c r="N24" s="35">
        <f t="shared" si="13"/>
        <v>796.71379999999999</v>
      </c>
      <c r="O24" s="24">
        <f t="shared" si="34"/>
        <v>0.199999999949796</v>
      </c>
      <c r="P24" s="25">
        <f t="shared" si="35"/>
        <v>-3.0000000000427498</v>
      </c>
      <c r="Q24" s="26">
        <f t="shared" si="36"/>
        <v>9.9999999974897905E-2</v>
      </c>
      <c r="R24" s="41"/>
      <c r="S24" s="21">
        <f t="shared" si="17"/>
        <v>44610</v>
      </c>
      <c r="T24" s="42">
        <v>8.1174999999999997</v>
      </c>
      <c r="U24" s="43">
        <f t="shared" si="37"/>
        <v>0.19999999998887599</v>
      </c>
      <c r="V24" s="44">
        <f t="shared" si="38"/>
        <v>-3.8999999999997899</v>
      </c>
      <c r="W24" s="45">
        <f t="shared" si="39"/>
        <v>-9.9999999994437899E-2</v>
      </c>
      <c r="X24" s="29">
        <v>12.0093</v>
      </c>
      <c r="Y24" s="43">
        <f t="shared" si="40"/>
        <v>-0.60000000000037801</v>
      </c>
      <c r="Z24" s="44">
        <f t="shared" si="41"/>
        <v>-3.80000000000003</v>
      </c>
      <c r="AA24" s="45">
        <f t="shared" si="42"/>
        <v>-0.300000000000189</v>
      </c>
      <c r="AB24" s="49">
        <v>8.30659999999998</v>
      </c>
      <c r="AC24" s="43">
        <f t="shared" si="43"/>
        <v>-0.60000000001991804</v>
      </c>
      <c r="AD24" s="44">
        <f t="shared" si="44"/>
        <v>-3.9000000000193298</v>
      </c>
      <c r="AE24" s="45">
        <f t="shared" si="45"/>
        <v>-0.30000000000995902</v>
      </c>
      <c r="AF24" s="50">
        <v>79393</v>
      </c>
      <c r="AG24" s="58">
        <f t="shared" si="27"/>
        <v>33</v>
      </c>
      <c r="AH24" s="61"/>
      <c r="AI24" s="52"/>
      <c r="AJ24" s="52"/>
      <c r="AK24" s="52"/>
      <c r="AL24" s="52"/>
      <c r="AM24" s="52"/>
      <c r="AN24" s="63"/>
      <c r="AO24" s="63"/>
      <c r="AP24" s="63"/>
      <c r="AQ24" s="63"/>
      <c r="AR24" s="63"/>
      <c r="AS24" s="63"/>
      <c r="AT24" s="63"/>
      <c r="AU24" s="63"/>
      <c r="AV24" s="63">
        <v>0.7</v>
      </c>
    </row>
    <row r="25" spans="1:48">
      <c r="A25" s="21">
        <v>44612</v>
      </c>
      <c r="B25" s="22">
        <v>792.27269999999999</v>
      </c>
      <c r="C25" s="27">
        <v>4.4729000000000001</v>
      </c>
      <c r="D25" s="23">
        <f t="shared" si="5"/>
        <v>796.74559999999997</v>
      </c>
      <c r="E25" s="24">
        <f t="shared" si="28"/>
        <v>9.9999999974897905E-2</v>
      </c>
      <c r="F25" s="25">
        <f t="shared" si="29"/>
        <v>-2.2999999999910901</v>
      </c>
      <c r="G25" s="26">
        <f t="shared" si="30"/>
        <v>4.9999999987449001E-2</v>
      </c>
      <c r="H25" s="6">
        <v>5.2329999999999997</v>
      </c>
      <c r="I25" s="35">
        <f t="shared" si="9"/>
        <v>797.50570000000005</v>
      </c>
      <c r="J25" s="24">
        <f t="shared" si="31"/>
        <v>-0.10000000008858501</v>
      </c>
      <c r="K25" s="25">
        <f t="shared" si="32"/>
        <v>-3.2000000001062299</v>
      </c>
      <c r="L25" s="26">
        <f t="shared" si="33"/>
        <v>-5.0000000044292399E-2</v>
      </c>
      <c r="M25" s="6">
        <v>4.4409999999999998</v>
      </c>
      <c r="N25" s="35">
        <f t="shared" si="13"/>
        <v>796.71370000000002</v>
      </c>
      <c r="O25" s="24">
        <f t="shared" si="34"/>
        <v>-9.9999999974897905E-2</v>
      </c>
      <c r="P25" s="25">
        <f t="shared" si="35"/>
        <v>-3.1000000000176402</v>
      </c>
      <c r="Q25" s="26">
        <f t="shared" si="36"/>
        <v>-4.9999999987449001E-2</v>
      </c>
      <c r="R25" s="41"/>
      <c r="S25" s="21">
        <f t="shared" si="17"/>
        <v>44612</v>
      </c>
      <c r="T25" s="42">
        <v>8.1175999999999995</v>
      </c>
      <c r="U25" s="43">
        <f t="shared" si="37"/>
        <v>9.99999999997669E-2</v>
      </c>
      <c r="V25" s="44">
        <f t="shared" si="38"/>
        <v>-3.80000000000003</v>
      </c>
      <c r="W25" s="45">
        <f t="shared" si="39"/>
        <v>-4.9999999999883499E-2</v>
      </c>
      <c r="X25" s="29">
        <v>12.009499999999999</v>
      </c>
      <c r="Y25" s="43">
        <f t="shared" si="40"/>
        <v>0.19999999999953399</v>
      </c>
      <c r="Z25" s="44">
        <f t="shared" si="41"/>
        <v>-3.6000000000004899</v>
      </c>
      <c r="AA25" s="45">
        <f t="shared" si="42"/>
        <v>9.99999999997669E-2</v>
      </c>
      <c r="AB25" s="49">
        <v>8.3066999999999993</v>
      </c>
      <c r="AC25" s="43">
        <f t="shared" si="43"/>
        <v>0.10000000001930701</v>
      </c>
      <c r="AD25" s="44">
        <f t="shared" si="44"/>
        <v>-3.80000000000003</v>
      </c>
      <c r="AE25" s="45">
        <f t="shared" si="45"/>
        <v>5.0000000009653399E-2</v>
      </c>
      <c r="AF25" s="50">
        <v>79405</v>
      </c>
      <c r="AG25" s="58">
        <f t="shared" si="27"/>
        <v>45</v>
      </c>
      <c r="AH25" s="61"/>
      <c r="AI25" s="52"/>
      <c r="AJ25" s="52"/>
      <c r="AK25" s="52"/>
      <c r="AL25" s="52"/>
      <c r="AM25" s="52"/>
    </row>
    <row r="26" spans="1:48">
      <c r="A26" s="21">
        <v>44614</v>
      </c>
      <c r="B26" s="22">
        <v>792.27269999999999</v>
      </c>
      <c r="C26" s="27">
        <v>4.4726999999999997</v>
      </c>
      <c r="D26" s="23">
        <f t="shared" si="5"/>
        <v>796.74540000000002</v>
      </c>
      <c r="E26" s="24">
        <f t="shared" ref="E26:E28" si="46">(D26-D25)*1000</f>
        <v>-0.199999999949796</v>
      </c>
      <c r="F26" s="25">
        <f t="shared" ref="F26:F28" si="47">F25+E26</f>
        <v>-2.4999999999408802</v>
      </c>
      <c r="G26" s="26">
        <f t="shared" ref="G26:G28" si="48">E26/(A26-A25)</f>
        <v>-9.9999999974897905E-2</v>
      </c>
      <c r="H26" s="6">
        <v>5.2327000000000004</v>
      </c>
      <c r="I26" s="35">
        <f t="shared" si="9"/>
        <v>797.50540000000001</v>
      </c>
      <c r="J26" s="24">
        <f t="shared" ref="J26:J28" si="49">(I26-I25)*1000</f>
        <v>-0.29999999992469401</v>
      </c>
      <c r="K26" s="25">
        <f t="shared" ref="K26:K28" si="50">K25+J26</f>
        <v>-3.5000000000309202</v>
      </c>
      <c r="L26" s="26">
        <f t="shared" ref="L26:L28" si="51">J26/(A26-A25)</f>
        <v>-0.149999999962347</v>
      </c>
      <c r="M26" s="6">
        <v>4.4412000000000003</v>
      </c>
      <c r="N26" s="35">
        <f t="shared" si="13"/>
        <v>796.71389999999997</v>
      </c>
      <c r="O26" s="24">
        <f t="shared" ref="O26:O28" si="52">(N26-N25)*1000</f>
        <v>0.199999999949796</v>
      </c>
      <c r="P26" s="25">
        <f t="shared" ref="P26:P28" si="53">P25+O26</f>
        <v>-2.9000000000678501</v>
      </c>
      <c r="Q26" s="26">
        <f t="shared" ref="Q26:Q28" si="54">O26/(A26-A25)</f>
        <v>9.9999999974897905E-2</v>
      </c>
      <c r="R26" s="41"/>
      <c r="S26" s="21">
        <f t="shared" si="17"/>
        <v>44614</v>
      </c>
      <c r="T26" s="42">
        <v>8.1174999999999997</v>
      </c>
      <c r="U26" s="43">
        <f t="shared" ref="U26:U28" si="55">(T26-T25)*1000</f>
        <v>-9.99999999997669E-2</v>
      </c>
      <c r="V26" s="44">
        <f t="shared" ref="V26:V28" si="56">V25+U26</f>
        <v>-3.8999999999997899</v>
      </c>
      <c r="W26" s="45">
        <f t="shared" ref="W26:W28" si="57">U26/(S25-S26)</f>
        <v>4.9999999999883499E-2</v>
      </c>
      <c r="X26" s="29">
        <v>12.0093</v>
      </c>
      <c r="Y26" s="43">
        <f t="shared" ref="Y26:Y28" si="58">(X26-X25)*1000</f>
        <v>-0.19999999999953399</v>
      </c>
      <c r="Z26" s="44">
        <f t="shared" ref="Z26:Z28" si="59">Z25+Y26</f>
        <v>-3.80000000000003</v>
      </c>
      <c r="AA26" s="45">
        <f t="shared" ref="AA26:AA28" si="60">Y26/(S26-S25)</f>
        <v>-9.99999999997669E-2</v>
      </c>
      <c r="AB26" s="49">
        <v>8.3065999999999995</v>
      </c>
      <c r="AC26" s="43">
        <f t="shared" ref="AC26:AC28" si="61">(AB26-AB25)*1000</f>
        <v>-9.99999999997669E-2</v>
      </c>
      <c r="AD26" s="44">
        <f t="shared" ref="AD26:AD28" si="62">AD25+AC26</f>
        <v>-3.8999999999997899</v>
      </c>
      <c r="AE26" s="45">
        <f t="shared" ref="AE26:AE28" si="63">AC26/(S26-S25)</f>
        <v>-4.9999999999883499E-2</v>
      </c>
      <c r="AF26" s="50">
        <v>79408</v>
      </c>
      <c r="AG26" s="58">
        <f t="shared" si="27"/>
        <v>48</v>
      </c>
      <c r="AH26" s="61"/>
      <c r="AI26" s="52"/>
      <c r="AJ26" s="52"/>
      <c r="AK26" s="52"/>
      <c r="AL26" s="52"/>
      <c r="AM26" s="52"/>
    </row>
    <row r="27" spans="1:48">
      <c r="A27" s="21">
        <v>44616</v>
      </c>
      <c r="B27" s="22">
        <v>792.27269999999999</v>
      </c>
      <c r="C27" s="27">
        <v>4.4729999999999999</v>
      </c>
      <c r="D27" s="23">
        <f t="shared" si="5"/>
        <v>796.74570000000006</v>
      </c>
      <c r="E27" s="24">
        <f t="shared" si="46"/>
        <v>0.29999999992469401</v>
      </c>
      <c r="F27" s="25">
        <f t="shared" si="47"/>
        <v>-2.2000000000161899</v>
      </c>
      <c r="G27" s="26">
        <f t="shared" si="48"/>
        <v>0.149999999962347</v>
      </c>
      <c r="H27" s="6">
        <v>5.2328999999999999</v>
      </c>
      <c r="I27" s="35">
        <f t="shared" si="9"/>
        <v>797.50559999999996</v>
      </c>
      <c r="J27" s="24">
        <f t="shared" si="49"/>
        <v>0.199999999949796</v>
      </c>
      <c r="K27" s="25">
        <f t="shared" si="50"/>
        <v>-3.30000000008113</v>
      </c>
      <c r="L27" s="26">
        <f t="shared" si="51"/>
        <v>9.9999999974897905E-2</v>
      </c>
      <c r="M27" s="6">
        <v>4.4409000000000001</v>
      </c>
      <c r="N27" s="35">
        <f t="shared" si="13"/>
        <v>796.71360000000004</v>
      </c>
      <c r="O27" s="24">
        <f t="shared" si="52"/>
        <v>-0.29999999992469401</v>
      </c>
      <c r="P27" s="25">
        <f t="shared" si="53"/>
        <v>-3.1999999999925399</v>
      </c>
      <c r="Q27" s="26">
        <f t="shared" si="54"/>
        <v>-0.149999999962347</v>
      </c>
      <c r="R27" s="41"/>
      <c r="S27" s="21">
        <f t="shared" si="17"/>
        <v>44616</v>
      </c>
      <c r="T27" s="42">
        <v>8.1176999999999992</v>
      </c>
      <c r="U27" s="43">
        <f t="shared" si="55"/>
        <v>0.19999999999953399</v>
      </c>
      <c r="V27" s="44">
        <f t="shared" si="56"/>
        <v>-3.70000000000026</v>
      </c>
      <c r="W27" s="45">
        <f t="shared" si="57"/>
        <v>-9.99999999997669E-2</v>
      </c>
      <c r="X27" s="29">
        <v>12.0097</v>
      </c>
      <c r="Y27" s="43">
        <f t="shared" si="58"/>
        <v>0.40000000000084401</v>
      </c>
      <c r="Z27" s="44">
        <f t="shared" si="59"/>
        <v>-3.3999999999991801</v>
      </c>
      <c r="AA27" s="45">
        <f t="shared" si="60"/>
        <v>0.20000000000042201</v>
      </c>
      <c r="AB27" s="49">
        <v>8.3068000000000204</v>
      </c>
      <c r="AC27" s="43">
        <f t="shared" si="61"/>
        <v>0.20000000002085</v>
      </c>
      <c r="AD27" s="44">
        <f t="shared" si="62"/>
        <v>-3.6999999999789401</v>
      </c>
      <c r="AE27" s="45">
        <f t="shared" si="63"/>
        <v>0.100000000010425</v>
      </c>
      <c r="AF27" s="50">
        <v>79417</v>
      </c>
      <c r="AG27" s="58">
        <f t="shared" si="27"/>
        <v>57</v>
      </c>
      <c r="AH27" s="61"/>
      <c r="AI27" s="52"/>
      <c r="AJ27" s="52"/>
      <c r="AK27" s="52"/>
      <c r="AL27" s="52"/>
      <c r="AM27" s="52"/>
    </row>
    <row r="28" spans="1:48">
      <c r="A28" s="21">
        <v>44625</v>
      </c>
      <c r="B28" s="22">
        <v>792.27269999999999</v>
      </c>
      <c r="C28" s="27">
        <v>4.4730999999999996</v>
      </c>
      <c r="D28" s="23">
        <f t="shared" si="5"/>
        <v>796.74580000000003</v>
      </c>
      <c r="E28" s="24">
        <f t="shared" si="46"/>
        <v>0.10000000008858501</v>
      </c>
      <c r="F28" s="25">
        <f t="shared" si="47"/>
        <v>-2.0999999999275998</v>
      </c>
      <c r="G28" s="26">
        <f t="shared" si="48"/>
        <v>1.11111111209539E-2</v>
      </c>
      <c r="H28" s="6">
        <v>5.2328000000000001</v>
      </c>
      <c r="I28" s="35">
        <f t="shared" si="9"/>
        <v>797.50549999999998</v>
      </c>
      <c r="J28" s="24">
        <f t="shared" si="49"/>
        <v>-9.9999999974897905E-2</v>
      </c>
      <c r="K28" s="25">
        <f t="shared" si="50"/>
        <v>-3.40000000005602</v>
      </c>
      <c r="L28" s="26">
        <f t="shared" si="51"/>
        <v>-1.1111111108322001E-2</v>
      </c>
      <c r="M28" s="6">
        <v>4.4408000000000003</v>
      </c>
      <c r="N28" s="35">
        <f t="shared" si="13"/>
        <v>796.71349999999995</v>
      </c>
      <c r="O28" s="24">
        <f t="shared" si="52"/>
        <v>-0.10000000008858501</v>
      </c>
      <c r="P28" s="25">
        <f t="shared" si="53"/>
        <v>-3.30000000008113</v>
      </c>
      <c r="Q28" s="26">
        <f t="shared" si="54"/>
        <v>-1.11111111209539E-2</v>
      </c>
      <c r="R28" s="41"/>
      <c r="S28" s="21">
        <f t="shared" si="17"/>
        <v>44625</v>
      </c>
      <c r="T28" s="42">
        <v>8.1178000000000008</v>
      </c>
      <c r="U28" s="43">
        <f t="shared" si="55"/>
        <v>0.10000000000154299</v>
      </c>
      <c r="V28" s="44">
        <f t="shared" si="56"/>
        <v>-3.5999999999987198</v>
      </c>
      <c r="W28" s="45">
        <f t="shared" si="57"/>
        <v>-1.1111111111282599E-2</v>
      </c>
      <c r="X28" s="29">
        <v>12.0099</v>
      </c>
      <c r="Y28" s="43">
        <f t="shared" si="58"/>
        <v>0.19999999999953399</v>
      </c>
      <c r="Z28" s="44">
        <f t="shared" si="59"/>
        <v>-3.1999999999996498</v>
      </c>
      <c r="AA28" s="45">
        <f t="shared" si="60"/>
        <v>2.22222222221704E-2</v>
      </c>
      <c r="AB28" s="49">
        <v>8.3069000000000397</v>
      </c>
      <c r="AC28" s="43">
        <f t="shared" si="61"/>
        <v>0.10000000001930701</v>
      </c>
      <c r="AD28" s="44">
        <f t="shared" si="62"/>
        <v>-3.5999999999596399</v>
      </c>
      <c r="AE28" s="45">
        <f t="shared" si="63"/>
        <v>1.11111111132563E-2</v>
      </c>
      <c r="AF28" s="50">
        <v>79429</v>
      </c>
      <c r="AG28" s="58">
        <f t="shared" si="27"/>
        <v>69</v>
      </c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65">
        <f>F28-F25</f>
        <v>0.20000000006348301</v>
      </c>
      <c r="F29" s="33">
        <f>K28-K25</f>
        <v>-0.199999999949796</v>
      </c>
      <c r="G29" s="33">
        <f>P28-P25</f>
        <v>-0.20000000006348301</v>
      </c>
      <c r="H29" s="33">
        <f>F28</f>
        <v>-2.0999999999275998</v>
      </c>
      <c r="I29" s="66">
        <f>K28</f>
        <v>-3.40000000005602</v>
      </c>
      <c r="J29" s="65">
        <f>P28</f>
        <v>-3.30000000008113</v>
      </c>
      <c r="K29" s="33">
        <f>(K28-K25)/13</f>
        <v>-1.5384615380753501E-2</v>
      </c>
      <c r="L29" s="26"/>
      <c r="N29" s="35"/>
      <c r="O29" s="24"/>
      <c r="P29" s="25"/>
      <c r="Q29" s="26"/>
      <c r="R29" s="41"/>
      <c r="S29" s="21"/>
      <c r="T29" s="42"/>
      <c r="U29" s="65">
        <f>V28-V25</f>
        <v>0.20000000000130999</v>
      </c>
      <c r="V29" s="33">
        <f>Z28-Z25</f>
        <v>0.40000000000084401</v>
      </c>
      <c r="W29" s="33">
        <f>AD28-AD25</f>
        <v>0.20000000004039001</v>
      </c>
      <c r="X29" s="33">
        <f>V28</f>
        <v>-3.5999999999987198</v>
      </c>
      <c r="Y29" s="65">
        <f>Z28</f>
        <v>-3.1999999999996498</v>
      </c>
      <c r="Z29" s="33">
        <f>AD28</f>
        <v>-3.5999999999596399</v>
      </c>
      <c r="AA29" s="33">
        <f>(Z28-Z25)/13</f>
        <v>3.0769230769295702E-2</v>
      </c>
      <c r="AB29" s="49"/>
      <c r="AC29" s="43"/>
      <c r="AD29" s="44"/>
      <c r="AE29" s="45"/>
      <c r="AF29" s="50"/>
      <c r="AG29" s="58"/>
      <c r="AH29" s="61"/>
      <c r="AI29" s="60"/>
      <c r="AJ29"/>
      <c r="AK29"/>
      <c r="AL29"/>
      <c r="AM29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A17" workbookViewId="0">
      <selection activeCell="A30" sqref="A30:XFD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44605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44605</v>
      </c>
      <c r="B6" s="22">
        <v>792.27269999999999</v>
      </c>
      <c r="C6" s="27">
        <v>4.1414</v>
      </c>
      <c r="D6" s="23">
        <f t="shared" ref="D6:D13" si="0">C6+B6</f>
        <v>796.41409999999996</v>
      </c>
      <c r="E6" s="24">
        <v>0</v>
      </c>
      <c r="F6" s="25">
        <v>0</v>
      </c>
      <c r="G6" s="26">
        <v>0</v>
      </c>
      <c r="H6" s="6">
        <v>5.2249999999999996</v>
      </c>
      <c r="I6" s="35">
        <f t="shared" ref="I6:I13" si="1">H6+B6</f>
        <v>797.49770000000001</v>
      </c>
      <c r="J6" s="24">
        <v>0</v>
      </c>
      <c r="K6" s="25">
        <v>0</v>
      </c>
      <c r="L6" s="26">
        <v>0</v>
      </c>
      <c r="M6" s="6">
        <v>4.2882999999999996</v>
      </c>
      <c r="N6" s="35">
        <f t="shared" ref="N6:N13" si="2">M6+B6</f>
        <v>796.56100000000004</v>
      </c>
      <c r="O6" s="24">
        <v>0</v>
      </c>
      <c r="P6" s="25">
        <v>0</v>
      </c>
      <c r="Q6" s="26">
        <v>0</v>
      </c>
      <c r="R6" s="41"/>
      <c r="S6" s="21">
        <f t="shared" ref="S6:S13" si="3">A6</f>
        <v>44605</v>
      </c>
      <c r="T6" s="42">
        <v>7.9486999999999997</v>
      </c>
      <c r="U6" s="43">
        <v>0</v>
      </c>
      <c r="V6" s="44">
        <v>0</v>
      </c>
      <c r="W6" s="45">
        <f>U6/(S6-S11)</f>
        <v>0</v>
      </c>
      <c r="X6" s="29">
        <v>12.0014</v>
      </c>
      <c r="Y6" s="43">
        <v>0</v>
      </c>
      <c r="Z6" s="44">
        <v>0</v>
      </c>
      <c r="AA6" s="45">
        <v>0</v>
      </c>
      <c r="AB6" s="49">
        <v>8.4124999999999996</v>
      </c>
      <c r="AC6" s="43">
        <v>0</v>
      </c>
      <c r="AD6" s="44">
        <v>0</v>
      </c>
      <c r="AE6" s="45">
        <v>0</v>
      </c>
      <c r="AF6" s="50">
        <v>79385</v>
      </c>
      <c r="AG6" s="58">
        <f>AF6-79378</f>
        <v>7</v>
      </c>
      <c r="AH6" s="59"/>
      <c r="AI6" s="60"/>
      <c r="AJ6" s="61"/>
      <c r="AK6" s="62"/>
      <c r="AL6" s="52"/>
      <c r="AM6" s="52"/>
    </row>
    <row r="7" spans="1:48">
      <c r="A7" s="21">
        <v>44606</v>
      </c>
      <c r="B7" s="22">
        <v>792.27269999999999</v>
      </c>
      <c r="C7" s="27">
        <v>4.1412000000000004</v>
      </c>
      <c r="D7" s="23">
        <f t="shared" si="0"/>
        <v>796.41390000000001</v>
      </c>
      <c r="E7" s="24">
        <f t="shared" ref="E7:E13" si="4">(D7-D6)*1000</f>
        <v>-0.199999999949796</v>
      </c>
      <c r="F7" s="25">
        <f t="shared" ref="F7:F13" si="5">F6+E7</f>
        <v>-0.199999999949796</v>
      </c>
      <c r="G7" s="26">
        <f t="shared" ref="G7:G13" si="6">E7/(A7-A6)</f>
        <v>-0.199999999949796</v>
      </c>
      <c r="H7" s="6">
        <v>5.2248000000000001</v>
      </c>
      <c r="I7" s="35">
        <f t="shared" si="1"/>
        <v>797.49749999999995</v>
      </c>
      <c r="J7" s="24">
        <f t="shared" ref="J7:J13" si="7">(I7-I6)*1000</f>
        <v>-0.20000000006348301</v>
      </c>
      <c r="K7" s="25">
        <f t="shared" ref="K7:K13" si="8">K6+J7</f>
        <v>-0.20000000006348301</v>
      </c>
      <c r="L7" s="26">
        <f t="shared" ref="L7:L13" si="9">J7/(A7-A6)</f>
        <v>-0.20000000006348301</v>
      </c>
      <c r="M7" s="6">
        <v>4.2880000000000003</v>
      </c>
      <c r="N7" s="35">
        <f t="shared" si="2"/>
        <v>796.5607</v>
      </c>
      <c r="O7" s="24">
        <f t="shared" ref="O7:O13" si="10">(N7-N6)*1000</f>
        <v>-0.30000000003838101</v>
      </c>
      <c r="P7" s="25">
        <f t="shared" ref="P7:P13" si="11">P6+O7</f>
        <v>-0.30000000003838101</v>
      </c>
      <c r="Q7" s="26">
        <f t="shared" ref="Q7:Q13" si="12">O7/(A7-A6)</f>
        <v>-0.30000000003838101</v>
      </c>
      <c r="R7" s="41"/>
      <c r="S7" s="21">
        <f t="shared" si="3"/>
        <v>44606</v>
      </c>
      <c r="T7" s="42">
        <v>7.9485000000000001</v>
      </c>
      <c r="U7" s="43">
        <f t="shared" ref="U7:U13" si="13">(T7-T6)*1000</f>
        <v>-0.19999999999953399</v>
      </c>
      <c r="V7" s="44">
        <f t="shared" ref="V7:V13" si="14">V6+U7</f>
        <v>-0.19999999999953399</v>
      </c>
      <c r="W7" s="45">
        <f t="shared" ref="W7:W13" si="15">U7/(S6-S7)</f>
        <v>0.19999999999953399</v>
      </c>
      <c r="X7" s="29">
        <v>12.0016</v>
      </c>
      <c r="Y7" s="43">
        <f t="shared" ref="Y7:Y13" si="16">(X7-X6)*1000</f>
        <v>0.19999999999953399</v>
      </c>
      <c r="Z7" s="44">
        <f t="shared" ref="Z7:Z13" si="17">Z6+Y7</f>
        <v>0.19999999999953399</v>
      </c>
      <c r="AA7" s="45">
        <f t="shared" ref="AA7:AA13" si="18">Y7/(S7-S6)</f>
        <v>0.19999999999953399</v>
      </c>
      <c r="AB7" s="49">
        <v>8.4120000000000008</v>
      </c>
      <c r="AC7" s="43">
        <f t="shared" ref="AC7:AC13" si="19">(AB7-AB6)*1000</f>
        <v>-0.49999999999883499</v>
      </c>
      <c r="AD7" s="44">
        <f t="shared" ref="AD7:AD13" si="20">AD6+AC7</f>
        <v>-0.49999999999883499</v>
      </c>
      <c r="AE7" s="45">
        <f t="shared" ref="AE7:AE13" si="21">AC7/(S7-S6)</f>
        <v>-0.49999999999883499</v>
      </c>
      <c r="AF7" s="50">
        <v>79385</v>
      </c>
      <c r="AG7" s="58">
        <f t="shared" ref="AG7:AG13" si="22">AF7-79378</f>
        <v>7</v>
      </c>
      <c r="AH7" s="59"/>
      <c r="AI7" s="60"/>
      <c r="AJ7" s="61"/>
      <c r="AK7" s="62"/>
      <c r="AL7" s="52"/>
      <c r="AM7" s="52"/>
    </row>
    <row r="8" spans="1:48">
      <c r="A8" s="21">
        <v>44607</v>
      </c>
      <c r="B8" s="22">
        <v>792.27269999999999</v>
      </c>
      <c r="C8" s="27">
        <v>4.1414999999999997</v>
      </c>
      <c r="D8" s="23">
        <f t="shared" si="0"/>
        <v>796.41420000000005</v>
      </c>
      <c r="E8" s="24">
        <f t="shared" si="4"/>
        <v>0.29999999992469401</v>
      </c>
      <c r="F8" s="25">
        <f t="shared" si="5"/>
        <v>9.9999999974897905E-2</v>
      </c>
      <c r="G8" s="26">
        <f t="shared" si="6"/>
        <v>0.29999999992469401</v>
      </c>
      <c r="H8" s="6">
        <v>5.2243000000000004</v>
      </c>
      <c r="I8" s="35">
        <f t="shared" si="1"/>
        <v>797.49699999999996</v>
      </c>
      <c r="J8" s="24">
        <f t="shared" si="7"/>
        <v>-0.49999999998817701</v>
      </c>
      <c r="K8" s="25">
        <f t="shared" si="8"/>
        <v>-0.70000000005165897</v>
      </c>
      <c r="L8" s="26">
        <f t="shared" si="9"/>
        <v>-0.49999999998817701</v>
      </c>
      <c r="M8" s="6">
        <v>4.2881999999999998</v>
      </c>
      <c r="N8" s="35">
        <f t="shared" si="2"/>
        <v>796.56089999999995</v>
      </c>
      <c r="O8" s="24">
        <f t="shared" si="10"/>
        <v>0.199999999949796</v>
      </c>
      <c r="P8" s="25">
        <f t="shared" si="11"/>
        <v>-0.10000000008858501</v>
      </c>
      <c r="Q8" s="26">
        <f t="shared" si="12"/>
        <v>0.199999999949796</v>
      </c>
      <c r="R8" s="41"/>
      <c r="S8" s="21">
        <f t="shared" si="3"/>
        <v>44607</v>
      </c>
      <c r="T8" s="42">
        <v>7.9482999999999997</v>
      </c>
      <c r="U8" s="43">
        <f t="shared" si="13"/>
        <v>-0.20000000000042201</v>
      </c>
      <c r="V8" s="44">
        <f t="shared" si="14"/>
        <v>-0.399999999999956</v>
      </c>
      <c r="W8" s="45">
        <f t="shared" si="15"/>
        <v>0.20000000000042201</v>
      </c>
      <c r="X8" s="29">
        <v>12.001200000000001</v>
      </c>
      <c r="Y8" s="43">
        <f t="shared" si="16"/>
        <v>-0.39999999999906799</v>
      </c>
      <c r="Z8" s="44">
        <f t="shared" si="17"/>
        <v>-0.19999999999953399</v>
      </c>
      <c r="AA8" s="45">
        <f t="shared" si="18"/>
        <v>-0.39999999999906799</v>
      </c>
      <c r="AB8" s="49">
        <v>8.4123000000000001</v>
      </c>
      <c r="AC8" s="43">
        <f t="shared" si="19"/>
        <v>0.29999999999930099</v>
      </c>
      <c r="AD8" s="44">
        <f t="shared" si="20"/>
        <v>-0.19999999999953399</v>
      </c>
      <c r="AE8" s="45">
        <f t="shared" si="21"/>
        <v>0.29999999999930099</v>
      </c>
      <c r="AF8" s="50">
        <v>79389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44608</v>
      </c>
      <c r="B9" s="22">
        <v>792.27269999999999</v>
      </c>
      <c r="C9" s="27">
        <v>4.1407999999999996</v>
      </c>
      <c r="D9" s="23">
        <f t="shared" si="0"/>
        <v>796.4135</v>
      </c>
      <c r="E9" s="24">
        <f t="shared" si="4"/>
        <v>-0.69999999993797202</v>
      </c>
      <c r="F9" s="25">
        <f t="shared" si="5"/>
        <v>-0.59999999996307496</v>
      </c>
      <c r="G9" s="26">
        <f t="shared" si="6"/>
        <v>-0.69999999993797202</v>
      </c>
      <c r="H9" s="6">
        <v>5.2240000000000002</v>
      </c>
      <c r="I9" s="35">
        <f t="shared" si="1"/>
        <v>797.49670000000003</v>
      </c>
      <c r="J9" s="24">
        <f t="shared" si="7"/>
        <v>-0.29999999992469401</v>
      </c>
      <c r="K9" s="25">
        <f t="shared" si="8"/>
        <v>-0.99999999997635303</v>
      </c>
      <c r="L9" s="26">
        <f t="shared" si="9"/>
        <v>-0.29999999992469401</v>
      </c>
      <c r="M9" s="6">
        <v>4.2882999999999996</v>
      </c>
      <c r="N9" s="35">
        <f t="shared" si="2"/>
        <v>796.56100000000004</v>
      </c>
      <c r="O9" s="24">
        <f t="shared" si="10"/>
        <v>0.10000000008858501</v>
      </c>
      <c r="P9" s="25">
        <f t="shared" si="11"/>
        <v>0</v>
      </c>
      <c r="Q9" s="26">
        <f t="shared" si="12"/>
        <v>0.10000000008858501</v>
      </c>
      <c r="R9" s="41"/>
      <c r="S9" s="21">
        <f t="shared" si="3"/>
        <v>44608</v>
      </c>
      <c r="T9" s="42">
        <v>7.9480000000000004</v>
      </c>
      <c r="U9" s="43">
        <f t="shared" si="13"/>
        <v>-0.29999999999930099</v>
      </c>
      <c r="V9" s="44">
        <f t="shared" si="14"/>
        <v>-0.69999999999925699</v>
      </c>
      <c r="W9" s="45">
        <f t="shared" si="15"/>
        <v>0.29999999999930099</v>
      </c>
      <c r="X9" s="29">
        <v>12.001300000000001</v>
      </c>
      <c r="Y9" s="43">
        <f t="shared" si="16"/>
        <v>9.99999999997669E-2</v>
      </c>
      <c r="Z9" s="44">
        <f t="shared" si="17"/>
        <v>-9.99999999997669E-2</v>
      </c>
      <c r="AA9" s="45">
        <f t="shared" si="18"/>
        <v>9.99999999997669E-2</v>
      </c>
      <c r="AB9" s="49">
        <v>8.4122000000000003</v>
      </c>
      <c r="AC9" s="43">
        <f t="shared" si="19"/>
        <v>-9.99999999997669E-2</v>
      </c>
      <c r="AD9" s="44">
        <f t="shared" si="20"/>
        <v>-0.29999999999930099</v>
      </c>
      <c r="AE9" s="45">
        <f t="shared" si="21"/>
        <v>-9.99999999997669E-2</v>
      </c>
      <c r="AF9" s="50">
        <v>79392</v>
      </c>
      <c r="AG9" s="58">
        <f t="shared" si="22"/>
        <v>14</v>
      </c>
      <c r="AH9" s="59"/>
      <c r="AI9" s="60"/>
      <c r="AJ9" s="61"/>
      <c r="AK9" s="62"/>
      <c r="AL9" s="52"/>
      <c r="AM9" s="52"/>
    </row>
    <row r="10" spans="1:48">
      <c r="A10" s="21">
        <v>44609</v>
      </c>
      <c r="B10" s="22">
        <v>792.27269999999999</v>
      </c>
      <c r="C10" s="27">
        <v>4.1406000000000001</v>
      </c>
      <c r="D10" s="23">
        <f t="shared" si="0"/>
        <v>796.41330000000005</v>
      </c>
      <c r="E10" s="24">
        <f t="shared" si="4"/>
        <v>-0.20000000006348301</v>
      </c>
      <c r="F10" s="25">
        <f t="shared" si="5"/>
        <v>-0.80000000002655702</v>
      </c>
      <c r="G10" s="26">
        <f t="shared" si="6"/>
        <v>-0.20000000006348301</v>
      </c>
      <c r="H10" s="6">
        <v>5.2241</v>
      </c>
      <c r="I10" s="35">
        <f t="shared" si="1"/>
        <v>797.49680000000001</v>
      </c>
      <c r="J10" s="24">
        <f t="shared" si="7"/>
        <v>9.9999999974897905E-2</v>
      </c>
      <c r="K10" s="25">
        <f t="shared" si="8"/>
        <v>-0.90000000000145497</v>
      </c>
      <c r="L10" s="26">
        <f t="shared" si="9"/>
        <v>9.9999999974897905E-2</v>
      </c>
      <c r="M10" s="6">
        <v>4.2881</v>
      </c>
      <c r="N10" s="35">
        <f t="shared" si="2"/>
        <v>796.56079999999997</v>
      </c>
      <c r="O10" s="24">
        <f t="shared" si="10"/>
        <v>-0.20000000006348301</v>
      </c>
      <c r="P10" s="25">
        <f t="shared" si="11"/>
        <v>-0.20000000006348301</v>
      </c>
      <c r="Q10" s="26">
        <f t="shared" si="12"/>
        <v>-0.20000000006348301</v>
      </c>
      <c r="R10" s="41"/>
      <c r="S10" s="21">
        <f t="shared" si="3"/>
        <v>44609</v>
      </c>
      <c r="T10" s="42">
        <v>7.9478999999999997</v>
      </c>
      <c r="U10" s="43">
        <f t="shared" si="13"/>
        <v>-0.100000000000655</v>
      </c>
      <c r="V10" s="44">
        <f t="shared" si="14"/>
        <v>-0.799999999999912</v>
      </c>
      <c r="W10" s="45">
        <f t="shared" si="15"/>
        <v>0.100000000000655</v>
      </c>
      <c r="X10" s="29">
        <v>12.000999999999999</v>
      </c>
      <c r="Y10" s="43">
        <f t="shared" si="16"/>
        <v>-0.30000000000107702</v>
      </c>
      <c r="Z10" s="44">
        <f t="shared" si="17"/>
        <v>-0.40000000000084401</v>
      </c>
      <c r="AA10" s="45">
        <f t="shared" si="18"/>
        <v>-0.30000000000107702</v>
      </c>
      <c r="AB10" s="49">
        <v>8.4121000000000006</v>
      </c>
      <c r="AC10" s="43">
        <f t="shared" si="19"/>
        <v>-9.99999999997669E-2</v>
      </c>
      <c r="AD10" s="44">
        <f t="shared" si="20"/>
        <v>-0.39999999999906799</v>
      </c>
      <c r="AE10" s="45">
        <f t="shared" si="21"/>
        <v>-9.99999999997669E-2</v>
      </c>
      <c r="AF10" s="50">
        <v>79395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44610</v>
      </c>
      <c r="B11" s="22">
        <v>792.27269999999999</v>
      </c>
      <c r="C11" s="27">
        <v>4.1405000000000003</v>
      </c>
      <c r="D11" s="23">
        <f t="shared" si="0"/>
        <v>796.41319999999996</v>
      </c>
      <c r="E11" s="24">
        <f t="shared" si="4"/>
        <v>-9.9999999974897905E-2</v>
      </c>
      <c r="F11" s="25">
        <f t="shared" si="5"/>
        <v>-0.90000000000145497</v>
      </c>
      <c r="G11" s="26">
        <f t="shared" si="6"/>
        <v>-9.9999999974897905E-2</v>
      </c>
      <c r="H11" s="6">
        <v>5.2237999999999998</v>
      </c>
      <c r="I11" s="35">
        <f t="shared" si="1"/>
        <v>797.49649999999997</v>
      </c>
      <c r="J11" s="24">
        <f t="shared" si="7"/>
        <v>-0.30000000003838101</v>
      </c>
      <c r="K11" s="25">
        <f t="shared" si="8"/>
        <v>-1.2000000000398401</v>
      </c>
      <c r="L11" s="26">
        <f t="shared" si="9"/>
        <v>-0.30000000003838101</v>
      </c>
      <c r="M11" s="6">
        <v>4.2880000000000003</v>
      </c>
      <c r="N11" s="35">
        <f t="shared" si="2"/>
        <v>796.5607</v>
      </c>
      <c r="O11" s="24">
        <f t="shared" si="10"/>
        <v>-9.9999999974897905E-2</v>
      </c>
      <c r="P11" s="25">
        <f t="shared" si="11"/>
        <v>-0.30000000003838101</v>
      </c>
      <c r="Q11" s="26">
        <f t="shared" si="12"/>
        <v>-9.9999999974897905E-2</v>
      </c>
      <c r="R11" s="41"/>
      <c r="S11" s="21">
        <f t="shared" si="3"/>
        <v>44610</v>
      </c>
      <c r="T11" s="42">
        <v>7.9477000000000002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12.0008</v>
      </c>
      <c r="Y11" s="43">
        <f t="shared" si="16"/>
        <v>-0.19999999999953399</v>
      </c>
      <c r="Z11" s="44">
        <f t="shared" si="17"/>
        <v>-0.60000000000037801</v>
      </c>
      <c r="AA11" s="45">
        <f t="shared" si="18"/>
        <v>-0.19999999999953399</v>
      </c>
      <c r="AB11" s="49">
        <v>8.4117999999999995</v>
      </c>
      <c r="AC11" s="43">
        <f t="shared" si="19"/>
        <v>-0.30000000000107702</v>
      </c>
      <c r="AD11" s="44">
        <f t="shared" si="20"/>
        <v>-0.70000000000014495</v>
      </c>
      <c r="AE11" s="45">
        <f t="shared" si="21"/>
        <v>-0.30000000000107702</v>
      </c>
      <c r="AF11" s="50">
        <v>79398</v>
      </c>
      <c r="AG11" s="58">
        <f t="shared" si="22"/>
        <v>20</v>
      </c>
      <c r="AH11" s="59"/>
      <c r="AI11" s="60"/>
      <c r="AJ11" s="52"/>
      <c r="AK11" s="52"/>
      <c r="AL11" s="52"/>
      <c r="AM11" s="52"/>
    </row>
    <row r="12" spans="1:48" s="67" customFormat="1">
      <c r="A12" s="21">
        <v>44611</v>
      </c>
      <c r="B12" s="22">
        <v>792.27269999999999</v>
      </c>
      <c r="C12" s="27">
        <v>4.1402000000000001</v>
      </c>
      <c r="D12" s="23">
        <f t="shared" si="0"/>
        <v>796.41290000000004</v>
      </c>
      <c r="E12" s="24">
        <f t="shared" si="4"/>
        <v>-0.29999999992469401</v>
      </c>
      <c r="F12" s="25">
        <f t="shared" si="5"/>
        <v>-1.1999999999261499</v>
      </c>
      <c r="G12" s="26">
        <f t="shared" si="6"/>
        <v>-0.29999999992469401</v>
      </c>
      <c r="H12" s="6">
        <v>5.2239000000000004</v>
      </c>
      <c r="I12" s="35">
        <f t="shared" si="1"/>
        <v>797.49659999999994</v>
      </c>
      <c r="J12" s="24">
        <f t="shared" si="7"/>
        <v>9.9999999974897905E-2</v>
      </c>
      <c r="K12" s="25">
        <f t="shared" si="8"/>
        <v>-1.1000000000649399</v>
      </c>
      <c r="L12" s="26">
        <f t="shared" si="9"/>
        <v>9.9999999974897905E-2</v>
      </c>
      <c r="M12" s="6">
        <v>4.2877999999999998</v>
      </c>
      <c r="N12" s="35">
        <f t="shared" si="2"/>
        <v>796.56050000000005</v>
      </c>
      <c r="O12" s="24">
        <f t="shared" si="10"/>
        <v>-0.20000000006348301</v>
      </c>
      <c r="P12" s="25">
        <f t="shared" si="11"/>
        <v>-0.50000000010186296</v>
      </c>
      <c r="Q12" s="26">
        <f t="shared" si="12"/>
        <v>-0.20000000006348301</v>
      </c>
      <c r="R12" s="41"/>
      <c r="S12" s="21">
        <f t="shared" si="3"/>
        <v>44611</v>
      </c>
      <c r="T12" s="42">
        <v>7.9474999999999998</v>
      </c>
      <c r="U12" s="43">
        <f t="shared" si="13"/>
        <v>-0.20000000000042201</v>
      </c>
      <c r="V12" s="44">
        <f t="shared" si="14"/>
        <v>-1.1999999999998701</v>
      </c>
      <c r="W12" s="45">
        <f t="shared" si="15"/>
        <v>0.20000000000042201</v>
      </c>
      <c r="X12" s="29">
        <v>12.0006</v>
      </c>
      <c r="Y12" s="43">
        <f t="shared" si="16"/>
        <v>-0.19999999999953399</v>
      </c>
      <c r="Z12" s="44">
        <f t="shared" si="17"/>
        <v>-0.799999999999912</v>
      </c>
      <c r="AA12" s="45">
        <f t="shared" si="18"/>
        <v>-0.19999999999953399</v>
      </c>
      <c r="AB12" s="49">
        <v>8.4118999999999993</v>
      </c>
      <c r="AC12" s="43">
        <f t="shared" si="19"/>
        <v>9.99999999997669E-2</v>
      </c>
      <c r="AD12" s="44">
        <f t="shared" si="20"/>
        <v>-0.60000000000037801</v>
      </c>
      <c r="AE12" s="45">
        <f t="shared" si="21"/>
        <v>9.99999999997669E-2</v>
      </c>
      <c r="AF12" s="50">
        <v>79401</v>
      </c>
      <c r="AG12" s="58">
        <f t="shared" si="22"/>
        <v>23</v>
      </c>
      <c r="AH12" s="61"/>
      <c r="AI12" s="60"/>
    </row>
    <row r="13" spans="1:48">
      <c r="A13" s="21">
        <v>44612</v>
      </c>
      <c r="B13" s="22">
        <v>792.27269999999999</v>
      </c>
      <c r="C13" s="27">
        <v>4.1399999999999997</v>
      </c>
      <c r="D13" s="23">
        <f t="shared" si="0"/>
        <v>796.41269999999997</v>
      </c>
      <c r="E13" s="24">
        <f t="shared" si="4"/>
        <v>-0.20000000006348301</v>
      </c>
      <c r="F13" s="25">
        <f t="shared" si="5"/>
        <v>-1.39999999998963</v>
      </c>
      <c r="G13" s="26">
        <f t="shared" si="6"/>
        <v>-0.20000000006348301</v>
      </c>
      <c r="H13" s="6">
        <v>5.2237</v>
      </c>
      <c r="I13" s="35">
        <f t="shared" si="1"/>
        <v>797.49639999999999</v>
      </c>
      <c r="J13" s="24">
        <f t="shared" si="7"/>
        <v>-0.199999999949796</v>
      </c>
      <c r="K13" s="25">
        <f t="shared" si="8"/>
        <v>-1.30000000001473</v>
      </c>
      <c r="L13" s="26">
        <f t="shared" si="9"/>
        <v>-0.199999999949796</v>
      </c>
      <c r="M13" s="6">
        <v>4.2876000000000003</v>
      </c>
      <c r="N13" s="35">
        <f t="shared" si="2"/>
        <v>796.56029999999998</v>
      </c>
      <c r="O13" s="24">
        <f t="shared" si="10"/>
        <v>-0.199999999949796</v>
      </c>
      <c r="P13" s="25">
        <f t="shared" si="11"/>
        <v>-0.70000000005165897</v>
      </c>
      <c r="Q13" s="26">
        <f t="shared" si="12"/>
        <v>-0.199999999949796</v>
      </c>
      <c r="R13" s="41"/>
      <c r="S13" s="21">
        <f t="shared" si="3"/>
        <v>44612</v>
      </c>
      <c r="T13" s="42">
        <v>7.9474</v>
      </c>
      <c r="U13" s="43">
        <f t="shared" si="13"/>
        <v>-9.99999999997669E-2</v>
      </c>
      <c r="V13" s="44">
        <f t="shared" si="14"/>
        <v>-1.2999999999996299</v>
      </c>
      <c r="W13" s="45">
        <f t="shared" si="15"/>
        <v>9.99999999997669E-2</v>
      </c>
      <c r="X13" s="29">
        <v>12.0007</v>
      </c>
      <c r="Y13" s="43">
        <f t="shared" si="16"/>
        <v>9.99999999997669E-2</v>
      </c>
      <c r="Z13" s="44">
        <f t="shared" si="17"/>
        <v>-0.70000000000014495</v>
      </c>
      <c r="AA13" s="45">
        <f t="shared" si="18"/>
        <v>9.99999999997669E-2</v>
      </c>
      <c r="AB13" s="49">
        <v>8.4120000000000008</v>
      </c>
      <c r="AC13" s="43">
        <f t="shared" si="19"/>
        <v>0.10000000000154299</v>
      </c>
      <c r="AD13" s="44">
        <f t="shared" si="20"/>
        <v>-0.49999999999883499</v>
      </c>
      <c r="AE13" s="45">
        <f t="shared" si="21"/>
        <v>0.10000000000154299</v>
      </c>
      <c r="AF13" s="50">
        <v>79405</v>
      </c>
      <c r="AG13" s="58">
        <f t="shared" si="22"/>
        <v>27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44613</v>
      </c>
      <c r="B14" s="22">
        <v>792.27269999999999</v>
      </c>
      <c r="C14" s="27">
        <v>4.1398000000000001</v>
      </c>
      <c r="D14" s="23">
        <f t="shared" ref="D14:D20" si="23">C14+B14</f>
        <v>796.41250000000002</v>
      </c>
      <c r="E14" s="24">
        <f t="shared" ref="E14:E20" si="24">(D14-D13)*1000</f>
        <v>-0.199999999949796</v>
      </c>
      <c r="F14" s="25">
        <f t="shared" ref="F14:F20" si="25">F13+E14</f>
        <v>-1.5999999999394301</v>
      </c>
      <c r="G14" s="26">
        <f t="shared" ref="G14:G20" si="26">E14/(A14-A13)</f>
        <v>-0.199999999949796</v>
      </c>
      <c r="H14" s="6">
        <v>5.2234999999999996</v>
      </c>
      <c r="I14" s="35">
        <f t="shared" ref="I14:I20" si="27">H14+B14</f>
        <v>797.49620000000004</v>
      </c>
      <c r="J14" s="24">
        <f t="shared" ref="J14:J20" si="28">(I14-I13)*1000</f>
        <v>-0.20000000006348301</v>
      </c>
      <c r="K14" s="25">
        <f t="shared" ref="K14:K20" si="29">K13+J14</f>
        <v>-1.5000000000782201</v>
      </c>
      <c r="L14" s="26">
        <f t="shared" ref="L14:L20" si="30">J14/(A14-A13)</f>
        <v>-0.20000000006348301</v>
      </c>
      <c r="M14" s="6">
        <v>4.2874999999999996</v>
      </c>
      <c r="N14" s="35">
        <f t="shared" ref="N14:N20" si="31">M14+B14</f>
        <v>796.56020000000001</v>
      </c>
      <c r="O14" s="24">
        <f t="shared" ref="O14:O20" si="32">(N14-N13)*1000</f>
        <v>-9.9999999974897905E-2</v>
      </c>
      <c r="P14" s="25">
        <f t="shared" ref="P14:P20" si="33">P13+O14</f>
        <v>-0.80000000002655702</v>
      </c>
      <c r="Q14" s="26">
        <f t="shared" ref="Q14:Q20" si="34">O14/(A14-A13)</f>
        <v>-9.9999999974897905E-2</v>
      </c>
      <c r="R14" s="41"/>
      <c r="S14" s="21">
        <f t="shared" ref="S14:S29" si="35">A14</f>
        <v>44613</v>
      </c>
      <c r="T14" s="42">
        <v>7.9473000000000003</v>
      </c>
      <c r="U14" s="43">
        <f t="shared" ref="U14:U24" si="36">(T14-T13)*1000</f>
        <v>-9.99999999997669E-2</v>
      </c>
      <c r="V14" s="44">
        <f t="shared" ref="V14:V24" si="37">V13+U14</f>
        <v>-1.3999999999993999</v>
      </c>
      <c r="W14" s="45">
        <f t="shared" ref="W14:W24" si="38">U14/(S13-S14)</f>
        <v>9.99999999997669E-2</v>
      </c>
      <c r="X14" s="29">
        <v>12.000500000000001</v>
      </c>
      <c r="Y14" s="43">
        <f t="shared" ref="Y14:Y24" si="39">(X14-X13)*1000</f>
        <v>-0.19999999999953399</v>
      </c>
      <c r="Z14" s="44">
        <f t="shared" ref="Z14:Z24" si="40">Z13+Y14</f>
        <v>-0.89999999999967895</v>
      </c>
      <c r="AA14" s="45">
        <f t="shared" ref="AA14:AA24" si="41">Y14/(S14-S13)</f>
        <v>-0.19999999999953399</v>
      </c>
      <c r="AB14" s="49">
        <v>8.4121000000000006</v>
      </c>
      <c r="AC14" s="43">
        <f t="shared" ref="AC14:AC24" si="42">(AB14-AB13)*1000</f>
        <v>9.99999999997669E-2</v>
      </c>
      <c r="AD14" s="44">
        <f t="shared" ref="AD14:AD24" si="43">AD13+AC14</f>
        <v>-0.39999999999906799</v>
      </c>
      <c r="AE14" s="45">
        <f t="shared" ref="AE14:AE24" si="44">AC14/(S14-S13)</f>
        <v>9.99999999997669E-2</v>
      </c>
      <c r="AF14" s="50">
        <v>79409</v>
      </c>
      <c r="AG14" s="58">
        <f t="shared" ref="AG14:AG29" si="45">AF14-79378</f>
        <v>31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44614</v>
      </c>
      <c r="B15" s="22">
        <v>792.27269999999999</v>
      </c>
      <c r="C15" s="27">
        <v>4.1399999999999997</v>
      </c>
      <c r="D15" s="23">
        <f t="shared" si="23"/>
        <v>796.41269999999997</v>
      </c>
      <c r="E15" s="24">
        <f t="shared" si="24"/>
        <v>0.199999999949796</v>
      </c>
      <c r="F15" s="25">
        <f t="shared" si="25"/>
        <v>-1.39999999998963</v>
      </c>
      <c r="G15" s="26">
        <f t="shared" si="26"/>
        <v>0.199999999949796</v>
      </c>
      <c r="H15" s="6">
        <v>5.2233999999999998</v>
      </c>
      <c r="I15" s="35">
        <f t="shared" si="27"/>
        <v>797.49609999999996</v>
      </c>
      <c r="J15" s="24">
        <f t="shared" si="28"/>
        <v>-9.9999999974897905E-2</v>
      </c>
      <c r="K15" s="25">
        <f t="shared" si="29"/>
        <v>-1.60000000005311</v>
      </c>
      <c r="L15" s="26">
        <f t="shared" si="30"/>
        <v>-9.9999999974897905E-2</v>
      </c>
      <c r="M15" s="6">
        <v>4.2872000000000003</v>
      </c>
      <c r="N15" s="35">
        <f t="shared" si="31"/>
        <v>796.55989999999997</v>
      </c>
      <c r="O15" s="24">
        <f t="shared" si="32"/>
        <v>-0.30000000003838101</v>
      </c>
      <c r="P15" s="25">
        <f t="shared" si="33"/>
        <v>-1.1000000000649399</v>
      </c>
      <c r="Q15" s="26">
        <f t="shared" si="34"/>
        <v>-0.30000000003838101</v>
      </c>
      <c r="R15" s="41"/>
      <c r="S15" s="21">
        <f t="shared" si="35"/>
        <v>44614</v>
      </c>
      <c r="T15" s="42">
        <v>7.9474999999999998</v>
      </c>
      <c r="U15" s="43">
        <f t="shared" si="36"/>
        <v>0.19999999999953399</v>
      </c>
      <c r="V15" s="44">
        <f t="shared" si="37"/>
        <v>-1.1999999999998701</v>
      </c>
      <c r="W15" s="45">
        <f t="shared" si="38"/>
        <v>-0.19999999999953399</v>
      </c>
      <c r="X15" s="29">
        <v>12.000299999999999</v>
      </c>
      <c r="Y15" s="43">
        <f t="shared" si="39"/>
        <v>-0.20000000000130999</v>
      </c>
      <c r="Z15" s="44">
        <f t="shared" si="40"/>
        <v>-1.10000000000099</v>
      </c>
      <c r="AA15" s="45">
        <f t="shared" si="41"/>
        <v>-0.20000000000130999</v>
      </c>
      <c r="AB15" s="49">
        <v>8.4118999999999993</v>
      </c>
      <c r="AC15" s="43">
        <f t="shared" si="42"/>
        <v>-0.20000000000130999</v>
      </c>
      <c r="AD15" s="44">
        <f t="shared" si="43"/>
        <v>-0.60000000000037801</v>
      </c>
      <c r="AE15" s="45">
        <f t="shared" si="44"/>
        <v>-0.20000000000130999</v>
      </c>
      <c r="AF15" s="50">
        <v>79413</v>
      </c>
      <c r="AG15" s="58">
        <f t="shared" si="45"/>
        <v>35</v>
      </c>
      <c r="AH15" s="61"/>
      <c r="AI15" s="60"/>
      <c r="AJ15"/>
      <c r="AK15"/>
      <c r="AL15"/>
      <c r="AM15"/>
    </row>
    <row r="16" spans="1:48">
      <c r="A16" s="21">
        <v>44615</v>
      </c>
      <c r="B16" s="22">
        <v>792.27269999999999</v>
      </c>
      <c r="C16" s="27">
        <v>4.1394000000000002</v>
      </c>
      <c r="D16" s="23">
        <f t="shared" si="23"/>
        <v>796.41210000000001</v>
      </c>
      <c r="E16" s="24">
        <f t="shared" si="24"/>
        <v>-0.59999999996307496</v>
      </c>
      <c r="F16" s="25">
        <f t="shared" si="25"/>
        <v>-1.9999999999527101</v>
      </c>
      <c r="G16" s="26">
        <f t="shared" si="26"/>
        <v>-0.59999999996307496</v>
      </c>
      <c r="H16" s="6">
        <v>5.2230999999999996</v>
      </c>
      <c r="I16" s="35">
        <f t="shared" si="27"/>
        <v>797.49580000000003</v>
      </c>
      <c r="J16" s="24">
        <f t="shared" si="28"/>
        <v>-0.29999999992469401</v>
      </c>
      <c r="K16" s="25">
        <f t="shared" si="29"/>
        <v>-1.8999999999778101</v>
      </c>
      <c r="L16" s="26">
        <f t="shared" si="30"/>
        <v>-0.29999999992469401</v>
      </c>
      <c r="M16" s="6">
        <v>4.2869999999999999</v>
      </c>
      <c r="N16" s="35">
        <f t="shared" si="31"/>
        <v>796.55970000000002</v>
      </c>
      <c r="O16" s="24">
        <f t="shared" si="32"/>
        <v>-0.199999999949796</v>
      </c>
      <c r="P16" s="25">
        <f t="shared" si="33"/>
        <v>-1.30000000001473</v>
      </c>
      <c r="Q16" s="26">
        <f t="shared" si="34"/>
        <v>-0.199999999949796</v>
      </c>
      <c r="R16" s="41"/>
      <c r="S16" s="21">
        <f t="shared" si="35"/>
        <v>44615</v>
      </c>
      <c r="T16" s="42">
        <v>7.9470999999999998</v>
      </c>
      <c r="U16" s="43">
        <f t="shared" si="36"/>
        <v>-0.399999999999956</v>
      </c>
      <c r="V16" s="44">
        <f t="shared" si="37"/>
        <v>-1.59999999999982</v>
      </c>
      <c r="W16" s="45">
        <f t="shared" si="38"/>
        <v>0.399999999999956</v>
      </c>
      <c r="X16" s="29">
        <v>12.0002</v>
      </c>
      <c r="Y16" s="43">
        <f t="shared" si="39"/>
        <v>-9.99999999997669E-2</v>
      </c>
      <c r="Z16" s="44">
        <f t="shared" si="40"/>
        <v>-1.20000000000076</v>
      </c>
      <c r="AA16" s="45">
        <f t="shared" si="41"/>
        <v>-9.99999999997669E-2</v>
      </c>
      <c r="AB16" s="49">
        <v>8.4116999999999997</v>
      </c>
      <c r="AC16" s="43">
        <f t="shared" si="42"/>
        <v>-0.19999999999953399</v>
      </c>
      <c r="AD16" s="44">
        <f t="shared" si="43"/>
        <v>-0.799999999999912</v>
      </c>
      <c r="AE16" s="45">
        <f t="shared" si="44"/>
        <v>-0.19999999999953399</v>
      </c>
      <c r="AF16" s="50">
        <v>79417</v>
      </c>
      <c r="AG16" s="58">
        <f t="shared" si="45"/>
        <v>39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44616</v>
      </c>
      <c r="B17" s="22">
        <v>792.27269999999999</v>
      </c>
      <c r="C17" s="27">
        <v>4.1391999999999998</v>
      </c>
      <c r="D17" s="23">
        <f t="shared" si="23"/>
        <v>796.41189999999995</v>
      </c>
      <c r="E17" s="24">
        <f t="shared" si="24"/>
        <v>-0.20000000006348301</v>
      </c>
      <c r="F17" s="25">
        <f t="shared" si="25"/>
        <v>-2.2000000000161899</v>
      </c>
      <c r="G17" s="26">
        <f t="shared" si="26"/>
        <v>-0.20000000006348301</v>
      </c>
      <c r="H17" s="6">
        <v>5.2232000000000003</v>
      </c>
      <c r="I17" s="35">
        <f t="shared" si="27"/>
        <v>797.49590000000001</v>
      </c>
      <c r="J17" s="24">
        <f t="shared" si="28"/>
        <v>9.9999999974897905E-2</v>
      </c>
      <c r="K17" s="25">
        <f t="shared" si="29"/>
        <v>-1.8000000000029099</v>
      </c>
      <c r="L17" s="26">
        <f t="shared" si="30"/>
        <v>9.9999999974897905E-2</v>
      </c>
      <c r="M17" s="6">
        <v>4.2868000000000004</v>
      </c>
      <c r="N17" s="35">
        <f t="shared" si="31"/>
        <v>796.55949999999996</v>
      </c>
      <c r="O17" s="24">
        <f t="shared" si="32"/>
        <v>-0.20000000006348301</v>
      </c>
      <c r="P17" s="25">
        <f t="shared" si="33"/>
        <v>-1.5000000000782201</v>
      </c>
      <c r="Q17" s="26">
        <f t="shared" si="34"/>
        <v>-0.20000000006348301</v>
      </c>
      <c r="R17" s="41"/>
      <c r="S17" s="21">
        <f t="shared" si="35"/>
        <v>44616</v>
      </c>
      <c r="T17" s="42">
        <v>7.9470000000000001</v>
      </c>
      <c r="U17" s="43">
        <f t="shared" si="36"/>
        <v>-9.99999999997669E-2</v>
      </c>
      <c r="V17" s="44">
        <f t="shared" si="37"/>
        <v>-1.6999999999995901</v>
      </c>
      <c r="W17" s="45">
        <f t="shared" si="38"/>
        <v>9.99999999997669E-2</v>
      </c>
      <c r="X17" s="29">
        <v>11.9999</v>
      </c>
      <c r="Y17" s="43">
        <f t="shared" si="39"/>
        <v>-0.29999999999930099</v>
      </c>
      <c r="Z17" s="44">
        <f t="shared" si="40"/>
        <v>-1.50000000000006</v>
      </c>
      <c r="AA17" s="45">
        <f t="shared" si="41"/>
        <v>-0.29999999999930099</v>
      </c>
      <c r="AB17" s="49">
        <v>8.4117999999999995</v>
      </c>
      <c r="AC17" s="43">
        <f t="shared" si="42"/>
        <v>9.99999999997669E-2</v>
      </c>
      <c r="AD17" s="44">
        <f t="shared" si="43"/>
        <v>-0.70000000000014495</v>
      </c>
      <c r="AE17" s="45">
        <f t="shared" si="44"/>
        <v>9.99999999997669E-2</v>
      </c>
      <c r="AF17" s="50">
        <v>79421</v>
      </c>
      <c r="AG17" s="58">
        <f t="shared" si="45"/>
        <v>43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44617</v>
      </c>
      <c r="B18" s="22">
        <v>792.27269999999999</v>
      </c>
      <c r="C18" s="27">
        <v>4.1395</v>
      </c>
      <c r="D18" s="23">
        <f t="shared" si="23"/>
        <v>796.41219999999998</v>
      </c>
      <c r="E18" s="24">
        <f t="shared" si="24"/>
        <v>0.30000000003838101</v>
      </c>
      <c r="F18" s="25">
        <f t="shared" si="25"/>
        <v>-1.8999999999778101</v>
      </c>
      <c r="G18" s="26">
        <f t="shared" si="26"/>
        <v>0.30000000003838101</v>
      </c>
      <c r="H18" s="6">
        <v>5.2226999999999997</v>
      </c>
      <c r="I18" s="35">
        <f t="shared" si="27"/>
        <v>797.49540000000002</v>
      </c>
      <c r="J18" s="24">
        <f t="shared" si="28"/>
        <v>-0.49999999998817701</v>
      </c>
      <c r="K18" s="25">
        <f t="shared" si="29"/>
        <v>-2.2999999999910901</v>
      </c>
      <c r="L18" s="26">
        <f t="shared" si="30"/>
        <v>-0.49999999998817701</v>
      </c>
      <c r="M18" s="6">
        <v>4.2865000000000002</v>
      </c>
      <c r="N18" s="35">
        <f t="shared" si="31"/>
        <v>796.55920000000003</v>
      </c>
      <c r="O18" s="24">
        <f t="shared" si="32"/>
        <v>-0.29999999992469401</v>
      </c>
      <c r="P18" s="25">
        <f t="shared" si="33"/>
        <v>-1.8000000000029099</v>
      </c>
      <c r="Q18" s="26">
        <f t="shared" si="34"/>
        <v>-0.29999999992469401</v>
      </c>
      <c r="R18" s="41"/>
      <c r="S18" s="21">
        <f t="shared" si="35"/>
        <v>44617</v>
      </c>
      <c r="T18" s="42">
        <v>7.9469000000000003</v>
      </c>
      <c r="U18" s="43">
        <f t="shared" si="36"/>
        <v>-9.99999999997669E-2</v>
      </c>
      <c r="V18" s="44">
        <f t="shared" si="37"/>
        <v>-1.7999999999993599</v>
      </c>
      <c r="W18" s="45">
        <f t="shared" si="38"/>
        <v>9.99999999997669E-2</v>
      </c>
      <c r="X18" s="29">
        <v>11.999700000000001</v>
      </c>
      <c r="Y18" s="43">
        <f t="shared" si="39"/>
        <v>-0.19999999999953399</v>
      </c>
      <c r="Z18" s="44">
        <f t="shared" si="40"/>
        <v>-1.6999999999995901</v>
      </c>
      <c r="AA18" s="45">
        <f t="shared" si="41"/>
        <v>-0.19999999999953399</v>
      </c>
      <c r="AB18" s="49">
        <v>8.4113000000000007</v>
      </c>
      <c r="AC18" s="43">
        <f t="shared" si="42"/>
        <v>-0.49999999999883499</v>
      </c>
      <c r="AD18" s="44">
        <f t="shared" si="43"/>
        <v>-1.1999999999989801</v>
      </c>
      <c r="AE18" s="45">
        <f t="shared" si="44"/>
        <v>-0.49999999999883499</v>
      </c>
      <c r="AF18" s="50">
        <v>79425</v>
      </c>
      <c r="AG18" s="58">
        <f t="shared" si="45"/>
        <v>47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44618</v>
      </c>
      <c r="B19" s="22">
        <v>792.27269999999999</v>
      </c>
      <c r="C19" s="27">
        <v>4.1387999999999998</v>
      </c>
      <c r="D19" s="23">
        <f t="shared" si="23"/>
        <v>796.41150000000005</v>
      </c>
      <c r="E19" s="24">
        <f t="shared" si="24"/>
        <v>-0.70000000005165897</v>
      </c>
      <c r="F19" s="25">
        <f t="shared" si="25"/>
        <v>-2.6000000000294698</v>
      </c>
      <c r="G19" s="26">
        <f t="shared" si="26"/>
        <v>-0.70000000005165897</v>
      </c>
      <c r="H19" s="6">
        <v>5.2225000000000001</v>
      </c>
      <c r="I19" s="35">
        <f t="shared" si="27"/>
        <v>797.49519999999995</v>
      </c>
      <c r="J19" s="24">
        <f t="shared" si="28"/>
        <v>-0.20000000006348301</v>
      </c>
      <c r="K19" s="25">
        <f t="shared" si="29"/>
        <v>-2.5000000000545701</v>
      </c>
      <c r="L19" s="26">
        <f t="shared" si="30"/>
        <v>-0.20000000006348301</v>
      </c>
      <c r="M19" s="6">
        <v>4.2864000000000004</v>
      </c>
      <c r="N19" s="35">
        <f t="shared" si="31"/>
        <v>796.55909999999994</v>
      </c>
      <c r="O19" s="24">
        <f t="shared" si="32"/>
        <v>-0.10000000008858501</v>
      </c>
      <c r="P19" s="25">
        <f t="shared" si="33"/>
        <v>-1.9000000000915001</v>
      </c>
      <c r="Q19" s="26">
        <f t="shared" si="34"/>
        <v>-0.10000000008858501</v>
      </c>
      <c r="R19" s="41"/>
      <c r="S19" s="21">
        <f t="shared" si="35"/>
        <v>44618</v>
      </c>
      <c r="T19" s="42">
        <v>7.9470999999999998</v>
      </c>
      <c r="U19" s="43">
        <f t="shared" si="36"/>
        <v>0.19999999999953399</v>
      </c>
      <c r="V19" s="44">
        <f t="shared" si="37"/>
        <v>-1.59999999999982</v>
      </c>
      <c r="W19" s="45">
        <f t="shared" si="38"/>
        <v>-0.19999999999953399</v>
      </c>
      <c r="X19" s="29">
        <v>11.999499999999999</v>
      </c>
      <c r="Y19" s="43">
        <f t="shared" si="39"/>
        <v>-0.20000000000130999</v>
      </c>
      <c r="Z19" s="44">
        <f t="shared" si="40"/>
        <v>-1.9000000000009001</v>
      </c>
      <c r="AA19" s="45">
        <f t="shared" si="41"/>
        <v>-0.20000000000130999</v>
      </c>
      <c r="AB19" s="49">
        <v>8.4110999999999905</v>
      </c>
      <c r="AC19" s="43">
        <f t="shared" si="42"/>
        <v>-0.200000000010192</v>
      </c>
      <c r="AD19" s="44">
        <f t="shared" si="43"/>
        <v>-1.4000000000091699</v>
      </c>
      <c r="AE19" s="45">
        <f t="shared" si="44"/>
        <v>-0.200000000010192</v>
      </c>
      <c r="AF19" s="50">
        <v>79429</v>
      </c>
      <c r="AG19" s="58">
        <f t="shared" si="45"/>
        <v>51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44619</v>
      </c>
      <c r="B20" s="22">
        <v>792.27269999999999</v>
      </c>
      <c r="C20" s="27">
        <v>4.1386000000000003</v>
      </c>
      <c r="D20" s="23">
        <f t="shared" si="23"/>
        <v>796.41129999999998</v>
      </c>
      <c r="E20" s="24">
        <f t="shared" si="24"/>
        <v>-0.199999999949796</v>
      </c>
      <c r="F20" s="25">
        <f t="shared" si="25"/>
        <v>-2.79999999997926</v>
      </c>
      <c r="G20" s="26">
        <f t="shared" si="26"/>
        <v>-0.199999999949796</v>
      </c>
      <c r="H20" s="6">
        <v>5.2222999999999997</v>
      </c>
      <c r="I20" s="35">
        <f t="shared" si="27"/>
        <v>797.495</v>
      </c>
      <c r="J20" s="24">
        <f t="shared" si="28"/>
        <v>-0.199999999949796</v>
      </c>
      <c r="K20" s="25">
        <f t="shared" si="29"/>
        <v>-2.70000000000437</v>
      </c>
      <c r="L20" s="26">
        <f t="shared" si="30"/>
        <v>-0.199999999949796</v>
      </c>
      <c r="M20" s="6">
        <v>4.2862</v>
      </c>
      <c r="N20" s="35">
        <f t="shared" si="31"/>
        <v>796.55889999999999</v>
      </c>
      <c r="O20" s="24">
        <f t="shared" si="32"/>
        <v>-0.199999999949796</v>
      </c>
      <c r="P20" s="25">
        <f t="shared" si="33"/>
        <v>-2.1000000000412902</v>
      </c>
      <c r="Q20" s="26">
        <f t="shared" si="34"/>
        <v>-0.199999999949796</v>
      </c>
      <c r="R20" s="41"/>
      <c r="S20" s="21">
        <f t="shared" si="35"/>
        <v>44619</v>
      </c>
      <c r="T20" s="42">
        <v>7.9466999999999999</v>
      </c>
      <c r="U20" s="43">
        <f t="shared" si="36"/>
        <v>-0.399999999999956</v>
      </c>
      <c r="V20" s="44">
        <f t="shared" si="37"/>
        <v>-1.99999999999978</v>
      </c>
      <c r="W20" s="45">
        <f t="shared" si="38"/>
        <v>0.399999999999956</v>
      </c>
      <c r="X20" s="29">
        <v>11.9998</v>
      </c>
      <c r="Y20" s="43">
        <f t="shared" si="39"/>
        <v>0.30000000000107702</v>
      </c>
      <c r="Z20" s="44">
        <f t="shared" si="40"/>
        <v>-1.59999999999982</v>
      </c>
      <c r="AA20" s="45">
        <f t="shared" si="41"/>
        <v>0.30000000000107702</v>
      </c>
      <c r="AB20" s="49">
        <v>8.4114000000000004</v>
      </c>
      <c r="AC20" s="43">
        <f t="shared" si="42"/>
        <v>0.30000000000995902</v>
      </c>
      <c r="AD20" s="44">
        <f t="shared" si="43"/>
        <v>-1.0999999999992101</v>
      </c>
      <c r="AE20" s="45">
        <f t="shared" si="44"/>
        <v>0.30000000000995902</v>
      </c>
      <c r="AF20" s="50">
        <v>79433</v>
      </c>
      <c r="AG20" s="58">
        <f t="shared" si="45"/>
        <v>55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44621</v>
      </c>
      <c r="B21" s="22">
        <v>792.27269999999999</v>
      </c>
      <c r="C21" s="27">
        <v>4.1383999999999999</v>
      </c>
      <c r="D21" s="23">
        <f t="shared" ref="D21:D29" si="46">C21+B21</f>
        <v>796.41110000000003</v>
      </c>
      <c r="E21" s="24">
        <f t="shared" ref="E21:E24" si="47">(D21-D20)*1000</f>
        <v>-0.199999999949796</v>
      </c>
      <c r="F21" s="25">
        <f t="shared" ref="F21:F24" si="48">F20+E21</f>
        <v>-2.9999999999290599</v>
      </c>
      <c r="G21" s="26">
        <f t="shared" ref="G21:G24" si="49">E21/(A21-A20)</f>
        <v>-9.9999999974897905E-2</v>
      </c>
      <c r="H21" s="6">
        <v>5.2225000000000001</v>
      </c>
      <c r="I21" s="35">
        <f t="shared" ref="I21:I29" si="50">H21+B21</f>
        <v>797.49519999999995</v>
      </c>
      <c r="J21" s="24">
        <f t="shared" ref="J21:J24" si="51">(I21-I20)*1000</f>
        <v>0.199999999949796</v>
      </c>
      <c r="K21" s="25">
        <f t="shared" ref="K21:K24" si="52">K20+J21</f>
        <v>-2.5000000000545701</v>
      </c>
      <c r="L21" s="26">
        <f t="shared" ref="L21:L24" si="53">J21/(A21-A20)</f>
        <v>9.9999999974897905E-2</v>
      </c>
      <c r="M21" s="6">
        <v>4.2859999999999996</v>
      </c>
      <c r="N21" s="35">
        <f t="shared" ref="N21:N29" si="54">M21+B21</f>
        <v>796.55870000000004</v>
      </c>
      <c r="O21" s="24">
        <f t="shared" ref="O21:O24" si="55">(N21-N20)*1000</f>
        <v>-0.20000000006348301</v>
      </c>
      <c r="P21" s="25">
        <f t="shared" ref="P21:P24" si="56">P20+O21</f>
        <v>-2.3000000001047698</v>
      </c>
      <c r="Q21" s="26">
        <f t="shared" ref="Q21:Q24" si="57">O21/(A21-A20)</f>
        <v>-0.100000000031741</v>
      </c>
      <c r="R21" s="41"/>
      <c r="S21" s="21">
        <f t="shared" si="35"/>
        <v>44621</v>
      </c>
      <c r="T21" s="42">
        <v>7.9466000000000001</v>
      </c>
      <c r="U21" s="43">
        <f t="shared" si="36"/>
        <v>-9.99999999997669E-2</v>
      </c>
      <c r="V21" s="44">
        <f t="shared" si="37"/>
        <v>-2.0999999999995498</v>
      </c>
      <c r="W21" s="45">
        <f t="shared" si="38"/>
        <v>4.9999999999883499E-2</v>
      </c>
      <c r="X21" s="29">
        <v>11.9991</v>
      </c>
      <c r="Y21" s="43">
        <f t="shared" si="39"/>
        <v>-0.70000000000014495</v>
      </c>
      <c r="Z21" s="44">
        <f t="shared" si="40"/>
        <v>-2.2999999999999701</v>
      </c>
      <c r="AA21" s="45">
        <f t="shared" si="41"/>
        <v>-0.35000000000007198</v>
      </c>
      <c r="AB21" s="49">
        <v>8.4106999999999896</v>
      </c>
      <c r="AC21" s="43">
        <f t="shared" si="42"/>
        <v>-0.70000000001080298</v>
      </c>
      <c r="AD21" s="44">
        <f t="shared" si="43"/>
        <v>-1.80000000001002</v>
      </c>
      <c r="AE21" s="45">
        <f t="shared" si="44"/>
        <v>-0.35000000000540199</v>
      </c>
      <c r="AF21" s="50">
        <v>79437</v>
      </c>
      <c r="AG21" s="58">
        <f t="shared" si="45"/>
        <v>59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44623</v>
      </c>
      <c r="B22" s="22">
        <v>792.27269999999999</v>
      </c>
      <c r="C22" s="27">
        <v>4.1386000000000003</v>
      </c>
      <c r="D22" s="23">
        <f t="shared" si="46"/>
        <v>796.41129999999998</v>
      </c>
      <c r="E22" s="24">
        <f t="shared" si="47"/>
        <v>0.199999999949796</v>
      </c>
      <c r="F22" s="25">
        <f t="shared" si="48"/>
        <v>-2.79999999997926</v>
      </c>
      <c r="G22" s="26">
        <f t="shared" si="49"/>
        <v>9.9999999974897905E-2</v>
      </c>
      <c r="H22" s="6">
        <v>5.2218999999999998</v>
      </c>
      <c r="I22" s="35">
        <f t="shared" si="50"/>
        <v>797.49459999999999</v>
      </c>
      <c r="J22" s="24">
        <f t="shared" si="51"/>
        <v>-0.59999999996307496</v>
      </c>
      <c r="K22" s="25">
        <f t="shared" si="52"/>
        <v>-3.1000000000176402</v>
      </c>
      <c r="L22" s="26">
        <f t="shared" si="53"/>
        <v>-0.29999999998153698</v>
      </c>
      <c r="M22" s="6">
        <v>4.2861000000000002</v>
      </c>
      <c r="N22" s="35">
        <f t="shared" si="54"/>
        <v>796.55880000000002</v>
      </c>
      <c r="O22" s="24">
        <f t="shared" si="55"/>
        <v>0.10000000008858501</v>
      </c>
      <c r="P22" s="25">
        <f t="shared" si="56"/>
        <v>-2.2000000000161899</v>
      </c>
      <c r="Q22" s="26">
        <f t="shared" si="57"/>
        <v>5.0000000044292399E-2</v>
      </c>
      <c r="R22" s="41"/>
      <c r="S22" s="21">
        <f t="shared" si="35"/>
        <v>44623</v>
      </c>
      <c r="T22" s="42">
        <v>7.9465000000000003</v>
      </c>
      <c r="U22" s="43">
        <f t="shared" si="36"/>
        <v>-9.99999999997669E-2</v>
      </c>
      <c r="V22" s="44">
        <f t="shared" si="37"/>
        <v>-2.1999999999993101</v>
      </c>
      <c r="W22" s="45">
        <f t="shared" si="38"/>
        <v>4.9999999999883499E-2</v>
      </c>
      <c r="X22" s="29">
        <v>11.998900000000001</v>
      </c>
      <c r="Y22" s="43">
        <f t="shared" si="39"/>
        <v>-0.19999999999953399</v>
      </c>
      <c r="Z22" s="44">
        <f t="shared" si="40"/>
        <v>-2.4999999999995</v>
      </c>
      <c r="AA22" s="45">
        <f t="shared" si="41"/>
        <v>-9.99999999997669E-2</v>
      </c>
      <c r="AB22" s="49">
        <v>8.4104999999999901</v>
      </c>
      <c r="AC22" s="43">
        <f t="shared" si="42"/>
        <v>-0.19999999999953399</v>
      </c>
      <c r="AD22" s="44">
        <f t="shared" si="43"/>
        <v>-2.0000000000095501</v>
      </c>
      <c r="AE22" s="45">
        <f t="shared" si="44"/>
        <v>-9.99999999997669E-2</v>
      </c>
      <c r="AF22" s="50">
        <v>79441</v>
      </c>
      <c r="AG22" s="58">
        <f t="shared" si="45"/>
        <v>63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44625</v>
      </c>
      <c r="B23" s="22">
        <v>792.27269999999999</v>
      </c>
      <c r="C23" s="27">
        <v>4.1379999999999999</v>
      </c>
      <c r="D23" s="23">
        <f t="shared" si="46"/>
        <v>796.41070000000002</v>
      </c>
      <c r="E23" s="24">
        <f t="shared" si="47"/>
        <v>-0.59999999996307496</v>
      </c>
      <c r="F23" s="25">
        <f t="shared" si="48"/>
        <v>-3.3999999999423398</v>
      </c>
      <c r="G23" s="26">
        <f t="shared" si="49"/>
        <v>-0.29999999998153698</v>
      </c>
      <c r="H23" s="6">
        <v>5.2217000000000002</v>
      </c>
      <c r="I23" s="35">
        <f t="shared" si="50"/>
        <v>797.49440000000004</v>
      </c>
      <c r="J23" s="24">
        <f t="shared" si="51"/>
        <v>-0.199999999949796</v>
      </c>
      <c r="K23" s="25">
        <f t="shared" si="52"/>
        <v>-3.2999999999674401</v>
      </c>
      <c r="L23" s="26">
        <f t="shared" si="53"/>
        <v>-9.9999999974897905E-2</v>
      </c>
      <c r="M23" s="6">
        <v>4.2855999999999996</v>
      </c>
      <c r="N23" s="35">
        <f t="shared" si="54"/>
        <v>796.55830000000003</v>
      </c>
      <c r="O23" s="24">
        <f t="shared" si="55"/>
        <v>-0.49999999998817701</v>
      </c>
      <c r="P23" s="25">
        <f t="shared" si="56"/>
        <v>-2.70000000000437</v>
      </c>
      <c r="Q23" s="26">
        <f t="shared" si="57"/>
        <v>-0.24999999999408801</v>
      </c>
      <c r="R23" s="41"/>
      <c r="S23" s="21">
        <f t="shared" si="35"/>
        <v>44625</v>
      </c>
      <c r="T23" s="42">
        <v>7.9462000000000002</v>
      </c>
      <c r="U23" s="43">
        <f t="shared" si="36"/>
        <v>-0.300000000000189</v>
      </c>
      <c r="V23" s="44">
        <f t="shared" si="37"/>
        <v>-2.4999999999995</v>
      </c>
      <c r="W23" s="45">
        <f t="shared" si="38"/>
        <v>0.150000000000095</v>
      </c>
      <c r="X23" s="29">
        <v>11.998699999999999</v>
      </c>
      <c r="Y23" s="43">
        <f t="shared" si="39"/>
        <v>-0.20000000000130999</v>
      </c>
      <c r="Z23" s="44">
        <f t="shared" si="40"/>
        <v>-2.7000000000008102</v>
      </c>
      <c r="AA23" s="45">
        <f t="shared" si="41"/>
        <v>-0.100000000000655</v>
      </c>
      <c r="AB23" s="49">
        <v>8.4108000000000001</v>
      </c>
      <c r="AC23" s="43">
        <f t="shared" si="42"/>
        <v>0.30000000000995902</v>
      </c>
      <c r="AD23" s="44">
        <f t="shared" si="43"/>
        <v>-1.6999999999995901</v>
      </c>
      <c r="AE23" s="45">
        <f t="shared" si="44"/>
        <v>0.15000000000497901</v>
      </c>
      <c r="AF23" s="50">
        <v>79445</v>
      </c>
      <c r="AG23" s="58">
        <f t="shared" si="45"/>
        <v>67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44627</v>
      </c>
      <c r="B24" s="22">
        <v>792.27269999999999</v>
      </c>
      <c r="C24" s="27">
        <v>4.1378000000000004</v>
      </c>
      <c r="D24" s="23">
        <f t="shared" si="46"/>
        <v>796.41049999999996</v>
      </c>
      <c r="E24" s="24">
        <f t="shared" si="47"/>
        <v>-0.20000000006348301</v>
      </c>
      <c r="F24" s="25">
        <f t="shared" si="48"/>
        <v>-3.6000000000058199</v>
      </c>
      <c r="G24" s="26">
        <f t="shared" si="49"/>
        <v>-0.100000000031741</v>
      </c>
      <c r="H24" s="6">
        <v>5.2215999999999996</v>
      </c>
      <c r="I24" s="35">
        <f t="shared" si="50"/>
        <v>797.49429999999995</v>
      </c>
      <c r="J24" s="24">
        <f t="shared" si="51"/>
        <v>-0.10000000008858501</v>
      </c>
      <c r="K24" s="25">
        <f t="shared" si="52"/>
        <v>-3.40000000005602</v>
      </c>
      <c r="L24" s="26">
        <f t="shared" si="53"/>
        <v>-5.0000000044292399E-2</v>
      </c>
      <c r="M24" s="6">
        <v>4.2854000000000099</v>
      </c>
      <c r="N24" s="35">
        <f t="shared" si="54"/>
        <v>796.55809999999997</v>
      </c>
      <c r="O24" s="24">
        <f t="shared" si="55"/>
        <v>-0.20000000006348301</v>
      </c>
      <c r="P24" s="25">
        <f t="shared" si="56"/>
        <v>-2.9000000000678501</v>
      </c>
      <c r="Q24" s="26">
        <f t="shared" si="57"/>
        <v>-0.100000000031741</v>
      </c>
      <c r="R24" s="41"/>
      <c r="S24" s="21">
        <f t="shared" si="35"/>
        <v>44627</v>
      </c>
      <c r="T24" s="42">
        <v>7.9462999999999999</v>
      </c>
      <c r="U24" s="43">
        <f t="shared" si="36"/>
        <v>9.99999999997669E-2</v>
      </c>
      <c r="V24" s="44">
        <f t="shared" si="37"/>
        <v>-2.3999999999997401</v>
      </c>
      <c r="W24" s="45">
        <f t="shared" si="38"/>
        <v>-4.9999999999883499E-2</v>
      </c>
      <c r="X24" s="29">
        <v>11.9986</v>
      </c>
      <c r="Y24" s="43">
        <f t="shared" si="39"/>
        <v>-9.99999999997669E-2</v>
      </c>
      <c r="Z24" s="44">
        <f t="shared" si="40"/>
        <v>-2.8000000000005798</v>
      </c>
      <c r="AA24" s="45">
        <f t="shared" si="41"/>
        <v>-4.9999999999883499E-2</v>
      </c>
      <c r="AB24" s="49">
        <v>8.4100999999999893</v>
      </c>
      <c r="AC24" s="43">
        <f t="shared" si="42"/>
        <v>-0.70000000001080298</v>
      </c>
      <c r="AD24" s="44">
        <f t="shared" si="43"/>
        <v>-2.4000000000103898</v>
      </c>
      <c r="AE24" s="45">
        <f t="shared" si="44"/>
        <v>-0.35000000000540199</v>
      </c>
      <c r="AF24" s="50">
        <v>79449</v>
      </c>
      <c r="AG24" s="58">
        <f t="shared" si="45"/>
        <v>71</v>
      </c>
      <c r="AH24" s="61"/>
      <c r="AI24" s="52"/>
      <c r="AJ24" s="52"/>
      <c r="AK24" s="52"/>
      <c r="AL24" s="52"/>
      <c r="AM24" s="52"/>
    </row>
    <row r="25" spans="1:48">
      <c r="A25" s="21">
        <v>44629</v>
      </c>
      <c r="B25" s="22">
        <v>792.27269999999999</v>
      </c>
      <c r="C25" s="27">
        <v>4.1379000000000001</v>
      </c>
      <c r="D25" s="23">
        <f t="shared" si="46"/>
        <v>796.41060000000004</v>
      </c>
      <c r="E25" s="24">
        <f t="shared" ref="E25:E29" si="58">(D25-D24)*1000</f>
        <v>9.9999999974897905E-2</v>
      </c>
      <c r="F25" s="25">
        <f t="shared" ref="F25:F29" si="59">F24+E25</f>
        <v>-3.5000000000309202</v>
      </c>
      <c r="G25" s="26">
        <f t="shared" ref="G25:G29" si="60">E25/(A25-A24)</f>
        <v>4.9999999987449001E-2</v>
      </c>
      <c r="H25" s="6">
        <v>5.2214</v>
      </c>
      <c r="I25" s="35">
        <f t="shared" si="50"/>
        <v>797.4941</v>
      </c>
      <c r="J25" s="24">
        <f t="shared" ref="J25:J29" si="61">(I25-I24)*1000</f>
        <v>-0.199999999949796</v>
      </c>
      <c r="K25" s="25">
        <f t="shared" ref="K25:K29" si="62">K24+J25</f>
        <v>-3.6000000000058199</v>
      </c>
      <c r="L25" s="26">
        <f t="shared" ref="L25:L29" si="63">J25/(A25-A24)</f>
        <v>-9.9999999974897905E-2</v>
      </c>
      <c r="M25" s="6">
        <v>4.2851999999999997</v>
      </c>
      <c r="N25" s="35">
        <f t="shared" si="54"/>
        <v>796.55790000000002</v>
      </c>
      <c r="O25" s="24">
        <f t="shared" ref="O25:O29" si="64">(N25-N24)*1000</f>
        <v>-0.199999999949796</v>
      </c>
      <c r="P25" s="25">
        <f t="shared" ref="P25:P29" si="65">P24+O25</f>
        <v>-3.1000000000176402</v>
      </c>
      <c r="Q25" s="26">
        <f t="shared" ref="Q25:Q29" si="66">O25/(A25-A24)</f>
        <v>-9.9999999974897905E-2</v>
      </c>
      <c r="R25" s="41"/>
      <c r="S25" s="21">
        <f t="shared" si="35"/>
        <v>44629</v>
      </c>
      <c r="T25" s="42">
        <v>7.9461000000000004</v>
      </c>
      <c r="U25" s="43">
        <f t="shared" ref="U25:U29" si="67">(T25-T24)*1000</f>
        <v>-0.19999999999953399</v>
      </c>
      <c r="V25" s="44">
        <f t="shared" ref="V25:V29" si="68">V24+U25</f>
        <v>-2.59999999999927</v>
      </c>
      <c r="W25" s="45">
        <f t="shared" ref="W25:W29" si="69">U25/(S24-S25)</f>
        <v>9.99999999997669E-2</v>
      </c>
      <c r="X25" s="29">
        <v>11.9984</v>
      </c>
      <c r="Y25" s="43">
        <f t="shared" ref="Y25:Y29" si="70">(X25-X24)*1000</f>
        <v>-0.19999999999953399</v>
      </c>
      <c r="Z25" s="44">
        <f t="shared" ref="Z25:Z29" si="71">Z24+Y25</f>
        <v>-3.0000000000001101</v>
      </c>
      <c r="AA25" s="45">
        <f t="shared" ref="AA25:AA29" si="72">Y25/(S25-S24)</f>
        <v>-9.99999999997669E-2</v>
      </c>
      <c r="AB25" s="49">
        <v>8.4101999999999997</v>
      </c>
      <c r="AC25" s="43">
        <f t="shared" ref="AC25:AC29" si="73">(AB25-AB24)*1000</f>
        <v>0.100000000010425</v>
      </c>
      <c r="AD25" s="44">
        <f t="shared" ref="AD25:AD29" si="74">AD24+AC25</f>
        <v>-2.2999999999999701</v>
      </c>
      <c r="AE25" s="45">
        <f t="shared" ref="AE25:AE29" si="75">AC25/(S25-S24)</f>
        <v>5.00000000052125E-2</v>
      </c>
      <c r="AF25" s="50">
        <v>79453</v>
      </c>
      <c r="AG25" s="58">
        <f t="shared" si="45"/>
        <v>75</v>
      </c>
      <c r="AH25" s="61"/>
      <c r="AI25" s="52"/>
      <c r="AJ25" s="52"/>
      <c r="AK25" s="52"/>
      <c r="AL25" s="52"/>
      <c r="AM25" s="52"/>
    </row>
    <row r="26" spans="1:48">
      <c r="A26" s="21">
        <v>44631</v>
      </c>
      <c r="B26" s="22">
        <v>792.27269999999999</v>
      </c>
      <c r="C26" s="27">
        <v>4.1379999999999999</v>
      </c>
      <c r="D26" s="23">
        <f t="shared" si="46"/>
        <v>796.41070000000002</v>
      </c>
      <c r="E26" s="24">
        <f t="shared" si="58"/>
        <v>0.10000000008858501</v>
      </c>
      <c r="F26" s="25">
        <f t="shared" si="59"/>
        <v>-3.3999999999423398</v>
      </c>
      <c r="G26" s="26">
        <f t="shared" si="60"/>
        <v>5.0000000044292399E-2</v>
      </c>
      <c r="H26" s="6">
        <v>5.2212999999999896</v>
      </c>
      <c r="I26" s="35">
        <f t="shared" si="50"/>
        <v>797.49400000000003</v>
      </c>
      <c r="J26" s="24">
        <f t="shared" si="61"/>
        <v>-9.9999999974897905E-2</v>
      </c>
      <c r="K26" s="25">
        <f t="shared" si="62"/>
        <v>-3.69999999998072</v>
      </c>
      <c r="L26" s="26">
        <f t="shared" si="63"/>
        <v>-4.9999999987449001E-2</v>
      </c>
      <c r="M26" s="6">
        <v>4.2853000000000003</v>
      </c>
      <c r="N26" s="35">
        <f t="shared" si="54"/>
        <v>796.55799999999999</v>
      </c>
      <c r="O26" s="24">
        <f t="shared" si="64"/>
        <v>9.9999999974897905E-2</v>
      </c>
      <c r="P26" s="25">
        <f t="shared" si="65"/>
        <v>-3.0000000000427498</v>
      </c>
      <c r="Q26" s="26">
        <f t="shared" si="66"/>
        <v>4.9999999987449001E-2</v>
      </c>
      <c r="R26" s="41"/>
      <c r="S26" s="21">
        <f t="shared" si="35"/>
        <v>44631</v>
      </c>
      <c r="T26" s="42">
        <v>7.9462000000000002</v>
      </c>
      <c r="U26" s="43">
        <f t="shared" si="67"/>
        <v>9.99999999997669E-2</v>
      </c>
      <c r="V26" s="44">
        <f t="shared" si="68"/>
        <v>-2.4999999999995</v>
      </c>
      <c r="W26" s="45">
        <f t="shared" si="69"/>
        <v>-4.9999999999883499E-2</v>
      </c>
      <c r="X26" s="29">
        <v>11.9983</v>
      </c>
      <c r="Y26" s="43">
        <f t="shared" si="70"/>
        <v>-9.99999999997669E-2</v>
      </c>
      <c r="Z26" s="44">
        <f t="shared" si="71"/>
        <v>-3.0999999999998802</v>
      </c>
      <c r="AA26" s="45">
        <f t="shared" si="72"/>
        <v>-4.9999999999883499E-2</v>
      </c>
      <c r="AB26" s="49">
        <v>8.4105000000000008</v>
      </c>
      <c r="AC26" s="43">
        <f t="shared" si="73"/>
        <v>0.30000000000107702</v>
      </c>
      <c r="AD26" s="44">
        <f t="shared" si="74"/>
        <v>-1.99999999999889</v>
      </c>
      <c r="AE26" s="45">
        <f t="shared" si="75"/>
        <v>0.15000000000053901</v>
      </c>
      <c r="AF26" s="50">
        <v>79464</v>
      </c>
      <c r="AG26" s="58">
        <f t="shared" si="45"/>
        <v>86</v>
      </c>
      <c r="AH26" s="61"/>
      <c r="AI26" s="52"/>
      <c r="AJ26" s="52"/>
      <c r="AK26" s="52"/>
      <c r="AL26" s="52"/>
      <c r="AM26" s="52"/>
    </row>
    <row r="27" spans="1:48">
      <c r="A27" s="21">
        <v>44633</v>
      </c>
      <c r="B27" s="22">
        <v>792.27269999999999</v>
      </c>
      <c r="C27" s="27">
        <v>4.1375999999999999</v>
      </c>
      <c r="D27" s="23">
        <f t="shared" si="46"/>
        <v>796.41030000000001</v>
      </c>
      <c r="E27" s="24">
        <f t="shared" si="58"/>
        <v>-0.40000000001327901</v>
      </c>
      <c r="F27" s="25">
        <f t="shared" si="59"/>
        <v>-3.7999999999556202</v>
      </c>
      <c r="G27" s="26">
        <f t="shared" si="60"/>
        <v>-0.20000000000663901</v>
      </c>
      <c r="H27" s="6">
        <v>5.2211999999999996</v>
      </c>
      <c r="I27" s="35">
        <f t="shared" si="50"/>
        <v>797.49390000000005</v>
      </c>
      <c r="J27" s="24">
        <f t="shared" si="61"/>
        <v>-0.10000000008858501</v>
      </c>
      <c r="K27" s="25">
        <f t="shared" si="62"/>
        <v>-3.8000000000692999</v>
      </c>
      <c r="L27" s="26">
        <f t="shared" si="63"/>
        <v>-5.0000000044292399E-2</v>
      </c>
      <c r="M27" s="6">
        <v>4.2850999999999999</v>
      </c>
      <c r="N27" s="35">
        <f t="shared" si="54"/>
        <v>796.55780000000004</v>
      </c>
      <c r="O27" s="24">
        <f t="shared" si="64"/>
        <v>-0.199999999949796</v>
      </c>
      <c r="P27" s="25">
        <f t="shared" si="65"/>
        <v>-3.1999999999925399</v>
      </c>
      <c r="Q27" s="26">
        <f t="shared" si="66"/>
        <v>-9.9999999974897905E-2</v>
      </c>
      <c r="R27" s="41"/>
      <c r="S27" s="21">
        <f t="shared" si="35"/>
        <v>44633</v>
      </c>
      <c r="T27" s="42">
        <v>7.9459999999999997</v>
      </c>
      <c r="U27" s="43">
        <f t="shared" si="67"/>
        <v>-0.20000000000042201</v>
      </c>
      <c r="V27" s="44">
        <f t="shared" si="68"/>
        <v>-2.6999999999999198</v>
      </c>
      <c r="W27" s="45">
        <f t="shared" si="69"/>
        <v>0.100000000000211</v>
      </c>
      <c r="X27" s="29">
        <v>11.9985</v>
      </c>
      <c r="Y27" s="43">
        <f t="shared" si="70"/>
        <v>0.19999999999953399</v>
      </c>
      <c r="Z27" s="44">
        <f t="shared" si="71"/>
        <v>-2.9000000000003499</v>
      </c>
      <c r="AA27" s="45">
        <f t="shared" si="72"/>
        <v>9.99999999997669E-2</v>
      </c>
      <c r="AB27" s="49">
        <v>8.4102999999999994</v>
      </c>
      <c r="AC27" s="43">
        <f t="shared" si="73"/>
        <v>-0.20000000000130999</v>
      </c>
      <c r="AD27" s="44">
        <f t="shared" si="74"/>
        <v>-2.2000000000002</v>
      </c>
      <c r="AE27" s="45">
        <f t="shared" si="75"/>
        <v>-0.100000000000655</v>
      </c>
      <c r="AF27" s="50">
        <v>79476</v>
      </c>
      <c r="AG27" s="58">
        <f t="shared" si="45"/>
        <v>98</v>
      </c>
      <c r="AH27" s="61"/>
      <c r="AI27" s="52"/>
      <c r="AJ27" s="52"/>
      <c r="AK27" s="52"/>
      <c r="AL27" s="52"/>
      <c r="AM27" s="52"/>
    </row>
    <row r="28" spans="1:48">
      <c r="A28" s="21">
        <v>44635</v>
      </c>
      <c r="B28" s="22">
        <v>792.27269999999999</v>
      </c>
      <c r="C28" s="27">
        <v>4.1373999999999898</v>
      </c>
      <c r="D28" s="23">
        <f t="shared" si="46"/>
        <v>796.41010000000006</v>
      </c>
      <c r="E28" s="24">
        <f t="shared" si="58"/>
        <v>-0.20000000006348301</v>
      </c>
      <c r="F28" s="25">
        <f t="shared" si="59"/>
        <v>-4.0000000000191003</v>
      </c>
      <c r="G28" s="26">
        <f t="shared" si="60"/>
        <v>-0.100000000031741</v>
      </c>
      <c r="H28" s="6">
        <v>5.2210999999999901</v>
      </c>
      <c r="I28" s="35">
        <f t="shared" si="50"/>
        <v>797.49379999999996</v>
      </c>
      <c r="J28" s="24">
        <f t="shared" si="61"/>
        <v>-9.9999999974897905E-2</v>
      </c>
      <c r="K28" s="25">
        <f t="shared" si="62"/>
        <v>-3.9000000000442001</v>
      </c>
      <c r="L28" s="26">
        <f t="shared" si="63"/>
        <v>-4.9999999987449001E-2</v>
      </c>
      <c r="M28" s="6">
        <v>4.2850000000000099</v>
      </c>
      <c r="N28" s="35">
        <f t="shared" si="54"/>
        <v>796.55769999999995</v>
      </c>
      <c r="O28" s="24">
        <f t="shared" si="64"/>
        <v>-0.10000000008858501</v>
      </c>
      <c r="P28" s="25">
        <f t="shared" si="65"/>
        <v>-3.30000000008113</v>
      </c>
      <c r="Q28" s="26">
        <f t="shared" si="66"/>
        <v>-5.0000000044292399E-2</v>
      </c>
      <c r="R28" s="41"/>
      <c r="S28" s="21">
        <f t="shared" si="35"/>
        <v>44635</v>
      </c>
      <c r="T28" s="42">
        <v>7.9465000000000003</v>
      </c>
      <c r="U28" s="43">
        <f t="shared" si="67"/>
        <v>0.50000000000061096</v>
      </c>
      <c r="V28" s="44">
        <f t="shared" si="68"/>
        <v>-2.1999999999993101</v>
      </c>
      <c r="W28" s="45">
        <f t="shared" si="69"/>
        <v>-0.25000000000030598</v>
      </c>
      <c r="X28" s="29">
        <v>11.998100000000001</v>
      </c>
      <c r="Y28" s="43">
        <f t="shared" si="70"/>
        <v>-0.39999999999906799</v>
      </c>
      <c r="Z28" s="44">
        <f t="shared" si="71"/>
        <v>-3.2999999999994101</v>
      </c>
      <c r="AA28" s="45">
        <f t="shared" si="72"/>
        <v>-0.19999999999953399</v>
      </c>
      <c r="AB28" s="49">
        <v>8.4101999999999997</v>
      </c>
      <c r="AC28" s="43">
        <f t="shared" si="73"/>
        <v>-9.99999999997669E-2</v>
      </c>
      <c r="AD28" s="44">
        <f t="shared" si="74"/>
        <v>-2.2999999999999701</v>
      </c>
      <c r="AE28" s="45">
        <f t="shared" si="75"/>
        <v>-4.9999999999883499E-2</v>
      </c>
      <c r="AF28" s="50">
        <v>79488</v>
      </c>
      <c r="AG28" s="58">
        <f t="shared" si="45"/>
        <v>110</v>
      </c>
      <c r="AH28" s="61"/>
      <c r="AI28" s="60"/>
      <c r="AJ28" s="61"/>
      <c r="AK28" s="62"/>
      <c r="AL28" s="60"/>
      <c r="AM28" s="64"/>
    </row>
    <row r="29" spans="1:48">
      <c r="A29" s="21">
        <v>44640</v>
      </c>
      <c r="B29" s="22">
        <v>792.27269999999999</v>
      </c>
      <c r="C29" s="27">
        <v>4.1376999999999997</v>
      </c>
      <c r="D29" s="23">
        <f t="shared" si="46"/>
        <v>796.41039999999998</v>
      </c>
      <c r="E29" s="24">
        <f t="shared" si="58"/>
        <v>0.30000000003838101</v>
      </c>
      <c r="F29" s="25">
        <f t="shared" si="59"/>
        <v>-3.69999999998072</v>
      </c>
      <c r="G29" s="26">
        <f t="shared" si="60"/>
        <v>6.0000000007676101E-2</v>
      </c>
      <c r="H29" s="6">
        <v>5.2211999999999996</v>
      </c>
      <c r="I29" s="35">
        <f t="shared" si="50"/>
        <v>797.49390000000005</v>
      </c>
      <c r="J29" s="24">
        <f t="shared" si="61"/>
        <v>9.9999999974897905E-2</v>
      </c>
      <c r="K29" s="25">
        <f t="shared" si="62"/>
        <v>-3.8000000000692999</v>
      </c>
      <c r="L29" s="26">
        <f t="shared" si="63"/>
        <v>1.99999999949796E-2</v>
      </c>
      <c r="M29" s="6">
        <v>4.2851999999999997</v>
      </c>
      <c r="N29" s="35">
        <f t="shared" si="54"/>
        <v>796.55790000000002</v>
      </c>
      <c r="O29" s="24">
        <f t="shared" si="64"/>
        <v>0.20000000006348301</v>
      </c>
      <c r="P29" s="25">
        <f t="shared" si="65"/>
        <v>-3.1000000000176402</v>
      </c>
      <c r="Q29" s="26">
        <f t="shared" si="66"/>
        <v>4.0000000012696497E-2</v>
      </c>
      <c r="R29" s="41"/>
      <c r="S29" s="21">
        <f t="shared" si="35"/>
        <v>44640</v>
      </c>
      <c r="T29" s="42">
        <v>7.9466000000000001</v>
      </c>
      <c r="U29" s="43">
        <f t="shared" si="67"/>
        <v>9.99999999997669E-2</v>
      </c>
      <c r="V29" s="44">
        <f t="shared" si="68"/>
        <v>-2.0999999999995498</v>
      </c>
      <c r="W29" s="45">
        <f t="shared" si="69"/>
        <v>-1.9999999999953399E-2</v>
      </c>
      <c r="X29" s="29">
        <v>11.9983</v>
      </c>
      <c r="Y29" s="43">
        <f t="shared" si="70"/>
        <v>0.19999999999953399</v>
      </c>
      <c r="Z29" s="44">
        <f t="shared" si="71"/>
        <v>-3.0999999999998802</v>
      </c>
      <c r="AA29" s="45">
        <f t="shared" si="72"/>
        <v>3.9999999999906798E-2</v>
      </c>
      <c r="AB29" s="49">
        <v>8.4102999999999994</v>
      </c>
      <c r="AC29" s="43">
        <f t="shared" si="73"/>
        <v>9.99999999997669E-2</v>
      </c>
      <c r="AD29" s="44">
        <f t="shared" si="74"/>
        <v>-2.2000000000002</v>
      </c>
      <c r="AE29" s="45">
        <f t="shared" si="75"/>
        <v>1.9999999999953399E-2</v>
      </c>
      <c r="AF29" s="50">
        <v>79524</v>
      </c>
      <c r="AG29" s="58">
        <f t="shared" si="45"/>
        <v>146</v>
      </c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F29-F13</f>
        <v>-2.2999999999910901</v>
      </c>
      <c r="F30" s="33">
        <f>K29-K13</f>
        <v>-2.5000000000545701</v>
      </c>
      <c r="G30" s="33">
        <f>P29-P13</f>
        <v>-2.39999999996598</v>
      </c>
      <c r="H30" s="33">
        <f>F29</f>
        <v>-3.69999999998072</v>
      </c>
      <c r="I30" s="66">
        <f>K29</f>
        <v>-3.8000000000692999</v>
      </c>
      <c r="J30" s="65">
        <f>P29</f>
        <v>-3.1000000000176402</v>
      </c>
      <c r="K30" s="33">
        <f>(K29-K13)/28</f>
        <v>-8.9285714287663201E-2</v>
      </c>
      <c r="L30" s="26"/>
      <c r="N30" s="35"/>
      <c r="O30" s="24"/>
      <c r="P30" s="25"/>
      <c r="Q30" s="26"/>
      <c r="R30" s="41"/>
      <c r="S30" s="21"/>
      <c r="T30" s="42"/>
      <c r="U30" s="65">
        <f>V29-V13</f>
        <v>-0.799999999999912</v>
      </c>
      <c r="V30" s="33">
        <f>Z29-Z13</f>
        <v>-2.3999999999997401</v>
      </c>
      <c r="W30" s="33">
        <f>AD29-AD13</f>
        <v>-1.70000000000137</v>
      </c>
      <c r="X30" s="33">
        <f>V29</f>
        <v>-2.0999999999995498</v>
      </c>
      <c r="Y30" s="65">
        <f>Z29</f>
        <v>-3.0999999999998802</v>
      </c>
      <c r="Z30" s="33">
        <f>AD29</f>
        <v>-2.2000000000002</v>
      </c>
      <c r="AA30" s="33">
        <f>(Z29-Z13)/28</f>
        <v>-8.5714285714276306E-2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O25" workbookViewId="0">
      <selection activeCell="U27" sqref="U27:AA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44616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44616</v>
      </c>
      <c r="B6" s="22">
        <v>792.27269999999999</v>
      </c>
      <c r="C6" s="27">
        <v>4.0617999999999999</v>
      </c>
      <c r="D6" s="23">
        <f t="shared" ref="D6:D26" si="0">C6+B6</f>
        <v>796.33450000000005</v>
      </c>
      <c r="E6" s="24">
        <v>0</v>
      </c>
      <c r="F6" s="25">
        <v>0</v>
      </c>
      <c r="G6" s="26">
        <v>0</v>
      </c>
      <c r="H6" s="6">
        <v>5.5088999999999997</v>
      </c>
      <c r="I6" s="35">
        <f t="shared" ref="I6:I26" si="1">H6+B6</f>
        <v>797.78160000000003</v>
      </c>
      <c r="J6" s="24">
        <v>0</v>
      </c>
      <c r="K6" s="25">
        <v>0</v>
      </c>
      <c r="L6" s="26">
        <v>0</v>
      </c>
      <c r="M6" s="6">
        <v>4.5278</v>
      </c>
      <c r="N6" s="35">
        <f t="shared" ref="N6:N26" si="2">M6+B6</f>
        <v>796.80050000000006</v>
      </c>
      <c r="O6" s="24">
        <v>0</v>
      </c>
      <c r="P6" s="25">
        <v>0</v>
      </c>
      <c r="Q6" s="26">
        <v>0</v>
      </c>
      <c r="R6" s="41"/>
      <c r="S6" s="21">
        <f t="shared" ref="S6:S26" si="3">A6</f>
        <v>44616</v>
      </c>
      <c r="T6" s="42">
        <v>8.1195000000000004</v>
      </c>
      <c r="U6" s="43">
        <v>0</v>
      </c>
      <c r="V6" s="44">
        <v>0</v>
      </c>
      <c r="W6" s="45">
        <f>U6/(S6-S11)</f>
        <v>0</v>
      </c>
      <c r="X6" s="29">
        <v>11.959</v>
      </c>
      <c r="Y6" s="43">
        <v>0</v>
      </c>
      <c r="Z6" s="44">
        <v>0</v>
      </c>
      <c r="AA6" s="45">
        <v>0</v>
      </c>
      <c r="AB6" s="42">
        <v>7.7423999999999999</v>
      </c>
      <c r="AC6" s="43">
        <v>0</v>
      </c>
      <c r="AD6" s="44">
        <v>0</v>
      </c>
      <c r="AE6" s="45">
        <v>0</v>
      </c>
      <c r="AF6" s="50">
        <v>79410</v>
      </c>
      <c r="AG6" s="58">
        <f>AF6-79406</f>
        <v>4</v>
      </c>
      <c r="AH6" s="59"/>
      <c r="AI6" s="60"/>
      <c r="AJ6" s="61"/>
      <c r="AK6" s="62"/>
      <c r="AL6" s="52"/>
      <c r="AM6" s="52"/>
    </row>
    <row r="7" spans="1:48">
      <c r="A7" s="21">
        <v>44617</v>
      </c>
      <c r="B7" s="22">
        <v>792.27269999999999</v>
      </c>
      <c r="C7" s="27">
        <v>4.0616000000000003</v>
      </c>
      <c r="D7" s="23">
        <f t="shared" si="0"/>
        <v>796.33429999999998</v>
      </c>
      <c r="E7" s="24">
        <f t="shared" ref="E7:E26" si="4">(D7-D6)*1000</f>
        <v>-0.199999999949796</v>
      </c>
      <c r="F7" s="25">
        <f t="shared" ref="F7:F26" si="5">F6+E7</f>
        <v>-0.199999999949796</v>
      </c>
      <c r="G7" s="26">
        <f t="shared" ref="G7:G26" si="6">E7/(A7-A6)</f>
        <v>-0.199999999949796</v>
      </c>
      <c r="H7" s="6">
        <v>5.5087999999999999</v>
      </c>
      <c r="I7" s="35">
        <f t="shared" si="1"/>
        <v>797.78150000000005</v>
      </c>
      <c r="J7" s="24">
        <f t="shared" ref="J7:J26" si="7">(I7-I6)*1000</f>
        <v>-0.10000000008858501</v>
      </c>
      <c r="K7" s="25">
        <f t="shared" ref="K7:K26" si="8">K6+J7</f>
        <v>-0.10000000008858501</v>
      </c>
      <c r="L7" s="26">
        <f t="shared" ref="L7:L26" si="9">J7/(A7-A6)</f>
        <v>-0.10000000008858501</v>
      </c>
      <c r="M7" s="6">
        <v>4.5275999999999996</v>
      </c>
      <c r="N7" s="35">
        <f t="shared" si="2"/>
        <v>796.80029999999999</v>
      </c>
      <c r="O7" s="24">
        <f t="shared" ref="O7:O26" si="10">(N7-N6)*1000</f>
        <v>-0.199999999949796</v>
      </c>
      <c r="P7" s="25">
        <f t="shared" ref="P7:P26" si="11">P6+O7</f>
        <v>-0.199999999949796</v>
      </c>
      <c r="Q7" s="26">
        <f t="shared" ref="Q7:Q26" si="12">O7/(A7-A6)</f>
        <v>-0.199999999949796</v>
      </c>
      <c r="R7" s="41"/>
      <c r="S7" s="21">
        <f t="shared" si="3"/>
        <v>44617</v>
      </c>
      <c r="T7" s="42">
        <v>8.1193000000000008</v>
      </c>
      <c r="U7" s="43">
        <f t="shared" ref="U7:U26" si="13">(T7-T6)*1000</f>
        <v>-0.19999999999953399</v>
      </c>
      <c r="V7" s="44">
        <f t="shared" ref="V7:V26" si="14">V6+U7</f>
        <v>-0.19999999999953399</v>
      </c>
      <c r="W7" s="45">
        <f t="shared" ref="W7:W26" si="15">U7/(S6-S7)</f>
        <v>0.19999999999953399</v>
      </c>
      <c r="X7" s="29">
        <v>11.9589</v>
      </c>
      <c r="Y7" s="43">
        <f t="shared" ref="Y7:Y26" si="16">(X7-X6)*1000</f>
        <v>-9.99999999997669E-2</v>
      </c>
      <c r="Z7" s="44">
        <f t="shared" ref="Z7:Z26" si="17">Z6+Y7</f>
        <v>-9.99999999997669E-2</v>
      </c>
      <c r="AA7" s="45">
        <f t="shared" ref="AA7:AA26" si="18">Y7/(S7-S6)</f>
        <v>-9.99999999997669E-2</v>
      </c>
      <c r="AB7" s="42">
        <v>7.7422000000000004</v>
      </c>
      <c r="AC7" s="43">
        <f t="shared" ref="AC7:AC26" si="19">(AB7-AB6)*1000</f>
        <v>-0.19999999999953399</v>
      </c>
      <c r="AD7" s="44">
        <f t="shared" ref="AD7:AD26" si="20">AD6+AC7</f>
        <v>-0.19999999999953399</v>
      </c>
      <c r="AE7" s="45">
        <f t="shared" ref="AE7:AE26" si="21">AC7/(S7-S6)</f>
        <v>-0.19999999999953399</v>
      </c>
      <c r="AF7" s="50">
        <v>79416</v>
      </c>
      <c r="AG7" s="58">
        <f t="shared" ref="AG7:AG26" si="22">AF7-79406</f>
        <v>10</v>
      </c>
      <c r="AH7" s="59"/>
      <c r="AI7" s="60"/>
      <c r="AJ7" s="61"/>
      <c r="AK7" s="62"/>
      <c r="AL7" s="52"/>
      <c r="AM7" s="52"/>
    </row>
    <row r="8" spans="1:48">
      <c r="A8" s="21">
        <v>44618</v>
      </c>
      <c r="B8" s="22">
        <v>792.27269999999999</v>
      </c>
      <c r="C8" s="27">
        <v>4.0614999999999997</v>
      </c>
      <c r="D8" s="23">
        <f t="shared" si="0"/>
        <v>796.33420000000001</v>
      </c>
      <c r="E8" s="24">
        <f t="shared" si="4"/>
        <v>-9.9999999974897905E-2</v>
      </c>
      <c r="F8" s="25">
        <f t="shared" si="5"/>
        <v>-0.29999999992469401</v>
      </c>
      <c r="G8" s="26">
        <f t="shared" si="6"/>
        <v>-9.9999999974897905E-2</v>
      </c>
      <c r="H8" s="6">
        <v>5.5080999999999998</v>
      </c>
      <c r="I8" s="35">
        <f t="shared" si="1"/>
        <v>797.7808</v>
      </c>
      <c r="J8" s="24">
        <f t="shared" si="7"/>
        <v>-0.69999999993797202</v>
      </c>
      <c r="K8" s="25">
        <f t="shared" si="8"/>
        <v>-0.80000000002655702</v>
      </c>
      <c r="L8" s="26">
        <f t="shared" si="9"/>
        <v>-0.69999999993797202</v>
      </c>
      <c r="M8" s="6">
        <v>4.5274999999999999</v>
      </c>
      <c r="N8" s="35">
        <f t="shared" si="2"/>
        <v>796.80020000000002</v>
      </c>
      <c r="O8" s="24">
        <f t="shared" si="10"/>
        <v>-9.9999999974897905E-2</v>
      </c>
      <c r="P8" s="25">
        <f t="shared" si="11"/>
        <v>-0.29999999992469401</v>
      </c>
      <c r="Q8" s="26">
        <f t="shared" si="12"/>
        <v>-9.9999999974897905E-2</v>
      </c>
      <c r="R8" s="41"/>
      <c r="S8" s="21">
        <f t="shared" si="3"/>
        <v>44618</v>
      </c>
      <c r="T8" s="42">
        <v>8.1190999999999995</v>
      </c>
      <c r="U8" s="43">
        <f t="shared" si="13"/>
        <v>-0.20000000000130999</v>
      </c>
      <c r="V8" s="44">
        <f t="shared" si="14"/>
        <v>-0.40000000000084401</v>
      </c>
      <c r="W8" s="45">
        <f t="shared" si="15"/>
        <v>0.20000000000130999</v>
      </c>
      <c r="X8" s="29">
        <v>11.9587</v>
      </c>
      <c r="Y8" s="43">
        <f t="shared" si="16"/>
        <v>-0.19999999999953399</v>
      </c>
      <c r="Z8" s="44">
        <f t="shared" si="17"/>
        <v>-0.29999999999930099</v>
      </c>
      <c r="AA8" s="45">
        <f t="shared" si="18"/>
        <v>-0.19999999999953399</v>
      </c>
      <c r="AB8" s="42">
        <v>7.742</v>
      </c>
      <c r="AC8" s="43">
        <f t="shared" si="19"/>
        <v>-0.20000000000042201</v>
      </c>
      <c r="AD8" s="44">
        <f t="shared" si="20"/>
        <v>-0.399999999999956</v>
      </c>
      <c r="AE8" s="45">
        <f t="shared" si="21"/>
        <v>-0.20000000000042201</v>
      </c>
      <c r="AF8" s="50">
        <v>79422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44619</v>
      </c>
      <c r="B9" s="22">
        <v>792.27269999999999</v>
      </c>
      <c r="C9" s="27">
        <v>4.0612000000000004</v>
      </c>
      <c r="D9" s="23">
        <f t="shared" si="0"/>
        <v>796.33389999999997</v>
      </c>
      <c r="E9" s="24">
        <f t="shared" si="4"/>
        <v>-0.30000000003838101</v>
      </c>
      <c r="F9" s="25">
        <f t="shared" si="5"/>
        <v>-0.59999999996307496</v>
      </c>
      <c r="G9" s="26">
        <f t="shared" si="6"/>
        <v>-0.30000000003838101</v>
      </c>
      <c r="H9" s="6">
        <v>5.5082000000000004</v>
      </c>
      <c r="I9" s="35">
        <f t="shared" si="1"/>
        <v>797.78089999999997</v>
      </c>
      <c r="J9" s="24">
        <f t="shared" si="7"/>
        <v>9.9999999974897905E-2</v>
      </c>
      <c r="K9" s="25">
        <f t="shared" si="8"/>
        <v>-0.70000000005165897</v>
      </c>
      <c r="L9" s="26">
        <f t="shared" si="9"/>
        <v>9.9999999974897905E-2</v>
      </c>
      <c r="M9" s="6">
        <v>4.5270000000000001</v>
      </c>
      <c r="N9" s="35">
        <f t="shared" si="2"/>
        <v>796.79970000000003</v>
      </c>
      <c r="O9" s="24">
        <f t="shared" si="10"/>
        <v>-0.49999999998817701</v>
      </c>
      <c r="P9" s="25">
        <f t="shared" si="11"/>
        <v>-0.79999999991286996</v>
      </c>
      <c r="Q9" s="26">
        <f t="shared" si="12"/>
        <v>-0.49999999998817701</v>
      </c>
      <c r="R9" s="41"/>
      <c r="S9" s="21">
        <f t="shared" si="3"/>
        <v>44619</v>
      </c>
      <c r="T9" s="42">
        <v>8.1189999999999998</v>
      </c>
      <c r="U9" s="43">
        <f t="shared" si="13"/>
        <v>-9.99999999997669E-2</v>
      </c>
      <c r="V9" s="44">
        <f t="shared" si="14"/>
        <v>-0.50000000000061096</v>
      </c>
      <c r="W9" s="45">
        <f t="shared" si="15"/>
        <v>9.99999999997669E-2</v>
      </c>
      <c r="X9" s="29">
        <v>11.958500000000001</v>
      </c>
      <c r="Y9" s="43">
        <f t="shared" si="16"/>
        <v>-0.19999999999953399</v>
      </c>
      <c r="Z9" s="44">
        <f t="shared" si="17"/>
        <v>-0.49999999999883499</v>
      </c>
      <c r="AA9" s="45">
        <f t="shared" si="18"/>
        <v>-0.19999999999953399</v>
      </c>
      <c r="AB9" s="42">
        <v>7.7420999999999998</v>
      </c>
      <c r="AC9" s="43">
        <f t="shared" si="19"/>
        <v>9.99999999997669E-2</v>
      </c>
      <c r="AD9" s="44">
        <f t="shared" si="20"/>
        <v>-0.300000000000189</v>
      </c>
      <c r="AE9" s="45">
        <f t="shared" si="21"/>
        <v>9.99999999997669E-2</v>
      </c>
      <c r="AF9" s="50">
        <v>79428</v>
      </c>
      <c r="AG9" s="58">
        <f t="shared" si="22"/>
        <v>22</v>
      </c>
      <c r="AH9" s="59"/>
      <c r="AI9" s="60"/>
      <c r="AJ9" s="61"/>
      <c r="AK9" s="62"/>
      <c r="AL9" s="52"/>
      <c r="AM9" s="52"/>
    </row>
    <row r="10" spans="1:48">
      <c r="A10" s="21">
        <v>44620</v>
      </c>
      <c r="B10" s="22">
        <v>792.27269999999999</v>
      </c>
      <c r="C10" s="27">
        <v>4.0609999999999999</v>
      </c>
      <c r="D10" s="23">
        <f t="shared" si="0"/>
        <v>796.33370000000002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5.508</v>
      </c>
      <c r="I10" s="35">
        <f t="shared" si="1"/>
        <v>797.78070000000002</v>
      </c>
      <c r="J10" s="24">
        <f t="shared" si="7"/>
        <v>-0.199999999949796</v>
      </c>
      <c r="K10" s="25">
        <f t="shared" si="8"/>
        <v>-0.90000000000145497</v>
      </c>
      <c r="L10" s="26">
        <f t="shared" si="9"/>
        <v>-0.199999999949796</v>
      </c>
      <c r="M10" s="6">
        <v>4.5267999999999997</v>
      </c>
      <c r="N10" s="35">
        <f t="shared" si="2"/>
        <v>796.79949999999997</v>
      </c>
      <c r="O10" s="24">
        <f t="shared" si="10"/>
        <v>-0.20000000006348301</v>
      </c>
      <c r="P10" s="25">
        <f t="shared" si="11"/>
        <v>-0.99999999997635303</v>
      </c>
      <c r="Q10" s="26">
        <f t="shared" si="12"/>
        <v>-0.20000000006348301</v>
      </c>
      <c r="R10" s="41"/>
      <c r="S10" s="21">
        <f t="shared" si="3"/>
        <v>44620</v>
      </c>
      <c r="T10" s="42">
        <v>8.1187000000000005</v>
      </c>
      <c r="U10" s="43">
        <f t="shared" si="13"/>
        <v>-0.29999999999930099</v>
      </c>
      <c r="V10" s="44">
        <f t="shared" si="14"/>
        <v>-0.799999999999912</v>
      </c>
      <c r="W10" s="45">
        <f t="shared" si="15"/>
        <v>0.29999999999930099</v>
      </c>
      <c r="X10" s="29">
        <v>11.9582</v>
      </c>
      <c r="Y10" s="43">
        <f t="shared" si="16"/>
        <v>-0.30000000000107702</v>
      </c>
      <c r="Z10" s="44">
        <f t="shared" si="17"/>
        <v>-0.799999999999912</v>
      </c>
      <c r="AA10" s="45">
        <f t="shared" si="18"/>
        <v>-0.30000000000107702</v>
      </c>
      <c r="AB10" s="42">
        <v>7.7416</v>
      </c>
      <c r="AC10" s="43">
        <f t="shared" si="19"/>
        <v>-0.499999999999723</v>
      </c>
      <c r="AD10" s="44">
        <f t="shared" si="20"/>
        <v>-0.799999999999912</v>
      </c>
      <c r="AE10" s="45">
        <f t="shared" si="21"/>
        <v>-0.499999999999723</v>
      </c>
      <c r="AF10" s="50">
        <v>79434</v>
      </c>
      <c r="AG10" s="58">
        <f t="shared" si="22"/>
        <v>28</v>
      </c>
      <c r="AH10" s="59"/>
      <c r="AI10" s="60"/>
      <c r="AJ10" s="61"/>
      <c r="AK10" s="62"/>
      <c r="AL10" s="52"/>
      <c r="AM10" s="52"/>
    </row>
    <row r="11" spans="1:48">
      <c r="A11" s="21">
        <v>44621</v>
      </c>
      <c r="B11" s="22">
        <v>792.27269999999999</v>
      </c>
      <c r="C11" s="27">
        <v>4.0610999999999997</v>
      </c>
      <c r="D11" s="23">
        <f t="shared" si="0"/>
        <v>796.3338</v>
      </c>
      <c r="E11" s="24">
        <f t="shared" si="4"/>
        <v>9.9999999974897905E-2</v>
      </c>
      <c r="F11" s="25">
        <f t="shared" si="5"/>
        <v>-0.69999999993797202</v>
      </c>
      <c r="G11" s="26">
        <f t="shared" si="6"/>
        <v>9.9999999974897905E-2</v>
      </c>
      <c r="H11" s="6">
        <v>5.5077999999999996</v>
      </c>
      <c r="I11" s="35">
        <f t="shared" si="1"/>
        <v>797.78049999999996</v>
      </c>
      <c r="J11" s="24">
        <f t="shared" si="7"/>
        <v>-0.20000000006348301</v>
      </c>
      <c r="K11" s="25">
        <f t="shared" si="8"/>
        <v>-1.1000000000649399</v>
      </c>
      <c r="L11" s="26">
        <f t="shared" si="9"/>
        <v>-0.20000000006348301</v>
      </c>
      <c r="M11" s="6">
        <v>4.5266000000000002</v>
      </c>
      <c r="N11" s="35">
        <f t="shared" si="2"/>
        <v>796.79930000000002</v>
      </c>
      <c r="O11" s="24">
        <f t="shared" si="10"/>
        <v>-0.199999999949796</v>
      </c>
      <c r="P11" s="25">
        <f t="shared" si="11"/>
        <v>-1.1999999999261499</v>
      </c>
      <c r="Q11" s="26">
        <f t="shared" si="12"/>
        <v>-0.199999999949796</v>
      </c>
      <c r="R11" s="41"/>
      <c r="S11" s="21">
        <f t="shared" si="3"/>
        <v>44621</v>
      </c>
      <c r="T11" s="42">
        <v>8.1189999999999998</v>
      </c>
      <c r="U11" s="43">
        <f t="shared" si="13"/>
        <v>0.29999999999930099</v>
      </c>
      <c r="V11" s="44">
        <f t="shared" si="14"/>
        <v>-0.50000000000061096</v>
      </c>
      <c r="W11" s="45">
        <f t="shared" si="15"/>
        <v>-0.29999999999930099</v>
      </c>
      <c r="X11" s="29">
        <v>11.9581</v>
      </c>
      <c r="Y11" s="43">
        <f t="shared" si="16"/>
        <v>-9.99999999997669E-2</v>
      </c>
      <c r="Z11" s="44">
        <f t="shared" si="17"/>
        <v>-0.89999999999967895</v>
      </c>
      <c r="AA11" s="45">
        <f t="shared" si="18"/>
        <v>-9.99999999997669E-2</v>
      </c>
      <c r="AB11" s="42">
        <v>7.7413999999999996</v>
      </c>
      <c r="AC11" s="43">
        <f t="shared" si="19"/>
        <v>-0.20000000000042201</v>
      </c>
      <c r="AD11" s="44">
        <f t="shared" si="20"/>
        <v>-1.00000000000033</v>
      </c>
      <c r="AE11" s="45">
        <f t="shared" si="21"/>
        <v>-0.20000000000042201</v>
      </c>
      <c r="AF11" s="50">
        <v>79440</v>
      </c>
      <c r="AG11" s="58">
        <f t="shared" si="22"/>
        <v>34</v>
      </c>
      <c r="AH11" s="59"/>
      <c r="AI11" s="60"/>
      <c r="AJ11" s="52"/>
      <c r="AK11" s="52"/>
      <c r="AL11" s="52"/>
      <c r="AM11" s="52"/>
    </row>
    <row r="12" spans="1:48" s="67" customFormat="1">
      <c r="A12" s="21">
        <v>44622</v>
      </c>
      <c r="B12" s="22">
        <v>792.27269999999999</v>
      </c>
      <c r="C12" s="27">
        <v>4.0606</v>
      </c>
      <c r="D12" s="23">
        <f t="shared" si="0"/>
        <v>796.33330000000001</v>
      </c>
      <c r="E12" s="24">
        <f t="shared" si="4"/>
        <v>-0.49999999998817701</v>
      </c>
      <c r="F12" s="25">
        <f t="shared" si="5"/>
        <v>-1.1999999999261499</v>
      </c>
      <c r="G12" s="26">
        <f t="shared" si="6"/>
        <v>-0.49999999998817701</v>
      </c>
      <c r="H12" s="6">
        <v>5.5076999999999998</v>
      </c>
      <c r="I12" s="35">
        <f t="shared" si="1"/>
        <v>797.78039999999999</v>
      </c>
      <c r="J12" s="24">
        <f t="shared" si="7"/>
        <v>-9.9999999974897905E-2</v>
      </c>
      <c r="K12" s="25">
        <f t="shared" si="8"/>
        <v>-1.2000000000398401</v>
      </c>
      <c r="L12" s="26">
        <f t="shared" si="9"/>
        <v>-9.9999999974897905E-2</v>
      </c>
      <c r="M12" s="6">
        <v>4.5263999999999998</v>
      </c>
      <c r="N12" s="35">
        <f t="shared" si="2"/>
        <v>796.79909999999995</v>
      </c>
      <c r="O12" s="24">
        <f t="shared" si="10"/>
        <v>-0.20000000006348301</v>
      </c>
      <c r="P12" s="25">
        <f t="shared" si="11"/>
        <v>-1.39999999998963</v>
      </c>
      <c r="Q12" s="26">
        <f t="shared" si="12"/>
        <v>-0.20000000006348301</v>
      </c>
      <c r="R12" s="41"/>
      <c r="S12" s="21">
        <f t="shared" si="3"/>
        <v>44622</v>
      </c>
      <c r="T12" s="42">
        <v>8.1193000000000008</v>
      </c>
      <c r="U12" s="43">
        <f t="shared" si="13"/>
        <v>0.30000000000107702</v>
      </c>
      <c r="V12" s="44">
        <f t="shared" si="14"/>
        <v>-0.19999999999953399</v>
      </c>
      <c r="W12" s="45">
        <f t="shared" si="15"/>
        <v>-0.30000000000107702</v>
      </c>
      <c r="X12" s="29">
        <v>11.9579</v>
      </c>
      <c r="Y12" s="43">
        <f t="shared" si="16"/>
        <v>-0.19999999999953399</v>
      </c>
      <c r="Z12" s="44">
        <f t="shared" si="17"/>
        <v>-1.0999999999992101</v>
      </c>
      <c r="AA12" s="45">
        <f t="shared" si="18"/>
        <v>-0.19999999999953399</v>
      </c>
      <c r="AB12" s="42">
        <v>7.7415000000000003</v>
      </c>
      <c r="AC12" s="43">
        <f t="shared" si="19"/>
        <v>0.100000000000655</v>
      </c>
      <c r="AD12" s="44">
        <f t="shared" si="20"/>
        <v>-0.89999999999967895</v>
      </c>
      <c r="AE12" s="45">
        <f t="shared" si="21"/>
        <v>0.100000000000655</v>
      </c>
      <c r="AF12" s="50">
        <v>79446</v>
      </c>
      <c r="AG12" s="58">
        <f t="shared" si="22"/>
        <v>40</v>
      </c>
      <c r="AH12" s="61"/>
      <c r="AI12" s="60"/>
    </row>
    <row r="13" spans="1:48">
      <c r="A13" s="21">
        <v>44623</v>
      </c>
      <c r="B13" s="22">
        <v>792.27269999999999</v>
      </c>
      <c r="C13" s="27">
        <v>4.0603999999999996</v>
      </c>
      <c r="D13" s="23">
        <f t="shared" si="0"/>
        <v>796.33309999999994</v>
      </c>
      <c r="E13" s="24">
        <f t="shared" si="4"/>
        <v>-0.20000000006348301</v>
      </c>
      <c r="F13" s="25">
        <f t="shared" si="5"/>
        <v>-1.39999999998963</v>
      </c>
      <c r="G13" s="26">
        <f t="shared" si="6"/>
        <v>-0.20000000006348301</v>
      </c>
      <c r="H13" s="6">
        <v>5.5073999999999996</v>
      </c>
      <c r="I13" s="35">
        <f t="shared" si="1"/>
        <v>797.78009999999995</v>
      </c>
      <c r="J13" s="24">
        <f t="shared" si="7"/>
        <v>-0.30000000003838101</v>
      </c>
      <c r="K13" s="25">
        <f t="shared" si="8"/>
        <v>-1.5000000000782201</v>
      </c>
      <c r="L13" s="26">
        <f t="shared" si="9"/>
        <v>-0.30000000003838101</v>
      </c>
      <c r="M13" s="6">
        <v>4.5265000000000004</v>
      </c>
      <c r="N13" s="35">
        <f t="shared" si="2"/>
        <v>796.79920000000004</v>
      </c>
      <c r="O13" s="24">
        <f t="shared" si="10"/>
        <v>0.10000000008858501</v>
      </c>
      <c r="P13" s="25">
        <f t="shared" si="11"/>
        <v>-1.2999999999010501</v>
      </c>
      <c r="Q13" s="26">
        <f t="shared" si="12"/>
        <v>0.10000000008858501</v>
      </c>
      <c r="R13" s="41"/>
      <c r="S13" s="21">
        <f t="shared" si="3"/>
        <v>44623</v>
      </c>
      <c r="T13" s="42">
        <v>8.1196000000000002</v>
      </c>
      <c r="U13" s="43">
        <f t="shared" si="13"/>
        <v>0.29999999999930099</v>
      </c>
      <c r="V13" s="44">
        <f t="shared" si="14"/>
        <v>9.99999999997669E-2</v>
      </c>
      <c r="W13" s="45">
        <f t="shared" si="15"/>
        <v>-0.29999999999930099</v>
      </c>
      <c r="X13" s="29">
        <v>11.958</v>
      </c>
      <c r="Y13" s="43">
        <f t="shared" si="16"/>
        <v>9.99999999997669E-2</v>
      </c>
      <c r="Z13" s="44">
        <f t="shared" si="17"/>
        <v>-0.999999999999446</v>
      </c>
      <c r="AA13" s="45">
        <f t="shared" si="18"/>
        <v>9.99999999997669E-2</v>
      </c>
      <c r="AB13" s="42">
        <v>7.7412999999999998</v>
      </c>
      <c r="AC13" s="43">
        <f t="shared" si="19"/>
        <v>-0.20000000000042201</v>
      </c>
      <c r="AD13" s="44">
        <f t="shared" si="20"/>
        <v>-1.1000000000001</v>
      </c>
      <c r="AE13" s="45">
        <f t="shared" si="21"/>
        <v>-0.20000000000042201</v>
      </c>
      <c r="AF13" s="50">
        <v>79452</v>
      </c>
      <c r="AG13" s="58">
        <f t="shared" si="22"/>
        <v>46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44624</v>
      </c>
      <c r="B14" s="22">
        <v>792.27269999999999</v>
      </c>
      <c r="C14" s="27">
        <v>4.0605000000000002</v>
      </c>
      <c r="D14" s="23">
        <f t="shared" si="0"/>
        <v>796.33320000000003</v>
      </c>
      <c r="E14" s="24">
        <f t="shared" si="4"/>
        <v>0.10000000008858501</v>
      </c>
      <c r="F14" s="25">
        <f t="shared" si="5"/>
        <v>-1.2999999999010501</v>
      </c>
      <c r="G14" s="26">
        <f t="shared" si="6"/>
        <v>0.10000000008858501</v>
      </c>
      <c r="H14" s="6">
        <v>5.5072000000000001</v>
      </c>
      <c r="I14" s="35">
        <f t="shared" si="1"/>
        <v>797.7799</v>
      </c>
      <c r="J14" s="24">
        <f t="shared" si="7"/>
        <v>-0.199999999949796</v>
      </c>
      <c r="K14" s="25">
        <f t="shared" si="8"/>
        <v>-1.70000000002801</v>
      </c>
      <c r="L14" s="26">
        <f t="shared" si="9"/>
        <v>-0.199999999949796</v>
      </c>
      <c r="M14" s="6">
        <v>4.5259999999999998</v>
      </c>
      <c r="N14" s="35">
        <f t="shared" si="2"/>
        <v>796.79870000000005</v>
      </c>
      <c r="O14" s="24">
        <f t="shared" si="10"/>
        <v>-0.50000000010186296</v>
      </c>
      <c r="P14" s="25">
        <f t="shared" si="11"/>
        <v>-1.8000000000029099</v>
      </c>
      <c r="Q14" s="26">
        <f t="shared" si="12"/>
        <v>-0.50000000010186296</v>
      </c>
      <c r="R14" s="41"/>
      <c r="S14" s="21">
        <f t="shared" si="3"/>
        <v>44624</v>
      </c>
      <c r="T14" s="42">
        <v>8.1194000000000006</v>
      </c>
      <c r="U14" s="43">
        <f t="shared" si="13"/>
        <v>-0.19999999999953399</v>
      </c>
      <c r="V14" s="44">
        <f t="shared" si="14"/>
        <v>-9.99999999997669E-2</v>
      </c>
      <c r="W14" s="45">
        <f t="shared" si="15"/>
        <v>0.19999999999953399</v>
      </c>
      <c r="X14" s="29">
        <v>11.958</v>
      </c>
      <c r="Y14" s="43">
        <f t="shared" si="16"/>
        <v>0</v>
      </c>
      <c r="Z14" s="44">
        <f t="shared" si="17"/>
        <v>-0.999999999999446</v>
      </c>
      <c r="AA14" s="45">
        <f t="shared" si="18"/>
        <v>0</v>
      </c>
      <c r="AB14" s="42">
        <v>7.7411000000000003</v>
      </c>
      <c r="AC14" s="43">
        <f t="shared" si="19"/>
        <v>-0.19999999999953399</v>
      </c>
      <c r="AD14" s="44">
        <f t="shared" si="20"/>
        <v>-1.2999999999996299</v>
      </c>
      <c r="AE14" s="45">
        <f t="shared" si="21"/>
        <v>-0.19999999999953399</v>
      </c>
      <c r="AF14" s="50">
        <v>79458</v>
      </c>
      <c r="AG14" s="58">
        <f t="shared" si="22"/>
        <v>52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44625</v>
      </c>
      <c r="B15" s="22">
        <v>792.27269999999999</v>
      </c>
      <c r="C15" s="27">
        <v>4.0599999999999996</v>
      </c>
      <c r="D15" s="23">
        <f t="shared" si="0"/>
        <v>796.33270000000005</v>
      </c>
      <c r="E15" s="24">
        <f t="shared" si="4"/>
        <v>-0.50000000010186296</v>
      </c>
      <c r="F15" s="25">
        <f t="shared" si="5"/>
        <v>-1.8000000000029099</v>
      </c>
      <c r="G15" s="26">
        <f t="shared" si="6"/>
        <v>-0.50000000010186296</v>
      </c>
      <c r="H15" s="6">
        <v>5.5072999999999999</v>
      </c>
      <c r="I15" s="35">
        <f t="shared" si="1"/>
        <v>797.78</v>
      </c>
      <c r="J15" s="24">
        <f t="shared" si="7"/>
        <v>9.9999999974897905E-2</v>
      </c>
      <c r="K15" s="25">
        <f t="shared" si="8"/>
        <v>-1.60000000005311</v>
      </c>
      <c r="L15" s="26">
        <f t="shared" si="9"/>
        <v>9.9999999974897905E-2</v>
      </c>
      <c r="M15" s="6">
        <v>4.5258000000000003</v>
      </c>
      <c r="N15" s="35">
        <f t="shared" si="2"/>
        <v>796.79849999999999</v>
      </c>
      <c r="O15" s="24">
        <f t="shared" si="10"/>
        <v>-0.199999999949796</v>
      </c>
      <c r="P15" s="25">
        <f t="shared" si="11"/>
        <v>-1.9999999999527101</v>
      </c>
      <c r="Q15" s="26">
        <f t="shared" si="12"/>
        <v>-0.199999999949796</v>
      </c>
      <c r="R15" s="41"/>
      <c r="S15" s="21">
        <f t="shared" si="3"/>
        <v>44625</v>
      </c>
      <c r="T15" s="42">
        <v>8.1193000000000008</v>
      </c>
      <c r="U15" s="43">
        <f t="shared" si="13"/>
        <v>-9.99999999997669E-2</v>
      </c>
      <c r="V15" s="44">
        <f t="shared" si="14"/>
        <v>-0.19999999999953399</v>
      </c>
      <c r="W15" s="45">
        <f t="shared" si="15"/>
        <v>9.99999999997669E-2</v>
      </c>
      <c r="X15" s="29">
        <v>11.9582</v>
      </c>
      <c r="Y15" s="43">
        <f t="shared" si="16"/>
        <v>0.19999999999953399</v>
      </c>
      <c r="Z15" s="44">
        <f t="shared" si="17"/>
        <v>-0.799999999999912</v>
      </c>
      <c r="AA15" s="45">
        <f t="shared" si="18"/>
        <v>0.19999999999953399</v>
      </c>
      <c r="AB15" s="42">
        <v>7.7408000000000001</v>
      </c>
      <c r="AC15" s="43">
        <f t="shared" si="19"/>
        <v>-0.300000000000189</v>
      </c>
      <c r="AD15" s="44">
        <f t="shared" si="20"/>
        <v>-1.59999999999982</v>
      </c>
      <c r="AE15" s="45">
        <f t="shared" si="21"/>
        <v>-0.300000000000189</v>
      </c>
      <c r="AF15" s="50">
        <v>79464</v>
      </c>
      <c r="AG15" s="58">
        <f t="shared" si="22"/>
        <v>58</v>
      </c>
      <c r="AH15" s="61"/>
      <c r="AI15" s="60"/>
      <c r="AJ15"/>
      <c r="AK15"/>
      <c r="AL15"/>
      <c r="AM15"/>
    </row>
    <row r="16" spans="1:48">
      <c r="A16" s="21">
        <v>44626</v>
      </c>
      <c r="B16" s="22">
        <v>792.27269999999999</v>
      </c>
      <c r="C16" s="27">
        <v>4.0598000000000001</v>
      </c>
      <c r="D16" s="23">
        <f t="shared" si="0"/>
        <v>796.33249999999998</v>
      </c>
      <c r="E16" s="24">
        <f t="shared" si="4"/>
        <v>-0.199999999949796</v>
      </c>
      <c r="F16" s="25">
        <f t="shared" si="5"/>
        <v>-1.9999999999527101</v>
      </c>
      <c r="G16" s="26">
        <f t="shared" si="6"/>
        <v>-0.199999999949796</v>
      </c>
      <c r="H16" s="6">
        <v>5.5068000000000001</v>
      </c>
      <c r="I16" s="35">
        <f t="shared" si="1"/>
        <v>797.77949999999998</v>
      </c>
      <c r="J16" s="24">
        <f t="shared" si="7"/>
        <v>-0.49999999998817701</v>
      </c>
      <c r="K16" s="25">
        <f t="shared" si="8"/>
        <v>-2.1000000000412902</v>
      </c>
      <c r="L16" s="26">
        <f t="shared" si="9"/>
        <v>-0.49999999998817701</v>
      </c>
      <c r="M16" s="6">
        <v>4.5255999999999998</v>
      </c>
      <c r="N16" s="35">
        <f t="shared" si="2"/>
        <v>796.79830000000004</v>
      </c>
      <c r="O16" s="24">
        <f t="shared" si="10"/>
        <v>-0.199999999949796</v>
      </c>
      <c r="P16" s="25">
        <f t="shared" si="11"/>
        <v>-2.1999999999024999</v>
      </c>
      <c r="Q16" s="26">
        <f t="shared" si="12"/>
        <v>-0.199999999949796</v>
      </c>
      <c r="R16" s="41"/>
      <c r="S16" s="21">
        <f t="shared" si="3"/>
        <v>44626</v>
      </c>
      <c r="T16" s="42">
        <v>8.1191999999999993</v>
      </c>
      <c r="U16" s="43">
        <f t="shared" si="13"/>
        <v>-0.10000000000154299</v>
      </c>
      <c r="V16" s="44">
        <f t="shared" si="14"/>
        <v>-0.30000000000107702</v>
      </c>
      <c r="W16" s="45">
        <f t="shared" si="15"/>
        <v>0.10000000000154299</v>
      </c>
      <c r="X16" s="29">
        <v>11.958299999999999</v>
      </c>
      <c r="Y16" s="43">
        <f t="shared" si="16"/>
        <v>9.99999999997669E-2</v>
      </c>
      <c r="Z16" s="44">
        <f t="shared" si="17"/>
        <v>-0.70000000000014495</v>
      </c>
      <c r="AA16" s="45">
        <f t="shared" si="18"/>
        <v>9.99999999997669E-2</v>
      </c>
      <c r="AB16" s="42">
        <v>7.7407000000000004</v>
      </c>
      <c r="AC16" s="43">
        <f t="shared" si="19"/>
        <v>-9.99999999997669E-2</v>
      </c>
      <c r="AD16" s="44">
        <f t="shared" si="20"/>
        <v>-1.6999999999995901</v>
      </c>
      <c r="AE16" s="45">
        <f t="shared" si="21"/>
        <v>-9.99999999997669E-2</v>
      </c>
      <c r="AF16" s="50">
        <v>79470</v>
      </c>
      <c r="AG16" s="58">
        <f t="shared" si="22"/>
        <v>64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44627</v>
      </c>
      <c r="B17" s="22">
        <v>792.27269999999999</v>
      </c>
      <c r="C17" s="27">
        <v>4.0601000000000003</v>
      </c>
      <c r="D17" s="23">
        <f t="shared" si="0"/>
        <v>796.33280000000002</v>
      </c>
      <c r="E17" s="24">
        <f t="shared" si="4"/>
        <v>0.30000000003838101</v>
      </c>
      <c r="F17" s="25">
        <f t="shared" si="5"/>
        <v>-1.69999999991433</v>
      </c>
      <c r="G17" s="26">
        <f t="shared" si="6"/>
        <v>0.30000000003838101</v>
      </c>
      <c r="H17" s="6">
        <v>5.5065999999999997</v>
      </c>
      <c r="I17" s="35">
        <f t="shared" si="1"/>
        <v>797.77930000000003</v>
      </c>
      <c r="J17" s="24">
        <f t="shared" si="7"/>
        <v>-0.199999999949796</v>
      </c>
      <c r="K17" s="25">
        <f t="shared" si="8"/>
        <v>-2.2999999999910901</v>
      </c>
      <c r="L17" s="26">
        <f t="shared" si="9"/>
        <v>-0.199999999949796</v>
      </c>
      <c r="M17" s="6">
        <v>4.5259999999999998</v>
      </c>
      <c r="N17" s="35">
        <f t="shared" si="2"/>
        <v>796.79870000000005</v>
      </c>
      <c r="O17" s="24">
        <f t="shared" si="10"/>
        <v>0.39999999989959201</v>
      </c>
      <c r="P17" s="25">
        <f t="shared" si="11"/>
        <v>-1.8000000000029099</v>
      </c>
      <c r="Q17" s="26">
        <f t="shared" si="12"/>
        <v>0.39999999989959201</v>
      </c>
      <c r="R17" s="41"/>
      <c r="S17" s="21">
        <f t="shared" si="3"/>
        <v>44627</v>
      </c>
      <c r="T17" s="42">
        <v>8.1190000000000104</v>
      </c>
      <c r="U17" s="43">
        <f t="shared" si="13"/>
        <v>-0.19999999998887599</v>
      </c>
      <c r="V17" s="44">
        <f t="shared" si="14"/>
        <v>-0.49999999998995298</v>
      </c>
      <c r="W17" s="45">
        <f t="shared" si="15"/>
        <v>0.19999999998887599</v>
      </c>
      <c r="X17" s="29">
        <v>11.958</v>
      </c>
      <c r="Y17" s="43">
        <f t="shared" si="16"/>
        <v>-0.29999999999930099</v>
      </c>
      <c r="Z17" s="44">
        <f t="shared" si="17"/>
        <v>-0.999999999999446</v>
      </c>
      <c r="AA17" s="45">
        <f t="shared" si="18"/>
        <v>-0.29999999999930099</v>
      </c>
      <c r="AB17" s="42">
        <v>7.7404999999999999</v>
      </c>
      <c r="AC17" s="43">
        <f t="shared" si="19"/>
        <v>-0.20000000000042201</v>
      </c>
      <c r="AD17" s="44">
        <f t="shared" si="20"/>
        <v>-1.9000000000000099</v>
      </c>
      <c r="AE17" s="45">
        <f t="shared" si="21"/>
        <v>-0.20000000000042201</v>
      </c>
      <c r="AF17" s="50">
        <v>79476</v>
      </c>
      <c r="AG17" s="58">
        <f t="shared" si="22"/>
        <v>70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44628</v>
      </c>
      <c r="B18" s="22">
        <v>792.27269999999999</v>
      </c>
      <c r="C18" s="27">
        <v>4.0594000000000099</v>
      </c>
      <c r="D18" s="23">
        <f t="shared" si="0"/>
        <v>796.33209999999997</v>
      </c>
      <c r="E18" s="24">
        <f t="shared" si="4"/>
        <v>-0.70000000005165897</v>
      </c>
      <c r="F18" s="25">
        <f t="shared" si="5"/>
        <v>-2.39999999996598</v>
      </c>
      <c r="G18" s="26">
        <f t="shared" si="6"/>
        <v>-0.70000000005165897</v>
      </c>
      <c r="H18" s="6">
        <v>5.5065</v>
      </c>
      <c r="I18" s="35">
        <f t="shared" si="1"/>
        <v>797.77919999999995</v>
      </c>
      <c r="J18" s="24">
        <f t="shared" si="7"/>
        <v>-0.10000000008858501</v>
      </c>
      <c r="K18" s="25">
        <f t="shared" si="8"/>
        <v>-2.40000000007967</v>
      </c>
      <c r="L18" s="26">
        <f t="shared" si="9"/>
        <v>-0.10000000008858501</v>
      </c>
      <c r="M18" s="6">
        <v>4.5251999999999999</v>
      </c>
      <c r="N18" s="35">
        <f t="shared" si="2"/>
        <v>796.79790000000003</v>
      </c>
      <c r="O18" s="24">
        <f t="shared" si="10"/>
        <v>-0.79999999991286996</v>
      </c>
      <c r="P18" s="25">
        <f t="shared" si="11"/>
        <v>-2.5999999999157799</v>
      </c>
      <c r="Q18" s="26">
        <f t="shared" si="12"/>
        <v>-0.79999999991286996</v>
      </c>
      <c r="R18" s="41"/>
      <c r="S18" s="21">
        <f t="shared" si="3"/>
        <v>44628</v>
      </c>
      <c r="T18" s="42">
        <v>8.1190999999999995</v>
      </c>
      <c r="U18" s="43">
        <f t="shared" si="13"/>
        <v>9.9999999989108801E-2</v>
      </c>
      <c r="V18" s="44">
        <f t="shared" si="14"/>
        <v>-0.40000000000084401</v>
      </c>
      <c r="W18" s="45">
        <f t="shared" si="15"/>
        <v>-9.9999999989108801E-2</v>
      </c>
      <c r="X18" s="29">
        <v>11.9582</v>
      </c>
      <c r="Y18" s="43">
        <f t="shared" si="16"/>
        <v>0.19999999999953399</v>
      </c>
      <c r="Z18" s="44">
        <f t="shared" si="17"/>
        <v>-0.799999999999912</v>
      </c>
      <c r="AA18" s="45">
        <f t="shared" si="18"/>
        <v>0.19999999999953399</v>
      </c>
      <c r="AB18" s="42">
        <v>7.7403000000000004</v>
      </c>
      <c r="AC18" s="43">
        <f t="shared" si="19"/>
        <v>-0.19999999999953399</v>
      </c>
      <c r="AD18" s="44">
        <f t="shared" si="20"/>
        <v>-2.0999999999995498</v>
      </c>
      <c r="AE18" s="45">
        <f t="shared" si="21"/>
        <v>-0.19999999999953399</v>
      </c>
      <c r="AF18" s="50">
        <v>79482</v>
      </c>
      <c r="AG18" s="58">
        <f t="shared" si="22"/>
        <v>76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44629</v>
      </c>
      <c r="B19" s="22">
        <v>792.27269999999999</v>
      </c>
      <c r="C19" s="27">
        <v>4.0592000000000104</v>
      </c>
      <c r="D19" s="23">
        <f t="shared" si="0"/>
        <v>796.33190000000002</v>
      </c>
      <c r="E19" s="24">
        <f t="shared" si="4"/>
        <v>-0.199999999949796</v>
      </c>
      <c r="F19" s="25">
        <f t="shared" si="5"/>
        <v>-2.5999999999157799</v>
      </c>
      <c r="G19" s="26">
        <f t="shared" si="6"/>
        <v>-0.199999999949796</v>
      </c>
      <c r="H19" s="6">
        <v>5.5061999999999998</v>
      </c>
      <c r="I19" s="35">
        <f t="shared" si="1"/>
        <v>797.77890000000002</v>
      </c>
      <c r="J19" s="24">
        <f t="shared" si="7"/>
        <v>-0.29999999992469401</v>
      </c>
      <c r="K19" s="25">
        <f t="shared" si="8"/>
        <v>-2.70000000000437</v>
      </c>
      <c r="L19" s="26">
        <f t="shared" si="9"/>
        <v>-0.29999999992469401</v>
      </c>
      <c r="M19" s="6">
        <v>4.5250000000000004</v>
      </c>
      <c r="N19" s="35">
        <f t="shared" si="2"/>
        <v>796.79769999999996</v>
      </c>
      <c r="O19" s="24">
        <f t="shared" si="10"/>
        <v>-0.20000000006348301</v>
      </c>
      <c r="P19" s="25">
        <f t="shared" si="11"/>
        <v>-2.79999999997926</v>
      </c>
      <c r="Q19" s="26">
        <f t="shared" si="12"/>
        <v>-0.20000000006348301</v>
      </c>
      <c r="R19" s="41"/>
      <c r="S19" s="21">
        <f t="shared" si="3"/>
        <v>44629</v>
      </c>
      <c r="T19" s="42">
        <v>8.1186000000000096</v>
      </c>
      <c r="U19" s="43">
        <f t="shared" si="13"/>
        <v>-0.49999999998995298</v>
      </c>
      <c r="V19" s="44">
        <f t="shared" si="14"/>
        <v>-0.89999999999079705</v>
      </c>
      <c r="W19" s="45">
        <f t="shared" si="15"/>
        <v>0.49999999998995298</v>
      </c>
      <c r="X19" s="29">
        <v>11.958299999999999</v>
      </c>
      <c r="Y19" s="43">
        <f t="shared" si="16"/>
        <v>9.99999999997669E-2</v>
      </c>
      <c r="Z19" s="44">
        <f t="shared" si="17"/>
        <v>-0.70000000000014495</v>
      </c>
      <c r="AA19" s="45">
        <f t="shared" si="18"/>
        <v>9.99999999997669E-2</v>
      </c>
      <c r="AB19" s="42">
        <v>7.7401999999999997</v>
      </c>
      <c r="AC19" s="43">
        <f t="shared" si="19"/>
        <v>-0.100000000000655</v>
      </c>
      <c r="AD19" s="44">
        <f t="shared" si="20"/>
        <v>-2.2000000000002</v>
      </c>
      <c r="AE19" s="45">
        <f t="shared" si="21"/>
        <v>-0.100000000000655</v>
      </c>
      <c r="AF19" s="50">
        <v>79488</v>
      </c>
      <c r="AG19" s="58">
        <f t="shared" si="22"/>
        <v>82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44630</v>
      </c>
      <c r="B20" s="22">
        <v>792.27269999999999</v>
      </c>
      <c r="C20" s="27">
        <v>4.0594999999999999</v>
      </c>
      <c r="D20" s="23">
        <f t="shared" si="0"/>
        <v>796.33219999999994</v>
      </c>
      <c r="E20" s="24">
        <f t="shared" si="4"/>
        <v>0.29999999992469401</v>
      </c>
      <c r="F20" s="25">
        <f t="shared" si="5"/>
        <v>-2.2999999999910901</v>
      </c>
      <c r="G20" s="26">
        <f t="shared" si="6"/>
        <v>0.29999999992469401</v>
      </c>
      <c r="H20" s="6">
        <v>5.5064000000000002</v>
      </c>
      <c r="I20" s="35">
        <f t="shared" si="1"/>
        <v>797.77909999999997</v>
      </c>
      <c r="J20" s="24">
        <f t="shared" si="7"/>
        <v>0.199999999949796</v>
      </c>
      <c r="K20" s="25">
        <f t="shared" si="8"/>
        <v>-2.5000000000545701</v>
      </c>
      <c r="L20" s="26">
        <f t="shared" si="9"/>
        <v>0.199999999949796</v>
      </c>
      <c r="M20" s="6">
        <v>4.5247999999999999</v>
      </c>
      <c r="N20" s="35">
        <f t="shared" si="2"/>
        <v>796.79750000000001</v>
      </c>
      <c r="O20" s="24">
        <f t="shared" si="10"/>
        <v>-0.199999999949796</v>
      </c>
      <c r="P20" s="25">
        <f t="shared" si="11"/>
        <v>-2.9999999999290599</v>
      </c>
      <c r="Q20" s="26">
        <f t="shared" si="12"/>
        <v>-0.199999999949796</v>
      </c>
      <c r="R20" s="41"/>
      <c r="S20" s="21">
        <f t="shared" si="3"/>
        <v>44630</v>
      </c>
      <c r="T20" s="42">
        <v>8.1184000000000101</v>
      </c>
      <c r="U20" s="43">
        <f t="shared" si="13"/>
        <v>-0.19999999999953399</v>
      </c>
      <c r="V20" s="44">
        <f t="shared" si="14"/>
        <v>-1.09999999999033</v>
      </c>
      <c r="W20" s="45">
        <f t="shared" si="15"/>
        <v>0.19999999999953399</v>
      </c>
      <c r="X20" s="29">
        <v>11.958</v>
      </c>
      <c r="Y20" s="43">
        <f t="shared" si="16"/>
        <v>-0.29999999999930099</v>
      </c>
      <c r="Z20" s="44">
        <f t="shared" si="17"/>
        <v>-0.999999999999446</v>
      </c>
      <c r="AA20" s="45">
        <f t="shared" si="18"/>
        <v>-0.29999999999930099</v>
      </c>
      <c r="AB20" s="42">
        <v>7.7401</v>
      </c>
      <c r="AC20" s="43">
        <f t="shared" si="19"/>
        <v>-9.99999999997669E-2</v>
      </c>
      <c r="AD20" s="44">
        <f t="shared" si="20"/>
        <v>-2.2999999999999701</v>
      </c>
      <c r="AE20" s="45">
        <f t="shared" si="21"/>
        <v>-9.99999999997669E-2</v>
      </c>
      <c r="AF20" s="50">
        <v>79494</v>
      </c>
      <c r="AG20" s="58">
        <f t="shared" si="22"/>
        <v>88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44632</v>
      </c>
      <c r="B21" s="22">
        <v>792.27269999999999</v>
      </c>
      <c r="C21" s="27">
        <v>4.0588000000000104</v>
      </c>
      <c r="D21" s="23">
        <f t="shared" si="0"/>
        <v>796.33150000000001</v>
      </c>
      <c r="E21" s="24">
        <f t="shared" si="4"/>
        <v>-0.69999999993797202</v>
      </c>
      <c r="F21" s="25">
        <f t="shared" si="5"/>
        <v>-2.9999999999290599</v>
      </c>
      <c r="G21" s="26">
        <f t="shared" si="6"/>
        <v>-0.34999999996898601</v>
      </c>
      <c r="H21" s="6">
        <v>5.5057999999999998</v>
      </c>
      <c r="I21" s="35">
        <f t="shared" si="1"/>
        <v>797.77850000000001</v>
      </c>
      <c r="J21" s="24">
        <f t="shared" si="7"/>
        <v>-0.59999999996307496</v>
      </c>
      <c r="K21" s="25">
        <f t="shared" si="8"/>
        <v>-3.1000000000176402</v>
      </c>
      <c r="L21" s="26">
        <f t="shared" si="9"/>
        <v>-0.29999999998153698</v>
      </c>
      <c r="M21" s="6">
        <v>4.5251999999999999</v>
      </c>
      <c r="N21" s="35">
        <f t="shared" si="2"/>
        <v>796.79790000000003</v>
      </c>
      <c r="O21" s="24">
        <f t="shared" si="10"/>
        <v>0.40000000001327901</v>
      </c>
      <c r="P21" s="25">
        <f t="shared" si="11"/>
        <v>-2.5999999999157799</v>
      </c>
      <c r="Q21" s="26">
        <f t="shared" si="12"/>
        <v>0.20000000000663901</v>
      </c>
      <c r="R21" s="41"/>
      <c r="S21" s="21">
        <f t="shared" si="3"/>
        <v>44632</v>
      </c>
      <c r="T21" s="42">
        <v>8.1186000000000007</v>
      </c>
      <c r="U21" s="43">
        <f t="shared" si="13"/>
        <v>0.19999999999065199</v>
      </c>
      <c r="V21" s="44">
        <f t="shared" si="14"/>
        <v>-0.89999999999967895</v>
      </c>
      <c r="W21" s="45">
        <f t="shared" si="15"/>
        <v>-9.9999999995325994E-2</v>
      </c>
      <c r="X21" s="29">
        <v>11.9579</v>
      </c>
      <c r="Y21" s="43">
        <f t="shared" si="16"/>
        <v>-9.99999999997669E-2</v>
      </c>
      <c r="Z21" s="44">
        <f t="shared" si="17"/>
        <v>-1.0999999999992101</v>
      </c>
      <c r="AA21" s="45">
        <f t="shared" si="18"/>
        <v>-4.9999999999883499E-2</v>
      </c>
      <c r="AB21" s="42">
        <v>7.7403000000000004</v>
      </c>
      <c r="AC21" s="43">
        <f t="shared" si="19"/>
        <v>0.20000000000042201</v>
      </c>
      <c r="AD21" s="44">
        <f t="shared" si="20"/>
        <v>-2.0999999999995498</v>
      </c>
      <c r="AE21" s="45">
        <f t="shared" si="21"/>
        <v>0.100000000000211</v>
      </c>
      <c r="AF21" s="50">
        <v>79500</v>
      </c>
      <c r="AG21" s="58">
        <f t="shared" si="22"/>
        <v>94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44634</v>
      </c>
      <c r="B22" s="22">
        <v>792.27269999999999</v>
      </c>
      <c r="C22" s="27">
        <v>4.05860000000001</v>
      </c>
      <c r="D22" s="23">
        <f t="shared" si="0"/>
        <v>796.33130000000006</v>
      </c>
      <c r="E22" s="24">
        <f t="shared" si="4"/>
        <v>-0.20000000006348301</v>
      </c>
      <c r="F22" s="25">
        <f t="shared" si="5"/>
        <v>-3.1999999999925399</v>
      </c>
      <c r="G22" s="26">
        <f t="shared" si="6"/>
        <v>-0.100000000031741</v>
      </c>
      <c r="H22" s="6">
        <v>5.5055999999999896</v>
      </c>
      <c r="I22" s="35">
        <f t="shared" si="1"/>
        <v>797.77829999999994</v>
      </c>
      <c r="J22" s="24">
        <f t="shared" si="7"/>
        <v>-0.20000000006348301</v>
      </c>
      <c r="K22" s="25">
        <f t="shared" si="8"/>
        <v>-3.30000000008113</v>
      </c>
      <c r="L22" s="26">
        <f t="shared" si="9"/>
        <v>-0.100000000031741</v>
      </c>
      <c r="M22" s="6">
        <v>4.5243999999999902</v>
      </c>
      <c r="N22" s="35">
        <f t="shared" si="2"/>
        <v>796.7971</v>
      </c>
      <c r="O22" s="24">
        <f t="shared" si="10"/>
        <v>-0.80000000002655702</v>
      </c>
      <c r="P22" s="25">
        <f t="shared" si="11"/>
        <v>-3.3999999999423398</v>
      </c>
      <c r="Q22" s="26">
        <f t="shared" si="12"/>
        <v>-0.40000000001327901</v>
      </c>
      <c r="R22" s="41"/>
      <c r="S22" s="21">
        <f t="shared" si="3"/>
        <v>44634</v>
      </c>
      <c r="T22" s="42">
        <v>8.1184999999999992</v>
      </c>
      <c r="U22" s="43">
        <f t="shared" si="13"/>
        <v>-0.10000000000154299</v>
      </c>
      <c r="V22" s="44">
        <f t="shared" si="14"/>
        <v>-1.0000000000012199</v>
      </c>
      <c r="W22" s="45">
        <f t="shared" si="15"/>
        <v>5.0000000000771601E-2</v>
      </c>
      <c r="X22" s="29">
        <v>11.957599999999999</v>
      </c>
      <c r="Y22" s="43">
        <f t="shared" si="16"/>
        <v>-0.30000000000107702</v>
      </c>
      <c r="Z22" s="44">
        <f t="shared" si="17"/>
        <v>-1.4000000000002899</v>
      </c>
      <c r="AA22" s="45">
        <f t="shared" si="18"/>
        <v>-0.15000000000053901</v>
      </c>
      <c r="AB22" s="42">
        <v>7.74</v>
      </c>
      <c r="AC22" s="43">
        <f t="shared" si="19"/>
        <v>-0.300000000000189</v>
      </c>
      <c r="AD22" s="44">
        <f t="shared" si="20"/>
        <v>-2.3999999999997401</v>
      </c>
      <c r="AE22" s="45">
        <f t="shared" si="21"/>
        <v>-0.150000000000095</v>
      </c>
      <c r="AF22" s="50">
        <v>79506</v>
      </c>
      <c r="AG22" s="58">
        <f t="shared" si="22"/>
        <v>100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44636</v>
      </c>
      <c r="B23" s="22">
        <v>792.27269999999999</v>
      </c>
      <c r="C23" s="27">
        <v>4.0585000000000004</v>
      </c>
      <c r="D23" s="23">
        <f t="shared" si="0"/>
        <v>796.33119999999997</v>
      </c>
      <c r="E23" s="24">
        <f t="shared" si="4"/>
        <v>-9.9999999974897905E-2</v>
      </c>
      <c r="F23" s="25">
        <f t="shared" si="5"/>
        <v>-3.2999999999674401</v>
      </c>
      <c r="G23" s="26">
        <f t="shared" si="6"/>
        <v>-4.9999999987449001E-2</v>
      </c>
      <c r="H23" s="6">
        <v>5.5053999999999901</v>
      </c>
      <c r="I23" s="35">
        <f t="shared" si="1"/>
        <v>797.77809999999999</v>
      </c>
      <c r="J23" s="24">
        <f t="shared" si="7"/>
        <v>-0.199999999949796</v>
      </c>
      <c r="K23" s="25">
        <f t="shared" si="8"/>
        <v>-3.5000000000309202</v>
      </c>
      <c r="L23" s="26">
        <f t="shared" si="9"/>
        <v>-9.9999999974897905E-2</v>
      </c>
      <c r="M23" s="6">
        <v>4.5241999999999898</v>
      </c>
      <c r="N23" s="35">
        <f t="shared" si="2"/>
        <v>796.79690000000005</v>
      </c>
      <c r="O23" s="24">
        <f t="shared" si="10"/>
        <v>-0.20000000006348301</v>
      </c>
      <c r="P23" s="25">
        <f t="shared" si="11"/>
        <v>-3.6000000000058199</v>
      </c>
      <c r="Q23" s="26">
        <f t="shared" si="12"/>
        <v>-0.100000000031741</v>
      </c>
      <c r="R23" s="41"/>
      <c r="S23" s="21">
        <f t="shared" si="3"/>
        <v>44636</v>
      </c>
      <c r="T23" s="42">
        <v>8.1183999999999994</v>
      </c>
      <c r="U23" s="43">
        <f t="shared" si="13"/>
        <v>-9.99999999997669E-2</v>
      </c>
      <c r="V23" s="44">
        <f t="shared" si="14"/>
        <v>-1.10000000000099</v>
      </c>
      <c r="W23" s="45">
        <f t="shared" si="15"/>
        <v>4.9999999999883499E-2</v>
      </c>
      <c r="X23" s="29">
        <v>11.957700000000001</v>
      </c>
      <c r="Y23" s="43">
        <f t="shared" si="16"/>
        <v>0.10000000000154299</v>
      </c>
      <c r="Z23" s="44">
        <f t="shared" si="17"/>
        <v>-1.2999999999987499</v>
      </c>
      <c r="AA23" s="45">
        <f t="shared" si="18"/>
        <v>5.0000000000771601E-2</v>
      </c>
      <c r="AB23" s="42">
        <v>7.7401999999999997</v>
      </c>
      <c r="AC23" s="43">
        <f t="shared" si="19"/>
        <v>0.19999999999953399</v>
      </c>
      <c r="AD23" s="44">
        <f t="shared" si="20"/>
        <v>-2.2000000000002</v>
      </c>
      <c r="AE23" s="45">
        <f t="shared" si="21"/>
        <v>9.99999999997669E-2</v>
      </c>
      <c r="AF23" s="50">
        <v>79512</v>
      </c>
      <c r="AG23" s="58">
        <f t="shared" si="22"/>
        <v>106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44638</v>
      </c>
      <c r="B24" s="22">
        <v>792.27269999999999</v>
      </c>
      <c r="C24" s="27">
        <v>4.05820000000001</v>
      </c>
      <c r="D24" s="23">
        <f t="shared" si="0"/>
        <v>796.33090000000004</v>
      </c>
      <c r="E24" s="24">
        <f t="shared" si="4"/>
        <v>-0.29999999992469401</v>
      </c>
      <c r="F24" s="25">
        <f t="shared" si="5"/>
        <v>-3.5999999998921299</v>
      </c>
      <c r="G24" s="26">
        <f t="shared" si="6"/>
        <v>-0.149999999962347</v>
      </c>
      <c r="H24" s="6">
        <v>5.5053000000000001</v>
      </c>
      <c r="I24" s="35">
        <f t="shared" si="1"/>
        <v>797.77800000000002</v>
      </c>
      <c r="J24" s="24">
        <f t="shared" si="7"/>
        <v>-9.9999999974897905E-2</v>
      </c>
      <c r="K24" s="25">
        <f t="shared" si="8"/>
        <v>-3.6000000000058199</v>
      </c>
      <c r="L24" s="26">
        <f t="shared" si="9"/>
        <v>-4.9999999987449001E-2</v>
      </c>
      <c r="M24" s="6">
        <v>4.5243000000000002</v>
      </c>
      <c r="N24" s="35">
        <f t="shared" si="2"/>
        <v>796.79700000000003</v>
      </c>
      <c r="O24" s="24">
        <f t="shared" si="10"/>
        <v>0.10000000008858501</v>
      </c>
      <c r="P24" s="25">
        <f t="shared" si="11"/>
        <v>-3.49999999991724</v>
      </c>
      <c r="Q24" s="26">
        <f t="shared" si="12"/>
        <v>5.0000000044292399E-2</v>
      </c>
      <c r="R24" s="41"/>
      <c r="S24" s="21">
        <f t="shared" si="3"/>
        <v>44638</v>
      </c>
      <c r="T24" s="42">
        <v>8.1181999999999999</v>
      </c>
      <c r="U24" s="43">
        <f t="shared" si="13"/>
        <v>-0.19999999999953399</v>
      </c>
      <c r="V24" s="44">
        <f t="shared" si="14"/>
        <v>-1.3000000000005201</v>
      </c>
      <c r="W24" s="45">
        <f t="shared" si="15"/>
        <v>9.99999999997669E-2</v>
      </c>
      <c r="X24" s="29">
        <v>11.9575</v>
      </c>
      <c r="Y24" s="43">
        <f t="shared" si="16"/>
        <v>-0.20000000000130999</v>
      </c>
      <c r="Z24" s="44">
        <f t="shared" si="17"/>
        <v>-1.50000000000006</v>
      </c>
      <c r="AA24" s="45">
        <f t="shared" si="18"/>
        <v>-0.100000000000655</v>
      </c>
      <c r="AB24" s="42">
        <v>7.74</v>
      </c>
      <c r="AC24" s="43">
        <f t="shared" si="19"/>
        <v>-0.19999999999953399</v>
      </c>
      <c r="AD24" s="44">
        <f t="shared" si="20"/>
        <v>-2.3999999999997401</v>
      </c>
      <c r="AE24" s="45">
        <f t="shared" si="21"/>
        <v>-9.99999999997669E-2</v>
      </c>
      <c r="AF24" s="50">
        <v>79518</v>
      </c>
      <c r="AG24" s="58">
        <f t="shared" si="22"/>
        <v>112</v>
      </c>
      <c r="AH24" s="61"/>
      <c r="AI24" s="52"/>
      <c r="AJ24" s="52"/>
      <c r="AK24" s="52"/>
      <c r="AL24" s="52"/>
      <c r="AM24" s="52"/>
    </row>
    <row r="25" spans="1:48">
      <c r="A25" s="21">
        <v>44640</v>
      </c>
      <c r="B25" s="22">
        <v>792.27269999999999</v>
      </c>
      <c r="C25" s="27">
        <v>4.0583999999999998</v>
      </c>
      <c r="D25" s="23">
        <f t="shared" si="0"/>
        <v>796.33109999999999</v>
      </c>
      <c r="E25" s="24">
        <f t="shared" si="4"/>
        <v>0.199999999949796</v>
      </c>
      <c r="F25" s="25">
        <f t="shared" si="5"/>
        <v>-3.3999999999423398</v>
      </c>
      <c r="G25" s="26">
        <f t="shared" si="6"/>
        <v>9.9999999974897905E-2</v>
      </c>
      <c r="H25" s="6">
        <v>5.5054999999999996</v>
      </c>
      <c r="I25" s="35">
        <f t="shared" si="1"/>
        <v>797.77819999999997</v>
      </c>
      <c r="J25" s="24">
        <f t="shared" si="7"/>
        <v>0.199999999949796</v>
      </c>
      <c r="K25" s="25">
        <f t="shared" si="8"/>
        <v>-3.40000000005602</v>
      </c>
      <c r="L25" s="26">
        <f t="shared" si="9"/>
        <v>9.9999999974897905E-2</v>
      </c>
      <c r="M25" s="6">
        <v>4.5244</v>
      </c>
      <c r="N25" s="35">
        <f t="shared" si="2"/>
        <v>796.7971</v>
      </c>
      <c r="O25" s="24">
        <f t="shared" si="10"/>
        <v>9.9999999974897905E-2</v>
      </c>
      <c r="P25" s="25">
        <f t="shared" si="11"/>
        <v>-3.3999999999423398</v>
      </c>
      <c r="Q25" s="26">
        <f t="shared" si="12"/>
        <v>4.9999999987449001E-2</v>
      </c>
      <c r="R25" s="41"/>
      <c r="S25" s="21">
        <f t="shared" si="3"/>
        <v>44640</v>
      </c>
      <c r="T25" s="42">
        <v>8.1182999999999996</v>
      </c>
      <c r="U25" s="43">
        <f t="shared" si="13"/>
        <v>9.99999999997669E-2</v>
      </c>
      <c r="V25" s="44">
        <f t="shared" si="14"/>
        <v>-1.20000000000076</v>
      </c>
      <c r="W25" s="45">
        <f t="shared" si="15"/>
        <v>-4.9999999999883499E-2</v>
      </c>
      <c r="X25" s="29">
        <v>11.9574</v>
      </c>
      <c r="Y25" s="43">
        <f t="shared" si="16"/>
        <v>-9.99999999997669E-2</v>
      </c>
      <c r="Z25" s="44">
        <f t="shared" si="17"/>
        <v>-1.59999999999982</v>
      </c>
      <c r="AA25" s="45">
        <f t="shared" si="18"/>
        <v>-4.9999999999883499E-2</v>
      </c>
      <c r="AB25" s="42">
        <v>7.7401</v>
      </c>
      <c r="AC25" s="43">
        <f t="shared" si="19"/>
        <v>9.99999999997669E-2</v>
      </c>
      <c r="AD25" s="44">
        <f t="shared" si="20"/>
        <v>-2.2999999999999701</v>
      </c>
      <c r="AE25" s="45">
        <f t="shared" si="21"/>
        <v>4.9999999999883499E-2</v>
      </c>
      <c r="AF25" s="50">
        <v>79524</v>
      </c>
      <c r="AG25" s="58">
        <f t="shared" si="22"/>
        <v>118</v>
      </c>
      <c r="AH25" s="61"/>
      <c r="AI25" s="52"/>
      <c r="AJ25" s="52"/>
      <c r="AK25" s="52"/>
      <c r="AL25" s="52"/>
      <c r="AM25" s="52"/>
    </row>
    <row r="26" spans="1:48">
      <c r="A26" s="21">
        <v>44642</v>
      </c>
      <c r="B26" s="22">
        <v>792.27269999999999</v>
      </c>
      <c r="C26" s="27">
        <v>4.0585999999999904</v>
      </c>
      <c r="D26" s="23">
        <f t="shared" si="0"/>
        <v>796.33130000000006</v>
      </c>
      <c r="E26" s="24">
        <f t="shared" si="4"/>
        <v>0.199999999949796</v>
      </c>
      <c r="F26" s="25">
        <f t="shared" si="5"/>
        <v>-3.1999999999925399</v>
      </c>
      <c r="G26" s="26">
        <f t="shared" si="6"/>
        <v>9.9999999974897905E-2</v>
      </c>
      <c r="H26" s="6">
        <v>5.5057</v>
      </c>
      <c r="I26" s="35">
        <f t="shared" si="1"/>
        <v>797.77840000000003</v>
      </c>
      <c r="J26" s="24">
        <f t="shared" si="7"/>
        <v>0.20000000006348301</v>
      </c>
      <c r="K26" s="25">
        <f t="shared" si="8"/>
        <v>-3.1999999999925399</v>
      </c>
      <c r="L26" s="26">
        <f t="shared" si="9"/>
        <v>0.100000000031741</v>
      </c>
      <c r="M26" s="6">
        <v>4.5244999999999997</v>
      </c>
      <c r="N26" s="35">
        <f t="shared" si="2"/>
        <v>796.79719999999998</v>
      </c>
      <c r="O26" s="24">
        <f t="shared" si="10"/>
        <v>9.9999999974897905E-2</v>
      </c>
      <c r="P26" s="25">
        <f t="shared" si="11"/>
        <v>-3.2999999999674401</v>
      </c>
      <c r="Q26" s="26">
        <f t="shared" si="12"/>
        <v>4.9999999987449001E-2</v>
      </c>
      <c r="R26" s="41"/>
      <c r="S26" s="21">
        <f t="shared" si="3"/>
        <v>44642</v>
      </c>
      <c r="T26" s="42">
        <v>8.1183999999999994</v>
      </c>
      <c r="U26" s="43">
        <f t="shared" si="13"/>
        <v>9.99999999997669E-2</v>
      </c>
      <c r="V26" s="44">
        <f t="shared" si="14"/>
        <v>-1.10000000000099</v>
      </c>
      <c r="W26" s="45">
        <f t="shared" si="15"/>
        <v>-4.9999999999883499E-2</v>
      </c>
      <c r="X26" s="29">
        <v>11.9573</v>
      </c>
      <c r="Y26" s="43">
        <f t="shared" si="16"/>
        <v>-9.99999999997669E-2</v>
      </c>
      <c r="Z26" s="44">
        <f t="shared" si="17"/>
        <v>-1.6999999999995901</v>
      </c>
      <c r="AA26" s="45">
        <f t="shared" si="18"/>
        <v>-4.9999999999883499E-2</v>
      </c>
      <c r="AB26" s="42">
        <v>7.7401999999999997</v>
      </c>
      <c r="AC26" s="43">
        <f t="shared" si="19"/>
        <v>9.99999999997669E-2</v>
      </c>
      <c r="AD26" s="44">
        <f t="shared" si="20"/>
        <v>-2.2000000000002</v>
      </c>
      <c r="AE26" s="45">
        <f t="shared" si="21"/>
        <v>4.9999999999883499E-2</v>
      </c>
      <c r="AF26" s="50">
        <v>79530</v>
      </c>
      <c r="AG26" s="58">
        <f t="shared" si="22"/>
        <v>124</v>
      </c>
      <c r="AH26" s="61"/>
      <c r="AI26" s="60"/>
      <c r="AJ26"/>
      <c r="AK26"/>
      <c r="AL26"/>
      <c r="AM26"/>
    </row>
    <row r="27" spans="1:48">
      <c r="A27" s="21"/>
      <c r="B27" s="22"/>
      <c r="C27" s="27"/>
      <c r="D27" s="23"/>
      <c r="E27" s="65">
        <f>F26-F25</f>
        <v>0.199999999949796</v>
      </c>
      <c r="F27" s="33">
        <f>K26-K25</f>
        <v>0.20000000006348301</v>
      </c>
      <c r="G27" s="33">
        <f>P26-P25</f>
        <v>9.9999999974897905E-2</v>
      </c>
      <c r="H27" s="33">
        <f>F26</f>
        <v>-3.1999999999925399</v>
      </c>
      <c r="I27" s="66">
        <f>K26</f>
        <v>-3.1999999999925399</v>
      </c>
      <c r="J27" s="65">
        <f>P26</f>
        <v>-3.2999999999674401</v>
      </c>
      <c r="K27" s="33">
        <f>(K26-K25)/2</f>
        <v>0.100000000031741</v>
      </c>
      <c r="L27" s="26"/>
      <c r="N27" s="35"/>
      <c r="O27" s="24"/>
      <c r="P27" s="25"/>
      <c r="Q27" s="26"/>
      <c r="R27" s="41"/>
      <c r="S27" s="21"/>
      <c r="T27" s="42"/>
      <c r="U27" s="65">
        <f>V26-V25</f>
        <v>9.99999999997669E-2</v>
      </c>
      <c r="V27" s="33">
        <f>Z26-Z25</f>
        <v>-9.99999999997669E-2</v>
      </c>
      <c r="W27" s="33">
        <f>AD26-AD25</f>
        <v>9.99999999997669E-2</v>
      </c>
      <c r="X27" s="33">
        <f>V26</f>
        <v>-1.10000000000099</v>
      </c>
      <c r="Y27" s="65">
        <f>Z26</f>
        <v>-1.6999999999995901</v>
      </c>
      <c r="Z27" s="33">
        <f>AD26</f>
        <v>-2.2000000000002</v>
      </c>
      <c r="AA27" s="33">
        <f>(Z26-Z25)/2</f>
        <v>-4.9999999999883499E-2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4"/>
  <sheetViews>
    <sheetView topLeftCell="S27" workbookViewId="0">
      <selection activeCell="U27" sqref="U27:AA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44621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44621</v>
      </c>
      <c r="B6" s="22">
        <v>791.46479999999997</v>
      </c>
      <c r="C6" s="27">
        <v>5.2839</v>
      </c>
      <c r="D6" s="23">
        <f t="shared" ref="D6:D26" si="0">C6+B6</f>
        <v>796.74869999999999</v>
      </c>
      <c r="E6" s="24">
        <v>0</v>
      </c>
      <c r="F6" s="25">
        <v>0</v>
      </c>
      <c r="G6" s="26">
        <v>0</v>
      </c>
      <c r="H6" s="6">
        <v>6.4953000000000003</v>
      </c>
      <c r="I6" s="35">
        <f t="shared" ref="I6:I26" si="1">H6+B6</f>
        <v>797.96010000000001</v>
      </c>
      <c r="J6" s="24">
        <v>0</v>
      </c>
      <c r="K6" s="25">
        <v>0</v>
      </c>
      <c r="L6" s="26">
        <v>0</v>
      </c>
      <c r="M6" s="6">
        <v>4.4953000000000003</v>
      </c>
      <c r="N6" s="35">
        <f t="shared" ref="N6:N26" si="2">M6+B6</f>
        <v>795.96010000000001</v>
      </c>
      <c r="O6" s="24">
        <v>0</v>
      </c>
      <c r="P6" s="25">
        <v>0</v>
      </c>
      <c r="Q6" s="26">
        <v>0</v>
      </c>
      <c r="R6" s="41"/>
      <c r="S6" s="21">
        <f t="shared" ref="S6:S26" si="3">A6</f>
        <v>44621</v>
      </c>
      <c r="T6" s="42">
        <v>7.9478999999999997</v>
      </c>
      <c r="U6" s="43">
        <v>0</v>
      </c>
      <c r="V6" s="44">
        <v>0</v>
      </c>
      <c r="W6" s="45">
        <f>U6/(S6-S11)</f>
        <v>0</v>
      </c>
      <c r="X6" s="29">
        <v>11.959</v>
      </c>
      <c r="Y6" s="43">
        <v>0</v>
      </c>
      <c r="Z6" s="44">
        <v>0</v>
      </c>
      <c r="AA6" s="45">
        <v>0</v>
      </c>
      <c r="AB6" s="49">
        <v>8.4117999999999995</v>
      </c>
      <c r="AC6" s="43">
        <v>0</v>
      </c>
      <c r="AD6" s="44">
        <v>0</v>
      </c>
      <c r="AE6" s="45">
        <v>0</v>
      </c>
      <c r="AF6" s="50">
        <v>79441</v>
      </c>
      <c r="AG6" s="58">
        <f>AF6-79433</f>
        <v>8</v>
      </c>
      <c r="AH6" s="59"/>
      <c r="AI6" s="60"/>
      <c r="AJ6" s="61"/>
      <c r="AK6" s="62"/>
      <c r="AL6" s="52"/>
      <c r="AM6" s="52"/>
    </row>
    <row r="7" spans="1:48">
      <c r="A7" s="21">
        <v>44622</v>
      </c>
      <c r="B7" s="22">
        <v>791.46479999999997</v>
      </c>
      <c r="C7" s="27">
        <v>5.2830000000000004</v>
      </c>
      <c r="D7" s="23">
        <f t="shared" si="0"/>
        <v>796.74779999999998</v>
      </c>
      <c r="E7" s="24">
        <f t="shared" ref="E7:E24" si="4">(D7-D6)*1000</f>
        <v>-0.90000000000145497</v>
      </c>
      <c r="F7" s="25">
        <f t="shared" ref="F7:F24" si="5">F6+E7</f>
        <v>-0.90000000000145497</v>
      </c>
      <c r="G7" s="26">
        <f t="shared" ref="G7:G24" si="6">E7/(A7-A6)</f>
        <v>-0.90000000000145497</v>
      </c>
      <c r="H7" s="6">
        <v>6.4951999999999996</v>
      </c>
      <c r="I7" s="35">
        <f t="shared" si="1"/>
        <v>797.96</v>
      </c>
      <c r="J7" s="24">
        <f t="shared" ref="J7:J24" si="7">(I7-I6)*1000</f>
        <v>-0.10000000008858501</v>
      </c>
      <c r="K7" s="25">
        <f t="shared" ref="K7:K24" si="8">K6+J7</f>
        <v>-0.10000000008858501</v>
      </c>
      <c r="L7" s="26">
        <f t="shared" ref="L7:L24" si="9">J7/(A7-A6)</f>
        <v>-0.10000000008858501</v>
      </c>
      <c r="M7" s="6">
        <v>4.4951999999999996</v>
      </c>
      <c r="N7" s="35">
        <f t="shared" si="2"/>
        <v>795.96</v>
      </c>
      <c r="O7" s="24">
        <f t="shared" ref="O7:O24" si="10">(N7-N6)*1000</f>
        <v>-0.10000000008858501</v>
      </c>
      <c r="P7" s="25">
        <f t="shared" ref="P7:P24" si="11">P6+O7</f>
        <v>-0.10000000008858501</v>
      </c>
      <c r="Q7" s="26">
        <f t="shared" ref="Q7:Q24" si="12">O7/(A7-A6)</f>
        <v>-0.10000000008858501</v>
      </c>
      <c r="R7" s="41"/>
      <c r="S7" s="21">
        <f t="shared" si="3"/>
        <v>44622</v>
      </c>
      <c r="T7" s="42">
        <v>7.9477000000000002</v>
      </c>
      <c r="U7" s="43">
        <f t="shared" ref="U7:U24" si="13">(T7-T6)*1000</f>
        <v>-0.19999999999953399</v>
      </c>
      <c r="V7" s="44">
        <f t="shared" ref="V7:V24" si="14">V6+U7</f>
        <v>-0.19999999999953399</v>
      </c>
      <c r="W7" s="45">
        <f t="shared" ref="W7:W24" si="15">U7/(S6-S7)</f>
        <v>0.19999999999953399</v>
      </c>
      <c r="X7" s="29">
        <v>11.9589</v>
      </c>
      <c r="Y7" s="43">
        <f t="shared" ref="Y7:Y24" si="16">(X7-X6)*1000</f>
        <v>-9.99999999997669E-2</v>
      </c>
      <c r="Z7" s="44">
        <f t="shared" ref="Z7:Z24" si="17">Z6+Y7</f>
        <v>-9.99999999997669E-2</v>
      </c>
      <c r="AA7" s="45">
        <f t="shared" ref="AA7:AA24" si="18">Y7/(S7-S6)</f>
        <v>-9.99999999997669E-2</v>
      </c>
      <c r="AB7" s="49">
        <v>8.4118999999999993</v>
      </c>
      <c r="AC7" s="43">
        <f t="shared" ref="AC7:AC24" si="19">(AB7-AB6)*1000</f>
        <v>9.99999999997669E-2</v>
      </c>
      <c r="AD7" s="44">
        <f t="shared" ref="AD7:AD24" si="20">AD6+AC7</f>
        <v>9.99999999997669E-2</v>
      </c>
      <c r="AE7" s="45">
        <f t="shared" ref="AE7:AE24" si="21">AC7/(S7-S6)</f>
        <v>9.99999999997669E-2</v>
      </c>
      <c r="AF7" s="50">
        <v>79445</v>
      </c>
      <c r="AG7" s="58">
        <f t="shared" ref="AG7:AG26" si="22">AF7-79433</f>
        <v>12</v>
      </c>
      <c r="AH7" s="59"/>
      <c r="AI7" s="60"/>
      <c r="AJ7" s="61"/>
      <c r="AK7" s="62"/>
      <c r="AL7" s="52"/>
      <c r="AM7" s="52"/>
    </row>
    <row r="8" spans="1:48">
      <c r="A8" s="21">
        <v>44623</v>
      </c>
      <c r="B8" s="22">
        <v>791.46479999999997</v>
      </c>
      <c r="C8" s="27">
        <v>5.2831000000000001</v>
      </c>
      <c r="D8" s="23">
        <f t="shared" si="0"/>
        <v>796.74789999999996</v>
      </c>
      <c r="E8" s="24">
        <f t="shared" si="4"/>
        <v>9.9999999974897905E-2</v>
      </c>
      <c r="F8" s="25">
        <f t="shared" si="5"/>
        <v>-0.80000000002655702</v>
      </c>
      <c r="G8" s="26">
        <f t="shared" si="6"/>
        <v>9.9999999974897905E-2</v>
      </c>
      <c r="H8" s="6">
        <v>6.4950000000000001</v>
      </c>
      <c r="I8" s="35">
        <f t="shared" si="1"/>
        <v>797.95979999999997</v>
      </c>
      <c r="J8" s="24">
        <f t="shared" si="7"/>
        <v>-0.199999999949796</v>
      </c>
      <c r="K8" s="25">
        <f t="shared" si="8"/>
        <v>-0.30000000003838101</v>
      </c>
      <c r="L8" s="26">
        <f t="shared" si="9"/>
        <v>-0.199999999949796</v>
      </c>
      <c r="M8" s="6">
        <v>4.4950000000000001</v>
      </c>
      <c r="N8" s="35">
        <f t="shared" si="2"/>
        <v>795.95979999999997</v>
      </c>
      <c r="O8" s="24">
        <f t="shared" si="10"/>
        <v>-0.199999999949796</v>
      </c>
      <c r="P8" s="25">
        <f t="shared" si="11"/>
        <v>-0.30000000003838101</v>
      </c>
      <c r="Q8" s="26">
        <f t="shared" si="12"/>
        <v>-0.199999999949796</v>
      </c>
      <c r="R8" s="41"/>
      <c r="S8" s="21">
        <f t="shared" si="3"/>
        <v>44623</v>
      </c>
      <c r="T8" s="42">
        <v>7.9474999999999998</v>
      </c>
      <c r="U8" s="43">
        <f t="shared" si="13"/>
        <v>-0.20000000000042201</v>
      </c>
      <c r="V8" s="44">
        <f t="shared" si="14"/>
        <v>-0.399999999999956</v>
      </c>
      <c r="W8" s="45">
        <f t="shared" si="15"/>
        <v>0.20000000000042201</v>
      </c>
      <c r="X8" s="29">
        <v>11.9587</v>
      </c>
      <c r="Y8" s="43">
        <f t="shared" si="16"/>
        <v>-0.19999999999953399</v>
      </c>
      <c r="Z8" s="44">
        <f t="shared" si="17"/>
        <v>-0.29999999999930099</v>
      </c>
      <c r="AA8" s="45">
        <f t="shared" si="18"/>
        <v>-0.19999999999953399</v>
      </c>
      <c r="AB8" s="49">
        <v>8.4120000000000008</v>
      </c>
      <c r="AC8" s="43">
        <f t="shared" si="19"/>
        <v>0.10000000000154299</v>
      </c>
      <c r="AD8" s="44">
        <f t="shared" si="20"/>
        <v>0.20000000000130999</v>
      </c>
      <c r="AE8" s="45">
        <f t="shared" si="21"/>
        <v>0.10000000000154299</v>
      </c>
      <c r="AF8" s="50">
        <v>79449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44624</v>
      </c>
      <c r="B9" s="22">
        <v>791.46479999999997</v>
      </c>
      <c r="C9" s="27">
        <v>5.2828999999999997</v>
      </c>
      <c r="D9" s="23">
        <f t="shared" si="0"/>
        <v>796.74770000000001</v>
      </c>
      <c r="E9" s="24">
        <f t="shared" si="4"/>
        <v>-0.199999999949796</v>
      </c>
      <c r="F9" s="25">
        <f t="shared" si="5"/>
        <v>-0.99999999997635303</v>
      </c>
      <c r="G9" s="26">
        <f t="shared" si="6"/>
        <v>-0.199999999949796</v>
      </c>
      <c r="H9" s="6">
        <v>6.4949000000000003</v>
      </c>
      <c r="I9" s="35">
        <f t="shared" si="1"/>
        <v>797.9597</v>
      </c>
      <c r="J9" s="24">
        <f t="shared" si="7"/>
        <v>-9.9999999974897905E-2</v>
      </c>
      <c r="K9" s="25">
        <f t="shared" si="8"/>
        <v>-0.40000000001327901</v>
      </c>
      <c r="L9" s="26">
        <f t="shared" si="9"/>
        <v>-9.9999999974897905E-2</v>
      </c>
      <c r="M9" s="6">
        <v>4.4950999999999999</v>
      </c>
      <c r="N9" s="35">
        <f t="shared" si="2"/>
        <v>795.95989999999995</v>
      </c>
      <c r="O9" s="24">
        <f t="shared" si="10"/>
        <v>9.9999999974897905E-2</v>
      </c>
      <c r="P9" s="25">
        <f t="shared" si="11"/>
        <v>-0.20000000006348301</v>
      </c>
      <c r="Q9" s="26">
        <f t="shared" si="12"/>
        <v>9.9999999974897905E-2</v>
      </c>
      <c r="R9" s="41"/>
      <c r="S9" s="21">
        <f t="shared" si="3"/>
        <v>44624</v>
      </c>
      <c r="T9" s="42">
        <v>7.9474</v>
      </c>
      <c r="U9" s="43">
        <f t="shared" si="13"/>
        <v>-9.99999999997669E-2</v>
      </c>
      <c r="V9" s="44">
        <f t="shared" si="14"/>
        <v>-0.499999999999723</v>
      </c>
      <c r="W9" s="45">
        <f t="shared" si="15"/>
        <v>9.99999999997669E-2</v>
      </c>
      <c r="X9" s="29">
        <v>11.958500000000001</v>
      </c>
      <c r="Y9" s="43">
        <f t="shared" si="16"/>
        <v>-0.19999999999953399</v>
      </c>
      <c r="Z9" s="44">
        <f t="shared" si="17"/>
        <v>-0.49999999999883499</v>
      </c>
      <c r="AA9" s="45">
        <f t="shared" si="18"/>
        <v>-0.19999999999953399</v>
      </c>
      <c r="AB9" s="49">
        <v>8.4121000000000006</v>
      </c>
      <c r="AC9" s="43">
        <f t="shared" si="19"/>
        <v>9.99999999997669E-2</v>
      </c>
      <c r="AD9" s="44">
        <f t="shared" si="20"/>
        <v>0.30000000000107702</v>
      </c>
      <c r="AE9" s="45">
        <f t="shared" si="21"/>
        <v>9.99999999997669E-2</v>
      </c>
      <c r="AF9" s="50">
        <v>79453</v>
      </c>
      <c r="AG9" s="58">
        <f t="shared" si="22"/>
        <v>20</v>
      </c>
      <c r="AH9" s="59"/>
      <c r="AI9" s="60"/>
      <c r="AJ9" s="61"/>
      <c r="AK9" s="62"/>
      <c r="AL9" s="52"/>
      <c r="AM9" s="52"/>
    </row>
    <row r="10" spans="1:48">
      <c r="A10" s="21">
        <v>44625</v>
      </c>
      <c r="B10" s="22">
        <v>791.46479999999997</v>
      </c>
      <c r="C10" s="27">
        <v>5.2827000000000002</v>
      </c>
      <c r="D10" s="23">
        <f t="shared" si="0"/>
        <v>796.74749999999995</v>
      </c>
      <c r="E10" s="24">
        <f t="shared" si="4"/>
        <v>-0.20000000006348301</v>
      </c>
      <c r="F10" s="25">
        <f t="shared" si="5"/>
        <v>-1.2000000000398401</v>
      </c>
      <c r="G10" s="26">
        <f t="shared" si="6"/>
        <v>-0.20000000006348301</v>
      </c>
      <c r="H10" s="6">
        <v>6.4945000000000004</v>
      </c>
      <c r="I10" s="35">
        <f t="shared" si="1"/>
        <v>797.95929999999998</v>
      </c>
      <c r="J10" s="24">
        <f t="shared" si="7"/>
        <v>-0.40000000001327901</v>
      </c>
      <c r="K10" s="25">
        <f t="shared" si="8"/>
        <v>-0.80000000002655702</v>
      </c>
      <c r="L10" s="26">
        <f t="shared" si="9"/>
        <v>-0.40000000001327901</v>
      </c>
      <c r="M10" s="6">
        <v>4.4946000000000002</v>
      </c>
      <c r="N10" s="35">
        <f t="shared" si="2"/>
        <v>795.95939999999996</v>
      </c>
      <c r="O10" s="24">
        <f t="shared" si="10"/>
        <v>-0.49999999998817701</v>
      </c>
      <c r="P10" s="25">
        <f t="shared" si="11"/>
        <v>-0.70000000005165897</v>
      </c>
      <c r="Q10" s="26">
        <f t="shared" si="12"/>
        <v>-0.49999999998817701</v>
      </c>
      <c r="R10" s="41"/>
      <c r="S10" s="21">
        <f t="shared" si="3"/>
        <v>44625</v>
      </c>
      <c r="T10" s="42">
        <v>7.9473000000000003</v>
      </c>
      <c r="U10" s="43">
        <f t="shared" si="13"/>
        <v>-9.99999999997669E-2</v>
      </c>
      <c r="V10" s="44">
        <f t="shared" si="14"/>
        <v>-0.59999999999949005</v>
      </c>
      <c r="W10" s="45">
        <f t="shared" si="15"/>
        <v>9.99999999997669E-2</v>
      </c>
      <c r="X10" s="29">
        <v>11.9582</v>
      </c>
      <c r="Y10" s="43">
        <f t="shared" si="16"/>
        <v>-0.30000000000107702</v>
      </c>
      <c r="Z10" s="44">
        <f t="shared" si="17"/>
        <v>-0.799999999999912</v>
      </c>
      <c r="AA10" s="45">
        <f t="shared" si="18"/>
        <v>-0.30000000000107702</v>
      </c>
      <c r="AB10" s="49">
        <v>8.4118999999999993</v>
      </c>
      <c r="AC10" s="43">
        <f t="shared" si="19"/>
        <v>-0.20000000000130999</v>
      </c>
      <c r="AD10" s="44">
        <f t="shared" si="20"/>
        <v>9.99999999997669E-2</v>
      </c>
      <c r="AE10" s="45">
        <f t="shared" si="21"/>
        <v>-0.20000000000130999</v>
      </c>
      <c r="AF10" s="50">
        <v>79457</v>
      </c>
      <c r="AG10" s="58">
        <f t="shared" si="22"/>
        <v>24</v>
      </c>
      <c r="AH10" s="59"/>
      <c r="AI10" s="60"/>
      <c r="AJ10" s="61"/>
      <c r="AK10" s="62"/>
      <c r="AL10" s="52"/>
      <c r="AM10" s="52"/>
    </row>
    <row r="11" spans="1:48">
      <c r="A11" s="21">
        <v>44626</v>
      </c>
      <c r="B11" s="22">
        <v>791.46479999999997</v>
      </c>
      <c r="C11" s="27">
        <v>5.2824999999999998</v>
      </c>
      <c r="D11" s="23">
        <f t="shared" si="0"/>
        <v>796.7473</v>
      </c>
      <c r="E11" s="24">
        <f t="shared" si="4"/>
        <v>-0.199999999949796</v>
      </c>
      <c r="F11" s="25">
        <f t="shared" si="5"/>
        <v>-1.39999999998963</v>
      </c>
      <c r="G11" s="26">
        <f t="shared" si="6"/>
        <v>-0.199999999949796</v>
      </c>
      <c r="H11" s="6">
        <v>6.4946999999999999</v>
      </c>
      <c r="I11" s="35">
        <f t="shared" si="1"/>
        <v>797.95950000000005</v>
      </c>
      <c r="J11" s="24">
        <f t="shared" si="7"/>
        <v>0.199999999949796</v>
      </c>
      <c r="K11" s="25">
        <f t="shared" si="8"/>
        <v>-0.60000000007676102</v>
      </c>
      <c r="L11" s="26">
        <f t="shared" si="9"/>
        <v>0.199999999949796</v>
      </c>
      <c r="M11" s="6">
        <v>4.4943999999999997</v>
      </c>
      <c r="N11" s="35">
        <f t="shared" si="2"/>
        <v>795.95920000000001</v>
      </c>
      <c r="O11" s="24">
        <f t="shared" si="10"/>
        <v>-0.199999999949796</v>
      </c>
      <c r="P11" s="25">
        <f t="shared" si="11"/>
        <v>-0.90000000000145497</v>
      </c>
      <c r="Q11" s="26">
        <f t="shared" si="12"/>
        <v>-0.199999999949796</v>
      </c>
      <c r="R11" s="41"/>
      <c r="S11" s="21">
        <f t="shared" si="3"/>
        <v>44626</v>
      </c>
      <c r="T11" s="42">
        <v>7.9474999999999998</v>
      </c>
      <c r="U11" s="43">
        <f t="shared" si="13"/>
        <v>0.19999999999953399</v>
      </c>
      <c r="V11" s="44">
        <f t="shared" si="14"/>
        <v>-0.399999999999956</v>
      </c>
      <c r="W11" s="45">
        <f t="shared" si="15"/>
        <v>-0.19999999999953399</v>
      </c>
      <c r="X11" s="29">
        <v>11.9581</v>
      </c>
      <c r="Y11" s="43">
        <f t="shared" si="16"/>
        <v>-9.99999999997669E-2</v>
      </c>
      <c r="Z11" s="44">
        <f t="shared" si="17"/>
        <v>-0.89999999999967895</v>
      </c>
      <c r="AA11" s="45">
        <f t="shared" si="18"/>
        <v>-9.99999999997669E-2</v>
      </c>
      <c r="AB11" s="49">
        <v>8.4116999999999997</v>
      </c>
      <c r="AC11" s="43">
        <f t="shared" si="19"/>
        <v>-0.19999999999953399</v>
      </c>
      <c r="AD11" s="44">
        <f t="shared" si="20"/>
        <v>-9.99999999997669E-2</v>
      </c>
      <c r="AE11" s="45">
        <f t="shared" si="21"/>
        <v>-0.19999999999953399</v>
      </c>
      <c r="AF11" s="50">
        <v>79461</v>
      </c>
      <c r="AG11" s="58">
        <f t="shared" si="22"/>
        <v>28</v>
      </c>
      <c r="AH11" s="59"/>
      <c r="AI11" s="60"/>
      <c r="AJ11" s="52"/>
      <c r="AK11" s="52"/>
      <c r="AL11" s="52"/>
      <c r="AM11" s="52"/>
    </row>
    <row r="12" spans="1:48" s="67" customFormat="1">
      <c r="A12" s="21">
        <v>44627</v>
      </c>
      <c r="B12" s="22">
        <v>791.46479999999997</v>
      </c>
      <c r="C12" s="27">
        <v>5.2824</v>
      </c>
      <c r="D12" s="23">
        <f t="shared" si="0"/>
        <v>796.74720000000002</v>
      </c>
      <c r="E12" s="24">
        <f t="shared" si="4"/>
        <v>-9.9999999974897905E-2</v>
      </c>
      <c r="F12" s="25">
        <f t="shared" si="5"/>
        <v>-1.4999999999645299</v>
      </c>
      <c r="G12" s="26">
        <f t="shared" si="6"/>
        <v>-9.9999999974897905E-2</v>
      </c>
      <c r="H12" s="6">
        <v>6.4946000000000002</v>
      </c>
      <c r="I12" s="35">
        <f t="shared" si="1"/>
        <v>797.95939999999996</v>
      </c>
      <c r="J12" s="24">
        <f t="shared" si="7"/>
        <v>-9.9999999974897905E-2</v>
      </c>
      <c r="K12" s="25">
        <f t="shared" si="8"/>
        <v>-0.70000000005165897</v>
      </c>
      <c r="L12" s="26">
        <f t="shared" si="9"/>
        <v>-9.9999999974897905E-2</v>
      </c>
      <c r="M12" s="6">
        <v>4.4942000000000002</v>
      </c>
      <c r="N12" s="35">
        <f t="shared" si="2"/>
        <v>795.95899999999995</v>
      </c>
      <c r="O12" s="24">
        <f t="shared" si="10"/>
        <v>-0.20000000006348301</v>
      </c>
      <c r="P12" s="25">
        <f t="shared" si="11"/>
        <v>-1.1000000000649399</v>
      </c>
      <c r="Q12" s="26">
        <f t="shared" si="12"/>
        <v>-0.20000000006348301</v>
      </c>
      <c r="R12" s="41"/>
      <c r="S12" s="21">
        <f t="shared" si="3"/>
        <v>44627</v>
      </c>
      <c r="T12" s="42">
        <v>7.9470999999999998</v>
      </c>
      <c r="U12" s="43">
        <f t="shared" si="13"/>
        <v>-0.399999999999956</v>
      </c>
      <c r="V12" s="44">
        <f t="shared" si="14"/>
        <v>-0.799999999999912</v>
      </c>
      <c r="W12" s="45">
        <f t="shared" si="15"/>
        <v>0.399999999999956</v>
      </c>
      <c r="X12" s="29">
        <v>11.9579</v>
      </c>
      <c r="Y12" s="43">
        <f t="shared" si="16"/>
        <v>-0.19999999999953399</v>
      </c>
      <c r="Z12" s="44">
        <f t="shared" si="17"/>
        <v>-1.0999999999992101</v>
      </c>
      <c r="AA12" s="45">
        <f t="shared" si="18"/>
        <v>-0.19999999999953399</v>
      </c>
      <c r="AB12" s="49">
        <v>8.4117999999999995</v>
      </c>
      <c r="AC12" s="43">
        <f t="shared" si="19"/>
        <v>9.99999999997669E-2</v>
      </c>
      <c r="AD12" s="44">
        <f t="shared" si="20"/>
        <v>0</v>
      </c>
      <c r="AE12" s="45">
        <f t="shared" si="21"/>
        <v>9.99999999997669E-2</v>
      </c>
      <c r="AF12" s="50">
        <v>79465</v>
      </c>
      <c r="AG12" s="58">
        <f t="shared" si="22"/>
        <v>32</v>
      </c>
      <c r="AH12" s="61"/>
      <c r="AI12" s="60"/>
    </row>
    <row r="13" spans="1:48">
      <c r="A13" s="21">
        <v>44628</v>
      </c>
      <c r="B13" s="22">
        <v>791.46479999999997</v>
      </c>
      <c r="C13" s="27">
        <v>5.2820999999999998</v>
      </c>
      <c r="D13" s="23">
        <f t="shared" si="0"/>
        <v>796.74689999999998</v>
      </c>
      <c r="E13" s="24">
        <f t="shared" si="4"/>
        <v>-0.30000000003838101</v>
      </c>
      <c r="F13" s="25">
        <f t="shared" si="5"/>
        <v>-1.8000000000029099</v>
      </c>
      <c r="G13" s="26">
        <f t="shared" si="6"/>
        <v>-0.30000000003838101</v>
      </c>
      <c r="H13" s="6">
        <v>6.4942000000000002</v>
      </c>
      <c r="I13" s="35">
        <f t="shared" si="1"/>
        <v>797.95899999999995</v>
      </c>
      <c r="J13" s="24">
        <f t="shared" si="7"/>
        <v>-0.40000000001327901</v>
      </c>
      <c r="K13" s="25">
        <f t="shared" si="8"/>
        <v>-1.1000000000649399</v>
      </c>
      <c r="L13" s="26">
        <f t="shared" si="9"/>
        <v>-0.40000000001327901</v>
      </c>
      <c r="M13" s="6">
        <v>4.4943</v>
      </c>
      <c r="N13" s="35">
        <f t="shared" si="2"/>
        <v>795.95910000000003</v>
      </c>
      <c r="O13" s="24">
        <f t="shared" si="10"/>
        <v>9.9999999974897905E-2</v>
      </c>
      <c r="P13" s="25">
        <f t="shared" si="11"/>
        <v>-1.00000000009004</v>
      </c>
      <c r="Q13" s="26">
        <f t="shared" si="12"/>
        <v>9.9999999974897905E-2</v>
      </c>
      <c r="R13" s="41"/>
      <c r="S13" s="21">
        <f t="shared" si="3"/>
        <v>44628</v>
      </c>
      <c r="T13" s="42">
        <v>7.9470000000000001</v>
      </c>
      <c r="U13" s="43">
        <f t="shared" si="13"/>
        <v>-9.99999999997669E-2</v>
      </c>
      <c r="V13" s="44">
        <f t="shared" si="14"/>
        <v>-0.89999999999967895</v>
      </c>
      <c r="W13" s="45">
        <f t="shared" si="15"/>
        <v>9.99999999997669E-2</v>
      </c>
      <c r="X13" s="29">
        <v>11.958</v>
      </c>
      <c r="Y13" s="43">
        <f t="shared" si="16"/>
        <v>9.99999999997669E-2</v>
      </c>
      <c r="Z13" s="44">
        <f t="shared" si="17"/>
        <v>-0.999999999999446</v>
      </c>
      <c r="AA13" s="45">
        <f t="shared" si="18"/>
        <v>9.99999999997669E-2</v>
      </c>
      <c r="AB13" s="49">
        <v>8.4113000000000007</v>
      </c>
      <c r="AC13" s="43">
        <f t="shared" si="19"/>
        <v>-0.49999999999883499</v>
      </c>
      <c r="AD13" s="44">
        <f t="shared" si="20"/>
        <v>-0.49999999999883499</v>
      </c>
      <c r="AE13" s="45">
        <f t="shared" si="21"/>
        <v>-0.49999999999883499</v>
      </c>
      <c r="AF13" s="50">
        <v>79469</v>
      </c>
      <c r="AG13" s="58">
        <f t="shared" si="22"/>
        <v>36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44629</v>
      </c>
      <c r="B14" s="22">
        <v>791.46479999999997</v>
      </c>
      <c r="C14" s="27">
        <v>5.2819000000000003</v>
      </c>
      <c r="D14" s="23">
        <f t="shared" si="0"/>
        <v>796.74670000000003</v>
      </c>
      <c r="E14" s="24">
        <f t="shared" si="4"/>
        <v>-0.20000000006348301</v>
      </c>
      <c r="F14" s="25">
        <f t="shared" si="5"/>
        <v>-2.00000000006639</v>
      </c>
      <c r="G14" s="26">
        <f t="shared" si="6"/>
        <v>-0.20000000006348301</v>
      </c>
      <c r="H14" s="6">
        <v>6.4943999999999997</v>
      </c>
      <c r="I14" s="35">
        <f t="shared" si="1"/>
        <v>797.95920000000001</v>
      </c>
      <c r="J14" s="24">
        <f t="shared" si="7"/>
        <v>0.20000000006348301</v>
      </c>
      <c r="K14" s="25">
        <f t="shared" si="8"/>
        <v>-0.90000000000145497</v>
      </c>
      <c r="L14" s="26">
        <f t="shared" si="9"/>
        <v>0.20000000006348301</v>
      </c>
      <c r="M14" s="6">
        <v>4.4938000000000002</v>
      </c>
      <c r="N14" s="35">
        <f t="shared" si="2"/>
        <v>795.95860000000005</v>
      </c>
      <c r="O14" s="24">
        <f t="shared" si="10"/>
        <v>-0.49999999998817701</v>
      </c>
      <c r="P14" s="25">
        <f t="shared" si="11"/>
        <v>-1.5000000000782201</v>
      </c>
      <c r="Q14" s="26">
        <f t="shared" si="12"/>
        <v>-0.49999999998817701</v>
      </c>
      <c r="R14" s="41"/>
      <c r="S14" s="21">
        <f t="shared" si="3"/>
        <v>44629</v>
      </c>
      <c r="T14" s="42">
        <v>7.9469000000000003</v>
      </c>
      <c r="U14" s="43">
        <f t="shared" si="13"/>
        <v>-9.99999999997669E-2</v>
      </c>
      <c r="V14" s="44">
        <f t="shared" si="14"/>
        <v>-0.999999999999446</v>
      </c>
      <c r="W14" s="45">
        <f t="shared" si="15"/>
        <v>9.99999999997669E-2</v>
      </c>
      <c r="X14" s="29">
        <v>11.958</v>
      </c>
      <c r="Y14" s="43">
        <f t="shared" si="16"/>
        <v>0</v>
      </c>
      <c r="Z14" s="44">
        <f t="shared" si="17"/>
        <v>-0.999999999999446</v>
      </c>
      <c r="AA14" s="45">
        <f t="shared" si="18"/>
        <v>0</v>
      </c>
      <c r="AB14" s="49">
        <v>8.4110999999999905</v>
      </c>
      <c r="AC14" s="43">
        <f t="shared" si="19"/>
        <v>-0.200000000010192</v>
      </c>
      <c r="AD14" s="44">
        <f t="shared" si="20"/>
        <v>-0.70000000000902696</v>
      </c>
      <c r="AE14" s="45">
        <f t="shared" si="21"/>
        <v>-0.200000000010192</v>
      </c>
      <c r="AF14" s="50">
        <v>79473</v>
      </c>
      <c r="AG14" s="58">
        <f t="shared" si="22"/>
        <v>40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44630</v>
      </c>
      <c r="B15" s="22">
        <v>791.46479999999997</v>
      </c>
      <c r="C15" s="27">
        <v>5.2816999999999998</v>
      </c>
      <c r="D15" s="23">
        <f t="shared" si="0"/>
        <v>796.74649999999997</v>
      </c>
      <c r="E15" s="24">
        <f t="shared" si="4"/>
        <v>-0.199999999949796</v>
      </c>
      <c r="F15" s="25">
        <f t="shared" si="5"/>
        <v>-2.2000000000161899</v>
      </c>
      <c r="G15" s="26">
        <f t="shared" si="6"/>
        <v>-0.199999999949796</v>
      </c>
      <c r="H15" s="6">
        <v>6.4943</v>
      </c>
      <c r="I15" s="35">
        <f t="shared" si="1"/>
        <v>797.95910000000003</v>
      </c>
      <c r="J15" s="24">
        <f t="shared" si="7"/>
        <v>-0.10000000008858501</v>
      </c>
      <c r="K15" s="25">
        <f t="shared" si="8"/>
        <v>-1.00000000009004</v>
      </c>
      <c r="L15" s="26">
        <f t="shared" si="9"/>
        <v>-0.10000000008858501</v>
      </c>
      <c r="M15" s="6">
        <v>4.4935999999999998</v>
      </c>
      <c r="N15" s="35">
        <f t="shared" si="2"/>
        <v>795.95839999999998</v>
      </c>
      <c r="O15" s="24">
        <f t="shared" si="10"/>
        <v>-0.199999999949796</v>
      </c>
      <c r="P15" s="25">
        <f t="shared" si="11"/>
        <v>-1.70000000002801</v>
      </c>
      <c r="Q15" s="26">
        <f t="shared" si="12"/>
        <v>-0.199999999949796</v>
      </c>
      <c r="R15" s="41"/>
      <c r="S15" s="21">
        <f t="shared" si="3"/>
        <v>44630</v>
      </c>
      <c r="T15" s="42">
        <v>7.9470999999999998</v>
      </c>
      <c r="U15" s="43">
        <f t="shared" si="13"/>
        <v>0.19999999999953399</v>
      </c>
      <c r="V15" s="44">
        <f t="shared" si="14"/>
        <v>-0.799999999999912</v>
      </c>
      <c r="W15" s="45">
        <f t="shared" si="15"/>
        <v>-0.19999999999953399</v>
      </c>
      <c r="X15" s="29">
        <v>11.9582</v>
      </c>
      <c r="Y15" s="43">
        <f t="shared" si="16"/>
        <v>0.19999999999953399</v>
      </c>
      <c r="Z15" s="44">
        <f t="shared" si="17"/>
        <v>-0.799999999999912</v>
      </c>
      <c r="AA15" s="45">
        <f t="shared" si="18"/>
        <v>0.19999999999953399</v>
      </c>
      <c r="AB15" s="49">
        <v>8.4114000000000004</v>
      </c>
      <c r="AC15" s="43">
        <f t="shared" si="19"/>
        <v>0.30000000000995902</v>
      </c>
      <c r="AD15" s="44">
        <f t="shared" si="20"/>
        <v>-0.39999999999906799</v>
      </c>
      <c r="AE15" s="45">
        <f t="shared" si="21"/>
        <v>0.30000000000995902</v>
      </c>
      <c r="AF15" s="50">
        <v>79477</v>
      </c>
      <c r="AG15" s="58">
        <f t="shared" si="22"/>
        <v>44</v>
      </c>
      <c r="AH15" s="61"/>
      <c r="AI15" s="60"/>
      <c r="AJ15"/>
      <c r="AK15"/>
      <c r="AL15"/>
      <c r="AM15"/>
    </row>
    <row r="16" spans="1:48">
      <c r="A16" s="21">
        <v>44631</v>
      </c>
      <c r="B16" s="22">
        <v>791.46479999999997</v>
      </c>
      <c r="C16" s="27">
        <v>5.282</v>
      </c>
      <c r="D16" s="23">
        <f t="shared" si="0"/>
        <v>796.74680000000001</v>
      </c>
      <c r="E16" s="24">
        <f t="shared" si="4"/>
        <v>0.30000000003838101</v>
      </c>
      <c r="F16" s="25">
        <f t="shared" si="5"/>
        <v>-1.8999999999778101</v>
      </c>
      <c r="G16" s="26">
        <f t="shared" si="6"/>
        <v>0.30000000003838101</v>
      </c>
      <c r="H16" s="6">
        <v>6.4939999999999998</v>
      </c>
      <c r="I16" s="35">
        <f t="shared" si="1"/>
        <v>797.9588</v>
      </c>
      <c r="J16" s="24">
        <f t="shared" si="7"/>
        <v>-0.29999999992469401</v>
      </c>
      <c r="K16" s="25">
        <f t="shared" si="8"/>
        <v>-1.30000000001473</v>
      </c>
      <c r="L16" s="26">
        <f t="shared" si="9"/>
        <v>-0.29999999992469401</v>
      </c>
      <c r="M16" s="6">
        <v>4.4939999999999998</v>
      </c>
      <c r="N16" s="35">
        <f t="shared" si="2"/>
        <v>795.9588</v>
      </c>
      <c r="O16" s="24">
        <f t="shared" si="10"/>
        <v>0.40000000001327901</v>
      </c>
      <c r="P16" s="25">
        <f t="shared" si="11"/>
        <v>-1.30000000001473</v>
      </c>
      <c r="Q16" s="26">
        <f t="shared" si="12"/>
        <v>0.40000000001327901</v>
      </c>
      <c r="R16" s="41"/>
      <c r="S16" s="21">
        <f t="shared" si="3"/>
        <v>44631</v>
      </c>
      <c r="T16" s="42">
        <v>7.9466999999999999</v>
      </c>
      <c r="U16" s="43">
        <f t="shared" si="13"/>
        <v>-0.399999999999956</v>
      </c>
      <c r="V16" s="44">
        <f t="shared" si="14"/>
        <v>-1.1999999999998701</v>
      </c>
      <c r="W16" s="45">
        <f t="shared" si="15"/>
        <v>0.399999999999956</v>
      </c>
      <c r="X16" s="29">
        <v>11.958299999999999</v>
      </c>
      <c r="Y16" s="43">
        <f t="shared" si="16"/>
        <v>9.99999999997669E-2</v>
      </c>
      <c r="Z16" s="44">
        <f t="shared" si="17"/>
        <v>-0.70000000000014495</v>
      </c>
      <c r="AA16" s="45">
        <f t="shared" si="18"/>
        <v>9.99999999997669E-2</v>
      </c>
      <c r="AB16" s="49">
        <v>8.4106999999999896</v>
      </c>
      <c r="AC16" s="43">
        <f t="shared" si="19"/>
        <v>-0.70000000001080298</v>
      </c>
      <c r="AD16" s="44">
        <f t="shared" si="20"/>
        <v>-1.10000000000987</v>
      </c>
      <c r="AE16" s="45">
        <f t="shared" si="21"/>
        <v>-0.70000000001080298</v>
      </c>
      <c r="AF16" s="50">
        <v>79481</v>
      </c>
      <c r="AG16" s="58">
        <f t="shared" si="22"/>
        <v>48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44632</v>
      </c>
      <c r="B17" s="22">
        <v>791.46479999999997</v>
      </c>
      <c r="C17" s="27">
        <v>5.2812999999999999</v>
      </c>
      <c r="D17" s="23">
        <f t="shared" si="0"/>
        <v>796.74609999999996</v>
      </c>
      <c r="E17" s="24">
        <f t="shared" si="4"/>
        <v>-0.70000000005165897</v>
      </c>
      <c r="F17" s="25">
        <f t="shared" si="5"/>
        <v>-2.6000000000294698</v>
      </c>
      <c r="G17" s="26">
        <f t="shared" si="6"/>
        <v>-0.70000000005165897</v>
      </c>
      <c r="H17" s="6">
        <v>6.4941000000000004</v>
      </c>
      <c r="I17" s="35">
        <f t="shared" si="1"/>
        <v>797.95889999999997</v>
      </c>
      <c r="J17" s="24">
        <f t="shared" si="7"/>
        <v>9.9999999974897905E-2</v>
      </c>
      <c r="K17" s="25">
        <f t="shared" si="8"/>
        <v>-1.2000000000398401</v>
      </c>
      <c r="L17" s="26">
        <f t="shared" si="9"/>
        <v>9.9999999974897905E-2</v>
      </c>
      <c r="M17" s="6">
        <v>4.4931999999999999</v>
      </c>
      <c r="N17" s="35">
        <f t="shared" si="2"/>
        <v>795.95799999999997</v>
      </c>
      <c r="O17" s="24">
        <f t="shared" si="10"/>
        <v>-0.80000000002655702</v>
      </c>
      <c r="P17" s="25">
        <f t="shared" si="11"/>
        <v>-2.1000000000412902</v>
      </c>
      <c r="Q17" s="26">
        <f t="shared" si="12"/>
        <v>-0.80000000002655702</v>
      </c>
      <c r="R17" s="41"/>
      <c r="S17" s="21">
        <f t="shared" si="3"/>
        <v>44632</v>
      </c>
      <c r="T17" s="42">
        <v>7.9466000000000001</v>
      </c>
      <c r="U17" s="43">
        <f t="shared" si="13"/>
        <v>-9.99999999997669E-2</v>
      </c>
      <c r="V17" s="44">
        <f t="shared" si="14"/>
        <v>-1.2999999999996299</v>
      </c>
      <c r="W17" s="45">
        <f t="shared" si="15"/>
        <v>9.99999999997669E-2</v>
      </c>
      <c r="X17" s="29">
        <v>11.958</v>
      </c>
      <c r="Y17" s="43">
        <f t="shared" si="16"/>
        <v>-0.29999999999930099</v>
      </c>
      <c r="Z17" s="44">
        <f t="shared" si="17"/>
        <v>-0.999999999999446</v>
      </c>
      <c r="AA17" s="45">
        <f t="shared" si="18"/>
        <v>-0.29999999999930099</v>
      </c>
      <c r="AB17" s="49">
        <v>8.4104999999999901</v>
      </c>
      <c r="AC17" s="43">
        <f t="shared" si="19"/>
        <v>-0.19999999999953399</v>
      </c>
      <c r="AD17" s="44">
        <f t="shared" si="20"/>
        <v>-1.3000000000094001</v>
      </c>
      <c r="AE17" s="45">
        <f t="shared" si="21"/>
        <v>-0.19999999999953399</v>
      </c>
      <c r="AF17" s="50">
        <v>79485</v>
      </c>
      <c r="AG17" s="58">
        <f t="shared" si="22"/>
        <v>52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44633</v>
      </c>
      <c r="B18" s="22">
        <v>791.46479999999997</v>
      </c>
      <c r="C18" s="27">
        <v>5.2811000000000003</v>
      </c>
      <c r="D18" s="23">
        <f t="shared" si="0"/>
        <v>796.74590000000001</v>
      </c>
      <c r="E18" s="24">
        <f t="shared" si="4"/>
        <v>-0.199999999949796</v>
      </c>
      <c r="F18" s="25">
        <f t="shared" si="5"/>
        <v>-2.79999999997926</v>
      </c>
      <c r="G18" s="26">
        <f t="shared" si="6"/>
        <v>-0.199999999949796</v>
      </c>
      <c r="H18" s="6">
        <v>6.4939999999999998</v>
      </c>
      <c r="I18" s="35">
        <f t="shared" si="1"/>
        <v>797.9588</v>
      </c>
      <c r="J18" s="24">
        <f t="shared" si="7"/>
        <v>-9.9999999974897905E-2</v>
      </c>
      <c r="K18" s="25">
        <f t="shared" si="8"/>
        <v>-1.30000000001473</v>
      </c>
      <c r="L18" s="26">
        <f t="shared" si="9"/>
        <v>-9.9999999974897905E-2</v>
      </c>
      <c r="M18" s="6">
        <v>4.4930000000000003</v>
      </c>
      <c r="N18" s="35">
        <f t="shared" si="2"/>
        <v>795.95780000000002</v>
      </c>
      <c r="O18" s="24">
        <f t="shared" si="10"/>
        <v>-0.199999999949796</v>
      </c>
      <c r="P18" s="25">
        <f t="shared" si="11"/>
        <v>-2.2999999999910901</v>
      </c>
      <c r="Q18" s="26">
        <f t="shared" si="12"/>
        <v>-0.199999999949796</v>
      </c>
      <c r="R18" s="41"/>
      <c r="S18" s="21">
        <f t="shared" si="3"/>
        <v>44633</v>
      </c>
      <c r="T18" s="42">
        <v>7.9465000000000003</v>
      </c>
      <c r="U18" s="43">
        <f t="shared" si="13"/>
        <v>-9.99999999997669E-2</v>
      </c>
      <c r="V18" s="44">
        <f t="shared" si="14"/>
        <v>-1.3999999999993999</v>
      </c>
      <c r="W18" s="45">
        <f t="shared" si="15"/>
        <v>9.99999999997669E-2</v>
      </c>
      <c r="X18" s="29">
        <v>11.9582</v>
      </c>
      <c r="Y18" s="43">
        <f t="shared" si="16"/>
        <v>0.19999999999953399</v>
      </c>
      <c r="Z18" s="44">
        <f t="shared" si="17"/>
        <v>-0.799999999999912</v>
      </c>
      <c r="AA18" s="45">
        <f t="shared" si="18"/>
        <v>0.19999999999953399</v>
      </c>
      <c r="AB18" s="49">
        <v>8.4108000000000001</v>
      </c>
      <c r="AC18" s="43">
        <f t="shared" si="19"/>
        <v>0.30000000000995902</v>
      </c>
      <c r="AD18" s="44">
        <f t="shared" si="20"/>
        <v>-0.999999999999446</v>
      </c>
      <c r="AE18" s="45">
        <f t="shared" si="21"/>
        <v>0.30000000000995902</v>
      </c>
      <c r="AF18" s="50">
        <v>79489</v>
      </c>
      <c r="AG18" s="58">
        <f t="shared" si="22"/>
        <v>56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44634</v>
      </c>
      <c r="B19" s="22">
        <v>791.46479999999997</v>
      </c>
      <c r="C19" s="27">
        <v>5.2812999999999999</v>
      </c>
      <c r="D19" s="23">
        <f t="shared" si="0"/>
        <v>796.74609999999996</v>
      </c>
      <c r="E19" s="24">
        <f t="shared" si="4"/>
        <v>0.199999999949796</v>
      </c>
      <c r="F19" s="25">
        <f t="shared" si="5"/>
        <v>-2.6000000000294698</v>
      </c>
      <c r="G19" s="26">
        <f t="shared" si="6"/>
        <v>0.199999999949796</v>
      </c>
      <c r="H19" s="6">
        <v>6.4941000000000004</v>
      </c>
      <c r="I19" s="35">
        <f t="shared" si="1"/>
        <v>797.95889999999997</v>
      </c>
      <c r="J19" s="24">
        <f t="shared" si="7"/>
        <v>9.9999999974897905E-2</v>
      </c>
      <c r="K19" s="25">
        <f t="shared" si="8"/>
        <v>-1.2000000000398401</v>
      </c>
      <c r="L19" s="26">
        <f t="shared" si="9"/>
        <v>9.9999999974897905E-2</v>
      </c>
      <c r="M19" s="6">
        <v>4.4931999999999999</v>
      </c>
      <c r="N19" s="35">
        <f t="shared" si="2"/>
        <v>795.95799999999997</v>
      </c>
      <c r="O19" s="24">
        <f t="shared" si="10"/>
        <v>0.199999999949796</v>
      </c>
      <c r="P19" s="25">
        <f t="shared" si="11"/>
        <v>-2.1000000000412902</v>
      </c>
      <c r="Q19" s="26">
        <f t="shared" si="12"/>
        <v>0.199999999949796</v>
      </c>
      <c r="R19" s="41"/>
      <c r="S19" s="21">
        <f t="shared" si="3"/>
        <v>44634</v>
      </c>
      <c r="T19" s="42">
        <v>7.9462000000000002</v>
      </c>
      <c r="U19" s="43">
        <f t="shared" si="13"/>
        <v>-0.300000000000189</v>
      </c>
      <c r="V19" s="44">
        <f t="shared" si="14"/>
        <v>-1.6999999999995901</v>
      </c>
      <c r="W19" s="45">
        <f t="shared" si="15"/>
        <v>0.300000000000189</v>
      </c>
      <c r="X19" s="29">
        <v>11.958299999999999</v>
      </c>
      <c r="Y19" s="43">
        <f t="shared" si="16"/>
        <v>9.99999999997669E-2</v>
      </c>
      <c r="Z19" s="44">
        <f t="shared" si="17"/>
        <v>-0.70000000000014495</v>
      </c>
      <c r="AA19" s="45">
        <f t="shared" si="18"/>
        <v>9.99999999997669E-2</v>
      </c>
      <c r="AB19" s="49">
        <v>8.4100999999999893</v>
      </c>
      <c r="AC19" s="43">
        <f t="shared" si="19"/>
        <v>-0.70000000001080298</v>
      </c>
      <c r="AD19" s="44">
        <f t="shared" si="20"/>
        <v>-1.70000000001025</v>
      </c>
      <c r="AE19" s="45">
        <f t="shared" si="21"/>
        <v>-0.70000000001080298</v>
      </c>
      <c r="AF19" s="50">
        <v>79495</v>
      </c>
      <c r="AG19" s="58">
        <f t="shared" si="22"/>
        <v>62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44635</v>
      </c>
      <c r="B20" s="22">
        <v>791.46479999999997</v>
      </c>
      <c r="C20" s="27">
        <v>5.2807000000000004</v>
      </c>
      <c r="D20" s="23">
        <f t="shared" si="0"/>
        <v>796.74549999999999</v>
      </c>
      <c r="E20" s="24">
        <f t="shared" si="4"/>
        <v>-0.59999999996307496</v>
      </c>
      <c r="F20" s="25">
        <f t="shared" si="5"/>
        <v>-3.1999999999925399</v>
      </c>
      <c r="G20" s="26">
        <f t="shared" si="6"/>
        <v>-0.59999999996307496</v>
      </c>
      <c r="H20" s="6">
        <v>6.4938000000000002</v>
      </c>
      <c r="I20" s="35">
        <f t="shared" si="1"/>
        <v>797.95860000000005</v>
      </c>
      <c r="J20" s="24">
        <f t="shared" si="7"/>
        <v>-0.30000000003838101</v>
      </c>
      <c r="K20" s="25">
        <f t="shared" si="8"/>
        <v>-1.5000000000782201</v>
      </c>
      <c r="L20" s="26">
        <f t="shared" si="9"/>
        <v>-0.30000000003838101</v>
      </c>
      <c r="M20" s="6">
        <v>4.4926000000000101</v>
      </c>
      <c r="N20" s="35">
        <f t="shared" si="2"/>
        <v>795.95740000000001</v>
      </c>
      <c r="O20" s="24">
        <f t="shared" si="10"/>
        <v>-0.59999999996307496</v>
      </c>
      <c r="P20" s="25">
        <f t="shared" si="11"/>
        <v>-2.70000000000437</v>
      </c>
      <c r="Q20" s="26">
        <f t="shared" si="12"/>
        <v>-0.59999999996307496</v>
      </c>
      <c r="R20" s="41"/>
      <c r="S20" s="21">
        <f t="shared" si="3"/>
        <v>44635</v>
      </c>
      <c r="T20" s="42">
        <v>7.9462999999999999</v>
      </c>
      <c r="U20" s="43">
        <f t="shared" si="13"/>
        <v>9.99999999997669E-2</v>
      </c>
      <c r="V20" s="44">
        <f t="shared" si="14"/>
        <v>-1.59999999999982</v>
      </c>
      <c r="W20" s="45">
        <f t="shared" si="15"/>
        <v>-9.99999999997669E-2</v>
      </c>
      <c r="X20" s="29">
        <v>11.958</v>
      </c>
      <c r="Y20" s="43">
        <f t="shared" si="16"/>
        <v>-0.29999999999930099</v>
      </c>
      <c r="Z20" s="44">
        <f t="shared" si="17"/>
        <v>-0.999999999999446</v>
      </c>
      <c r="AA20" s="45">
        <f t="shared" si="18"/>
        <v>-0.29999999999930099</v>
      </c>
      <c r="AB20" s="49">
        <v>8.4105000000000008</v>
      </c>
      <c r="AC20" s="43">
        <f t="shared" si="19"/>
        <v>0.40000000001150199</v>
      </c>
      <c r="AD20" s="44">
        <f t="shared" si="20"/>
        <v>-1.2999999999987499</v>
      </c>
      <c r="AE20" s="45">
        <f t="shared" si="21"/>
        <v>0.40000000001150199</v>
      </c>
      <c r="AF20" s="50">
        <v>79501</v>
      </c>
      <c r="AG20" s="58">
        <f t="shared" si="22"/>
        <v>68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44637</v>
      </c>
      <c r="B21" s="22">
        <v>791.46479999999997</v>
      </c>
      <c r="C21" s="27">
        <v>5.2805999999999997</v>
      </c>
      <c r="D21" s="23">
        <f t="shared" si="0"/>
        <v>796.74540000000002</v>
      </c>
      <c r="E21" s="24">
        <f t="shared" si="4"/>
        <v>-9.9999999974897905E-2</v>
      </c>
      <c r="F21" s="25">
        <f t="shared" si="5"/>
        <v>-3.2999999999674401</v>
      </c>
      <c r="G21" s="26">
        <f t="shared" si="6"/>
        <v>-4.9999999987449001E-2</v>
      </c>
      <c r="H21" s="6">
        <v>6.4936999999999996</v>
      </c>
      <c r="I21" s="35">
        <f t="shared" si="1"/>
        <v>797.95849999999996</v>
      </c>
      <c r="J21" s="24">
        <f t="shared" si="7"/>
        <v>-9.9999999974897905E-2</v>
      </c>
      <c r="K21" s="25">
        <f t="shared" si="8"/>
        <v>-1.60000000005311</v>
      </c>
      <c r="L21" s="26">
        <f t="shared" si="9"/>
        <v>-4.9999999987449001E-2</v>
      </c>
      <c r="M21" s="6">
        <v>4.4924999999999997</v>
      </c>
      <c r="N21" s="35">
        <f t="shared" si="2"/>
        <v>795.95730000000003</v>
      </c>
      <c r="O21" s="24">
        <f t="shared" si="10"/>
        <v>-0.10000000008858501</v>
      </c>
      <c r="P21" s="25">
        <f t="shared" si="11"/>
        <v>-2.8000000000929499</v>
      </c>
      <c r="Q21" s="26">
        <f t="shared" si="12"/>
        <v>-5.0000000044292399E-2</v>
      </c>
      <c r="R21" s="41"/>
      <c r="S21" s="21">
        <f t="shared" si="3"/>
        <v>44637</v>
      </c>
      <c r="T21" s="42">
        <v>7.9462000000000002</v>
      </c>
      <c r="U21" s="43">
        <f t="shared" si="13"/>
        <v>-9.99999999997669E-2</v>
      </c>
      <c r="V21" s="44">
        <f t="shared" si="14"/>
        <v>-1.6999999999995901</v>
      </c>
      <c r="W21" s="45">
        <f t="shared" si="15"/>
        <v>4.9999999999883499E-2</v>
      </c>
      <c r="X21" s="29">
        <v>11.9579</v>
      </c>
      <c r="Y21" s="43">
        <f t="shared" si="16"/>
        <v>-9.99999999997669E-2</v>
      </c>
      <c r="Z21" s="44">
        <f t="shared" si="17"/>
        <v>-1.0999999999992101</v>
      </c>
      <c r="AA21" s="45">
        <f t="shared" si="18"/>
        <v>-4.9999999999883499E-2</v>
      </c>
      <c r="AB21" s="49">
        <v>8.4101999999999997</v>
      </c>
      <c r="AC21" s="43">
        <f t="shared" si="19"/>
        <v>-0.30000000000107702</v>
      </c>
      <c r="AD21" s="44">
        <f t="shared" si="20"/>
        <v>-1.59999999999982</v>
      </c>
      <c r="AE21" s="45">
        <f t="shared" si="21"/>
        <v>-0.15000000000053901</v>
      </c>
      <c r="AF21" s="50">
        <v>79507</v>
      </c>
      <c r="AG21" s="58">
        <f t="shared" si="22"/>
        <v>74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44639</v>
      </c>
      <c r="B22" s="22">
        <v>791.46479999999997</v>
      </c>
      <c r="C22" s="27">
        <v>5.2802999999999898</v>
      </c>
      <c r="D22" s="23">
        <f t="shared" si="0"/>
        <v>796.74509999999998</v>
      </c>
      <c r="E22" s="24">
        <f t="shared" si="4"/>
        <v>-0.30000000003838101</v>
      </c>
      <c r="F22" s="25">
        <f t="shared" si="5"/>
        <v>-3.6000000000058199</v>
      </c>
      <c r="G22" s="26">
        <f t="shared" si="6"/>
        <v>-0.15000000001919001</v>
      </c>
      <c r="H22" s="6">
        <v>6.4935</v>
      </c>
      <c r="I22" s="35">
        <f t="shared" si="1"/>
        <v>797.95830000000001</v>
      </c>
      <c r="J22" s="24">
        <f t="shared" si="7"/>
        <v>-0.199999999949796</v>
      </c>
      <c r="K22" s="25">
        <f t="shared" si="8"/>
        <v>-1.8000000000029099</v>
      </c>
      <c r="L22" s="26">
        <f t="shared" si="9"/>
        <v>-9.9999999974897905E-2</v>
      </c>
      <c r="M22" s="6">
        <v>4.4923999999999999</v>
      </c>
      <c r="N22" s="35">
        <f t="shared" si="2"/>
        <v>795.95719999999994</v>
      </c>
      <c r="O22" s="24">
        <f t="shared" si="10"/>
        <v>-9.9999999974897905E-2</v>
      </c>
      <c r="P22" s="25">
        <f t="shared" si="11"/>
        <v>-2.9000000000678501</v>
      </c>
      <c r="Q22" s="26">
        <f t="shared" si="12"/>
        <v>-4.9999999987449001E-2</v>
      </c>
      <c r="R22" s="41"/>
      <c r="S22" s="21">
        <f t="shared" si="3"/>
        <v>44639</v>
      </c>
      <c r="T22" s="42">
        <v>7.9465000000000003</v>
      </c>
      <c r="U22" s="43">
        <f t="shared" si="13"/>
        <v>0.300000000000189</v>
      </c>
      <c r="V22" s="44">
        <f t="shared" si="14"/>
        <v>-1.3999999999993999</v>
      </c>
      <c r="W22" s="45">
        <f t="shared" si="15"/>
        <v>-0.150000000000095</v>
      </c>
      <c r="X22" s="29">
        <v>11.957599999999999</v>
      </c>
      <c r="Y22" s="43">
        <f t="shared" si="16"/>
        <v>-0.30000000000107702</v>
      </c>
      <c r="Z22" s="44">
        <f t="shared" si="17"/>
        <v>-1.4000000000002899</v>
      </c>
      <c r="AA22" s="45">
        <f t="shared" si="18"/>
        <v>-0.15000000000053901</v>
      </c>
      <c r="AB22" s="42">
        <v>8.41</v>
      </c>
      <c r="AC22" s="43">
        <f t="shared" si="19"/>
        <v>-0.19999999999953399</v>
      </c>
      <c r="AD22" s="44">
        <f t="shared" si="20"/>
        <v>-1.7999999999993599</v>
      </c>
      <c r="AE22" s="45">
        <f t="shared" si="21"/>
        <v>-9.99999999997669E-2</v>
      </c>
      <c r="AF22" s="50">
        <v>79520</v>
      </c>
      <c r="AG22" s="58">
        <f t="shared" si="22"/>
        <v>87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44641</v>
      </c>
      <c r="B23" s="22">
        <v>791.46479999999997</v>
      </c>
      <c r="C23" s="27">
        <v>5.2799999999999798</v>
      </c>
      <c r="D23" s="23">
        <f t="shared" si="0"/>
        <v>796.74480000000005</v>
      </c>
      <c r="E23" s="24">
        <f t="shared" si="4"/>
        <v>-0.30000000003838101</v>
      </c>
      <c r="F23" s="25">
        <f t="shared" si="5"/>
        <v>-3.9000000000442001</v>
      </c>
      <c r="G23" s="26">
        <f t="shared" si="6"/>
        <v>-0.15000000001919001</v>
      </c>
      <c r="H23" s="6">
        <v>6.4932999999999996</v>
      </c>
      <c r="I23" s="35">
        <f t="shared" si="1"/>
        <v>797.95809999999994</v>
      </c>
      <c r="J23" s="24">
        <f t="shared" si="7"/>
        <v>-0.20000000006348301</v>
      </c>
      <c r="K23" s="25">
        <f t="shared" si="8"/>
        <v>-2.00000000006639</v>
      </c>
      <c r="L23" s="26">
        <f t="shared" si="9"/>
        <v>-0.100000000031741</v>
      </c>
      <c r="M23" s="6">
        <v>4.4923000000000002</v>
      </c>
      <c r="N23" s="35">
        <f t="shared" si="2"/>
        <v>795.95709999999997</v>
      </c>
      <c r="O23" s="24">
        <f t="shared" si="10"/>
        <v>-9.9999999974897905E-2</v>
      </c>
      <c r="P23" s="25">
        <f t="shared" si="11"/>
        <v>-3.0000000000427498</v>
      </c>
      <c r="Q23" s="26">
        <f t="shared" si="12"/>
        <v>-4.9999999987449001E-2</v>
      </c>
      <c r="R23" s="41"/>
      <c r="S23" s="21">
        <f t="shared" si="3"/>
        <v>44641</v>
      </c>
      <c r="T23" s="42">
        <v>7.9462999999999999</v>
      </c>
      <c r="U23" s="43">
        <f t="shared" si="13"/>
        <v>-0.20000000000042201</v>
      </c>
      <c r="V23" s="44">
        <f t="shared" si="14"/>
        <v>-1.59999999999982</v>
      </c>
      <c r="W23" s="45">
        <f t="shared" si="15"/>
        <v>0.100000000000211</v>
      </c>
      <c r="X23" s="29">
        <v>11.9573</v>
      </c>
      <c r="Y23" s="43">
        <f t="shared" si="16"/>
        <v>-0.29999999999930099</v>
      </c>
      <c r="Z23" s="44">
        <f t="shared" si="17"/>
        <v>-1.6999999999995901</v>
      </c>
      <c r="AA23" s="45">
        <f t="shared" si="18"/>
        <v>-0.14999999999965</v>
      </c>
      <c r="AB23" s="49">
        <v>8.4098000000000006</v>
      </c>
      <c r="AC23" s="43">
        <f t="shared" si="19"/>
        <v>-0.19999999999953399</v>
      </c>
      <c r="AD23" s="44">
        <f t="shared" si="20"/>
        <v>-1.99999999999889</v>
      </c>
      <c r="AE23" s="45">
        <f t="shared" si="21"/>
        <v>-9.99999999997669E-2</v>
      </c>
      <c r="AF23" s="50">
        <v>79533</v>
      </c>
      <c r="AG23" s="58">
        <f t="shared" si="22"/>
        <v>100</v>
      </c>
      <c r="AH23" s="61"/>
      <c r="AI23" s="60"/>
      <c r="AJ23"/>
      <c r="AK23"/>
      <c r="AL23"/>
      <c r="AM23"/>
    </row>
    <row r="24" spans="1:48">
      <c r="A24" s="21">
        <v>44643</v>
      </c>
      <c r="B24" s="22">
        <v>791.46479999999997</v>
      </c>
      <c r="C24" s="27">
        <v>5.2796999999999699</v>
      </c>
      <c r="D24" s="23">
        <f t="shared" si="0"/>
        <v>796.74450000000002</v>
      </c>
      <c r="E24" s="24">
        <f t="shared" si="4"/>
        <v>-0.30000000003838101</v>
      </c>
      <c r="F24" s="25">
        <f t="shared" si="5"/>
        <v>-4.2000000000825803</v>
      </c>
      <c r="G24" s="26">
        <f t="shared" si="6"/>
        <v>-0.15000000001919001</v>
      </c>
      <c r="H24" s="6">
        <v>6.4931000000000001</v>
      </c>
      <c r="I24" s="35">
        <f t="shared" si="1"/>
        <v>797.9579</v>
      </c>
      <c r="J24" s="24">
        <f t="shared" si="7"/>
        <v>-0.199999999949796</v>
      </c>
      <c r="K24" s="25">
        <f t="shared" si="8"/>
        <v>-2.2000000000161899</v>
      </c>
      <c r="L24" s="26">
        <f t="shared" si="9"/>
        <v>-9.9999999974897905E-2</v>
      </c>
      <c r="M24" s="6">
        <v>4.4922000000000004</v>
      </c>
      <c r="N24" s="35">
        <f t="shared" si="2"/>
        <v>795.95699999999999</v>
      </c>
      <c r="O24" s="24">
        <f t="shared" si="10"/>
        <v>-9.9999999974897905E-2</v>
      </c>
      <c r="P24" s="25">
        <f t="shared" si="11"/>
        <v>-3.1000000000176402</v>
      </c>
      <c r="Q24" s="26">
        <f t="shared" si="12"/>
        <v>-4.9999999987449001E-2</v>
      </c>
      <c r="R24" s="41"/>
      <c r="S24" s="21">
        <f t="shared" si="3"/>
        <v>44643</v>
      </c>
      <c r="T24" s="42">
        <v>7.9461000000000004</v>
      </c>
      <c r="U24" s="43">
        <f t="shared" si="13"/>
        <v>-0.19999999999953399</v>
      </c>
      <c r="V24" s="44">
        <f t="shared" si="14"/>
        <v>-1.7999999999993599</v>
      </c>
      <c r="W24" s="45">
        <f t="shared" si="15"/>
        <v>9.99999999997669E-2</v>
      </c>
      <c r="X24" s="29">
        <v>11.957000000000001</v>
      </c>
      <c r="Y24" s="43">
        <f t="shared" si="16"/>
        <v>-0.29999999999930099</v>
      </c>
      <c r="Z24" s="44">
        <f t="shared" si="17"/>
        <v>-1.99999999999889</v>
      </c>
      <c r="AA24" s="45">
        <f t="shared" si="18"/>
        <v>-0.14999999999965</v>
      </c>
      <c r="AB24" s="42">
        <v>8.4095999999999993</v>
      </c>
      <c r="AC24" s="43">
        <f t="shared" si="19"/>
        <v>-0.20000000000130999</v>
      </c>
      <c r="AD24" s="44">
        <f t="shared" si="20"/>
        <v>-2.2000000000002</v>
      </c>
      <c r="AE24" s="45">
        <f t="shared" si="21"/>
        <v>-0.100000000000655</v>
      </c>
      <c r="AF24" s="50">
        <v>79546</v>
      </c>
      <c r="AG24" s="58">
        <f t="shared" si="22"/>
        <v>113</v>
      </c>
      <c r="AH24" s="61"/>
      <c r="AI24" s="52"/>
      <c r="AJ24" s="52"/>
      <c r="AK24" s="52"/>
      <c r="AL24" s="52"/>
      <c r="AM24" s="52"/>
    </row>
    <row r="25" spans="1:48">
      <c r="A25" s="21">
        <v>44645</v>
      </c>
      <c r="B25" s="22">
        <v>791.46479999999997</v>
      </c>
      <c r="C25" s="27">
        <v>5.2796000000000003</v>
      </c>
      <c r="D25" s="23">
        <f t="shared" si="0"/>
        <v>796.74440000000004</v>
      </c>
      <c r="E25" s="24">
        <f t="shared" ref="E25:E26" si="23">(D25-D24)*1000</f>
        <v>-9.9999999974897905E-2</v>
      </c>
      <c r="F25" s="25">
        <f t="shared" ref="F25:F26" si="24">F24+E25</f>
        <v>-4.3000000000574801</v>
      </c>
      <c r="G25" s="26">
        <f t="shared" ref="G25:G26" si="25">E25/(A25-A24)</f>
        <v>-4.9999999987449001E-2</v>
      </c>
      <c r="H25" s="6">
        <v>6.4927999999999999</v>
      </c>
      <c r="I25" s="35">
        <f t="shared" si="1"/>
        <v>797.95759999999996</v>
      </c>
      <c r="J25" s="24">
        <f t="shared" ref="J25:J26" si="26">(I25-I24)*1000</f>
        <v>-0.30000000003838101</v>
      </c>
      <c r="K25" s="25">
        <f t="shared" ref="K25:K26" si="27">K24+J25</f>
        <v>-2.5000000000545701</v>
      </c>
      <c r="L25" s="26">
        <f t="shared" ref="L25:L26" si="28">J25/(A25-A24)</f>
        <v>-0.15000000001919001</v>
      </c>
      <c r="M25" s="6">
        <v>4.492</v>
      </c>
      <c r="N25" s="35">
        <f t="shared" si="2"/>
        <v>795.95680000000004</v>
      </c>
      <c r="O25" s="24">
        <f t="shared" ref="O25:O26" si="29">(N25-N24)*1000</f>
        <v>-0.20000000006348301</v>
      </c>
      <c r="P25" s="25">
        <f t="shared" ref="P25:P26" si="30">P24+O25</f>
        <v>-3.30000000008113</v>
      </c>
      <c r="Q25" s="26">
        <f t="shared" ref="Q25:Q26" si="31">O25/(A25-A24)</f>
        <v>-0.100000000031741</v>
      </c>
      <c r="R25" s="41"/>
      <c r="S25" s="21">
        <f t="shared" si="3"/>
        <v>44645</v>
      </c>
      <c r="T25" s="42">
        <v>7.9462000000000002</v>
      </c>
      <c r="U25" s="43">
        <f t="shared" ref="U25:U26" si="32">(T25-T24)*1000</f>
        <v>9.99999999997669E-2</v>
      </c>
      <c r="V25" s="44">
        <f t="shared" ref="V25:V26" si="33">V24+U25</f>
        <v>-1.6999999999995901</v>
      </c>
      <c r="W25" s="45">
        <f t="shared" ref="W25:W26" si="34">U25/(S24-S25)</f>
        <v>-4.9999999999883499E-2</v>
      </c>
      <c r="X25" s="29">
        <v>11.956799999999999</v>
      </c>
      <c r="Y25" s="43">
        <f t="shared" ref="Y25:Y26" si="35">(X25-X24)*1000</f>
        <v>-0.20000000000130999</v>
      </c>
      <c r="Z25" s="44">
        <f t="shared" ref="Z25:Z26" si="36">Z24+Y25</f>
        <v>-2.2000000000002</v>
      </c>
      <c r="AA25" s="45">
        <f t="shared" ref="AA25:AA26" si="37">Y25/(S25-S24)</f>
        <v>-0.100000000000655</v>
      </c>
      <c r="AB25" s="42">
        <v>8.4093</v>
      </c>
      <c r="AC25" s="43">
        <f t="shared" ref="AC25:AC26" si="38">(AB25-AB24)*1000</f>
        <v>-0.29999999999930099</v>
      </c>
      <c r="AD25" s="44">
        <f t="shared" ref="AD25:AD26" si="39">AD24+AC25</f>
        <v>-2.4999999999995</v>
      </c>
      <c r="AE25" s="45">
        <f t="shared" ref="AE25:AE26" si="40">AC25/(S25-S24)</f>
        <v>-0.14999999999965</v>
      </c>
      <c r="AF25" s="50">
        <v>79550</v>
      </c>
      <c r="AG25" s="58">
        <f t="shared" si="22"/>
        <v>117</v>
      </c>
      <c r="AH25" s="61"/>
      <c r="AI25" s="52"/>
      <c r="AJ25" s="52"/>
      <c r="AK25" s="52"/>
      <c r="AL25" s="52"/>
      <c r="AM25" s="52"/>
    </row>
    <row r="26" spans="1:48">
      <c r="A26" s="21">
        <v>44647</v>
      </c>
      <c r="B26" s="22">
        <v>791.46479999999997</v>
      </c>
      <c r="C26" s="27">
        <v>5.2793999999999599</v>
      </c>
      <c r="D26" s="23">
        <f t="shared" si="0"/>
        <v>796.74419999999998</v>
      </c>
      <c r="E26" s="24">
        <f t="shared" si="23"/>
        <v>-0.199999999949796</v>
      </c>
      <c r="F26" s="25">
        <f t="shared" si="24"/>
        <v>-4.5000000000072804</v>
      </c>
      <c r="G26" s="26">
        <f t="shared" si="25"/>
        <v>-9.9999999974897905E-2</v>
      </c>
      <c r="H26" s="6">
        <v>6.4928999999999997</v>
      </c>
      <c r="I26" s="35">
        <f t="shared" si="1"/>
        <v>797.95770000000005</v>
      </c>
      <c r="J26" s="24">
        <f t="shared" si="26"/>
        <v>9.9999999974897905E-2</v>
      </c>
      <c r="K26" s="25">
        <f t="shared" si="27"/>
        <v>-2.40000000007967</v>
      </c>
      <c r="L26" s="26">
        <f t="shared" si="28"/>
        <v>4.9999999987449001E-2</v>
      </c>
      <c r="M26" s="6">
        <v>4.4920999999999998</v>
      </c>
      <c r="N26" s="35">
        <f t="shared" si="2"/>
        <v>795.95690000000002</v>
      </c>
      <c r="O26" s="24">
        <f t="shared" si="29"/>
        <v>0.10000000008858501</v>
      </c>
      <c r="P26" s="25">
        <f t="shared" si="30"/>
        <v>-3.1999999999925399</v>
      </c>
      <c r="Q26" s="26">
        <f t="shared" si="31"/>
        <v>5.0000000044292399E-2</v>
      </c>
      <c r="R26" s="41"/>
      <c r="S26" s="21">
        <f t="shared" si="3"/>
        <v>44647</v>
      </c>
      <c r="T26" s="42">
        <v>7.9463999999999997</v>
      </c>
      <c r="U26" s="43">
        <f t="shared" si="32"/>
        <v>0.19999999999953399</v>
      </c>
      <c r="V26" s="44">
        <f t="shared" si="33"/>
        <v>-1.50000000000006</v>
      </c>
      <c r="W26" s="45">
        <f t="shared" si="34"/>
        <v>-9.99999999997669E-2</v>
      </c>
      <c r="X26" s="29">
        <v>11.9567</v>
      </c>
      <c r="Y26" s="43">
        <f t="shared" si="35"/>
        <v>-9.99999999997669E-2</v>
      </c>
      <c r="Z26" s="44">
        <f t="shared" si="36"/>
        <v>-2.2999999999999701</v>
      </c>
      <c r="AA26" s="45">
        <f t="shared" si="37"/>
        <v>-4.9999999999883499E-2</v>
      </c>
      <c r="AB26" s="49">
        <v>8.4093999999999998</v>
      </c>
      <c r="AC26" s="43">
        <f t="shared" si="38"/>
        <v>9.99999999997669E-2</v>
      </c>
      <c r="AD26" s="44">
        <f t="shared" si="39"/>
        <v>-2.3999999999997401</v>
      </c>
      <c r="AE26" s="45">
        <f t="shared" si="40"/>
        <v>4.9999999999883499E-2</v>
      </c>
      <c r="AF26" s="50">
        <v>79559</v>
      </c>
      <c r="AG26" s="58">
        <f t="shared" si="22"/>
        <v>126</v>
      </c>
      <c r="AH26" s="61"/>
      <c r="AI26" s="52"/>
      <c r="AJ26" s="52"/>
      <c r="AK26" s="52"/>
      <c r="AL26" s="52"/>
      <c r="AM26" s="52"/>
    </row>
    <row r="27" spans="1:48">
      <c r="A27" s="21"/>
      <c r="B27" s="22"/>
      <c r="C27" s="27"/>
      <c r="D27" s="23"/>
      <c r="E27" s="65">
        <f>F26-F22</f>
        <v>-0.90000000000145497</v>
      </c>
      <c r="F27" s="33">
        <f>K26-K22</f>
        <v>-0.60000000007676102</v>
      </c>
      <c r="G27" s="33">
        <f>P26-P22</f>
        <v>-0.29999999992469401</v>
      </c>
      <c r="H27" s="33">
        <f>F26</f>
        <v>-4.5000000000072804</v>
      </c>
      <c r="I27" s="66">
        <f>K26</f>
        <v>-2.40000000007967</v>
      </c>
      <c r="J27" s="65">
        <f>P26</f>
        <v>-3.1999999999925399</v>
      </c>
      <c r="K27" s="33">
        <f>(K26-K22)/8</f>
        <v>-7.5000000009595197E-2</v>
      </c>
      <c r="L27" s="26"/>
      <c r="N27" s="35"/>
      <c r="O27" s="24"/>
      <c r="P27" s="25"/>
      <c r="Q27" s="26"/>
      <c r="R27" s="41"/>
      <c r="S27" s="21"/>
      <c r="T27" s="42"/>
      <c r="U27" s="65">
        <f>V26-V22</f>
        <v>-0.100000000000655</v>
      </c>
      <c r="V27" s="33">
        <f>Z26-Z22</f>
        <v>-0.89999999999967895</v>
      </c>
      <c r="W27" s="33">
        <f>AD26-AD22</f>
        <v>-0.60000000000037801</v>
      </c>
      <c r="X27" s="33">
        <f>V26</f>
        <v>-1.50000000000006</v>
      </c>
      <c r="Y27" s="65">
        <f>Z26</f>
        <v>-2.2999999999999701</v>
      </c>
      <c r="Z27" s="33">
        <f>AD26</f>
        <v>-2.3999999999997401</v>
      </c>
      <c r="AA27" s="33">
        <f>(Z26-Z22)/8</f>
        <v>-0.11249999999995999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2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Q29" workbookViewId="0">
      <selection activeCell="U23" sqref="U23:AA2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44630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44630</v>
      </c>
      <c r="B6" s="22">
        <v>791.46479999999997</v>
      </c>
      <c r="C6" s="27">
        <v>5.6166</v>
      </c>
      <c r="D6" s="23">
        <f t="shared" ref="D6:D16" si="0">C6+B6</f>
        <v>797.08140000000003</v>
      </c>
      <c r="E6" s="24">
        <v>0</v>
      </c>
      <c r="F6" s="25">
        <v>0</v>
      </c>
      <c r="G6" s="26">
        <v>0</v>
      </c>
      <c r="H6" s="6">
        <v>6.6806000000000001</v>
      </c>
      <c r="I6" s="35">
        <f t="shared" ref="I6:I16" si="1">H6+B6</f>
        <v>798.1454</v>
      </c>
      <c r="J6" s="24">
        <v>0</v>
      </c>
      <c r="K6" s="25">
        <v>0</v>
      </c>
      <c r="L6" s="26">
        <v>0</v>
      </c>
      <c r="M6" s="6">
        <v>6.1535000000000002</v>
      </c>
      <c r="N6" s="35">
        <f t="shared" ref="N6:N16" si="2">M6+B6</f>
        <v>797.61829999999998</v>
      </c>
      <c r="O6" s="24">
        <v>0</v>
      </c>
      <c r="P6" s="25">
        <v>0</v>
      </c>
      <c r="Q6" s="26">
        <v>0</v>
      </c>
      <c r="R6" s="41"/>
      <c r="S6" s="21">
        <f t="shared" ref="S6:S16" si="3">A6</f>
        <v>44630</v>
      </c>
      <c r="T6" s="42">
        <v>8.8127999999999993</v>
      </c>
      <c r="U6" s="43">
        <v>0</v>
      </c>
      <c r="V6" s="44">
        <v>0</v>
      </c>
      <c r="W6" s="45">
        <f>U6/(S6-S11)</f>
        <v>0</v>
      </c>
      <c r="X6" s="29">
        <v>11.986700000000001</v>
      </c>
      <c r="Y6" s="43">
        <v>0</v>
      </c>
      <c r="Z6" s="44">
        <v>0</v>
      </c>
      <c r="AA6" s="45">
        <v>0</v>
      </c>
      <c r="AB6" s="49">
        <v>9.1280999999999999</v>
      </c>
      <c r="AC6" s="43">
        <v>0</v>
      </c>
      <c r="AD6" s="44">
        <v>0</v>
      </c>
      <c r="AE6" s="45">
        <v>0</v>
      </c>
      <c r="AF6" s="50">
        <v>79471</v>
      </c>
      <c r="AG6" s="58">
        <f>AF6-79466</f>
        <v>5</v>
      </c>
      <c r="AH6" s="59"/>
      <c r="AI6" s="60"/>
      <c r="AJ6" s="61"/>
      <c r="AK6" s="62"/>
      <c r="AL6" s="52"/>
      <c r="AM6" s="52"/>
    </row>
    <row r="7" spans="1:48">
      <c r="A7" s="21">
        <v>44631</v>
      </c>
      <c r="B7" s="22">
        <v>791.46479999999997</v>
      </c>
      <c r="C7" s="27">
        <v>5.6166999999999998</v>
      </c>
      <c r="D7" s="23">
        <f t="shared" si="0"/>
        <v>797.08150000000001</v>
      </c>
      <c r="E7" s="24">
        <f t="shared" ref="E7:E16" si="4">(D7-D6)*1000</f>
        <v>0.10000000008858501</v>
      </c>
      <c r="F7" s="25">
        <f t="shared" ref="F7:F16" si="5">F6+E7</f>
        <v>0.10000000008858501</v>
      </c>
      <c r="G7" s="26">
        <f t="shared" ref="G7:G16" si="6">E7/(A7-A6)</f>
        <v>0.10000000008858501</v>
      </c>
      <c r="H7" s="6">
        <v>6.6803999999999997</v>
      </c>
      <c r="I7" s="35">
        <f t="shared" si="1"/>
        <v>798.14520000000005</v>
      </c>
      <c r="J7" s="24">
        <f t="shared" ref="J7:J16" si="7">(I7-I6)*1000</f>
        <v>-0.20000000006348301</v>
      </c>
      <c r="K7" s="25">
        <f t="shared" ref="K7:K16" si="8">K6+J7</f>
        <v>-0.20000000006348301</v>
      </c>
      <c r="L7" s="26">
        <f t="shared" ref="L7:L16" si="9">J7/(A7-A6)</f>
        <v>-0.20000000006348301</v>
      </c>
      <c r="M7" s="6">
        <v>6.1532</v>
      </c>
      <c r="N7" s="35">
        <f t="shared" si="2"/>
        <v>797.61800000000005</v>
      </c>
      <c r="O7" s="24">
        <f t="shared" ref="O7:O16" si="10">(N7-N6)*1000</f>
        <v>-0.30000000003838101</v>
      </c>
      <c r="P7" s="25">
        <f t="shared" ref="P7:P16" si="11">P6+O7</f>
        <v>-0.30000000003838101</v>
      </c>
      <c r="Q7" s="26">
        <f t="shared" ref="Q7:Q16" si="12">O7/(A7-A6)</f>
        <v>-0.30000000003838101</v>
      </c>
      <c r="R7" s="41"/>
      <c r="S7" s="21">
        <f t="shared" si="3"/>
        <v>44631</v>
      </c>
      <c r="T7" s="42">
        <v>8.8125999999999998</v>
      </c>
      <c r="U7" s="43">
        <f t="shared" ref="U7:U16" si="13">(T7-T6)*1000</f>
        <v>-0.19999999999953399</v>
      </c>
      <c r="V7" s="44">
        <f t="shared" ref="V7:V16" si="14">V6+U7</f>
        <v>-0.19999999999953399</v>
      </c>
      <c r="W7" s="45">
        <f t="shared" ref="W7:W16" si="15">U7/(S6-S7)</f>
        <v>0.19999999999953399</v>
      </c>
      <c r="X7" s="29">
        <v>11.986499999999999</v>
      </c>
      <c r="Y7" s="43">
        <f t="shared" ref="Y7:Y16" si="16">(X7-X6)*1000</f>
        <v>-0.20000000000130999</v>
      </c>
      <c r="Z7" s="44">
        <f t="shared" ref="Z7:Z16" si="17">Z6+Y7</f>
        <v>-0.20000000000130999</v>
      </c>
      <c r="AA7" s="45">
        <f t="shared" ref="AA7:AA16" si="18">Y7/(S7-S6)</f>
        <v>-0.20000000000130999</v>
      </c>
      <c r="AB7" s="49">
        <v>9.1280000000000001</v>
      </c>
      <c r="AC7" s="43">
        <f t="shared" ref="AC7:AC16" si="19">(AB7-AB6)*1000</f>
        <v>-9.99999999997669E-2</v>
      </c>
      <c r="AD7" s="44">
        <f t="shared" ref="AD7:AD16" si="20">AD6+AC7</f>
        <v>-9.99999999997669E-2</v>
      </c>
      <c r="AE7" s="45">
        <f t="shared" ref="AE7:AE16" si="21">AC7/(S7-S6)</f>
        <v>-9.99999999997669E-2</v>
      </c>
      <c r="AF7" s="50">
        <v>79477</v>
      </c>
      <c r="AG7" s="58">
        <f t="shared" ref="AG7:AG16" si="22">AF7-79466</f>
        <v>11</v>
      </c>
      <c r="AH7" s="59"/>
      <c r="AI7" s="60"/>
      <c r="AJ7" s="61"/>
      <c r="AK7" s="62"/>
      <c r="AL7" s="52"/>
      <c r="AM7" s="52"/>
    </row>
    <row r="8" spans="1:48">
      <c r="A8" s="21">
        <v>44632</v>
      </c>
      <c r="B8" s="22">
        <v>791.46479999999997</v>
      </c>
      <c r="C8" s="27">
        <v>5.6162000000000001</v>
      </c>
      <c r="D8" s="23">
        <f t="shared" si="0"/>
        <v>797.08100000000002</v>
      </c>
      <c r="E8" s="24">
        <f t="shared" si="4"/>
        <v>-0.49999999998817701</v>
      </c>
      <c r="F8" s="25">
        <f t="shared" si="5"/>
        <v>-0.39999999989959201</v>
      </c>
      <c r="G8" s="26">
        <f t="shared" si="6"/>
        <v>-0.49999999998817701</v>
      </c>
      <c r="H8" s="6">
        <v>6.6802999999999999</v>
      </c>
      <c r="I8" s="35">
        <f t="shared" si="1"/>
        <v>798.14509999999996</v>
      </c>
      <c r="J8" s="24">
        <f t="shared" si="7"/>
        <v>-9.9999999974897905E-2</v>
      </c>
      <c r="K8" s="25">
        <f t="shared" si="8"/>
        <v>-0.30000000003838101</v>
      </c>
      <c r="L8" s="26">
        <f t="shared" si="9"/>
        <v>-9.9999999974897905E-2</v>
      </c>
      <c r="M8" s="6">
        <v>6.1529999999999996</v>
      </c>
      <c r="N8" s="35">
        <f t="shared" si="2"/>
        <v>797.61779999999999</v>
      </c>
      <c r="O8" s="24">
        <f t="shared" si="10"/>
        <v>-0.199999999949796</v>
      </c>
      <c r="P8" s="25">
        <f t="shared" si="11"/>
        <v>-0.49999999998817701</v>
      </c>
      <c r="Q8" s="26">
        <f t="shared" si="12"/>
        <v>-0.199999999949796</v>
      </c>
      <c r="R8" s="41"/>
      <c r="S8" s="21">
        <f t="shared" si="3"/>
        <v>44632</v>
      </c>
      <c r="T8" s="42">
        <v>8.8126999999999995</v>
      </c>
      <c r="U8" s="43">
        <f t="shared" si="13"/>
        <v>9.99999999997669E-2</v>
      </c>
      <c r="V8" s="44">
        <f t="shared" si="14"/>
        <v>-9.99999999997669E-2</v>
      </c>
      <c r="W8" s="45">
        <f t="shared" si="15"/>
        <v>-9.99999999997669E-2</v>
      </c>
      <c r="X8" s="29">
        <v>11.9864</v>
      </c>
      <c r="Y8" s="43">
        <f t="shared" si="16"/>
        <v>-9.99999999997669E-2</v>
      </c>
      <c r="Z8" s="44">
        <f t="shared" si="17"/>
        <v>-0.30000000000107702</v>
      </c>
      <c r="AA8" s="45">
        <f t="shared" si="18"/>
        <v>-9.99999999997669E-2</v>
      </c>
      <c r="AB8" s="49">
        <v>9.1285000000000007</v>
      </c>
      <c r="AC8" s="43">
        <f t="shared" si="19"/>
        <v>0.50000000000061096</v>
      </c>
      <c r="AD8" s="44">
        <f t="shared" si="20"/>
        <v>0.40000000000084401</v>
      </c>
      <c r="AE8" s="45">
        <f t="shared" si="21"/>
        <v>0.50000000000061096</v>
      </c>
      <c r="AF8" s="50">
        <v>79483</v>
      </c>
      <c r="AG8" s="58">
        <f t="shared" si="22"/>
        <v>17</v>
      </c>
      <c r="AH8" s="59"/>
      <c r="AI8" s="60"/>
      <c r="AJ8" s="61"/>
      <c r="AK8" s="62"/>
      <c r="AL8" s="52"/>
      <c r="AM8" s="52"/>
    </row>
    <row r="9" spans="1:48">
      <c r="A9" s="21">
        <v>44633</v>
      </c>
      <c r="B9" s="22">
        <v>791.46479999999997</v>
      </c>
      <c r="C9" s="27">
        <v>5.6159999999999997</v>
      </c>
      <c r="D9" s="23">
        <f t="shared" si="0"/>
        <v>797.08079999999995</v>
      </c>
      <c r="E9" s="24">
        <f t="shared" si="4"/>
        <v>-0.20000000006348301</v>
      </c>
      <c r="F9" s="25">
        <f t="shared" si="5"/>
        <v>-0.59999999996307496</v>
      </c>
      <c r="G9" s="26">
        <f t="shared" si="6"/>
        <v>-0.20000000006348301</v>
      </c>
      <c r="H9" s="6">
        <v>6.68</v>
      </c>
      <c r="I9" s="35">
        <f t="shared" si="1"/>
        <v>798.14480000000003</v>
      </c>
      <c r="J9" s="24">
        <f t="shared" si="7"/>
        <v>-0.30000000003838101</v>
      </c>
      <c r="K9" s="25">
        <f t="shared" si="8"/>
        <v>-0.60000000007676102</v>
      </c>
      <c r="L9" s="26">
        <f t="shared" si="9"/>
        <v>-0.30000000003838101</v>
      </c>
      <c r="M9" s="6">
        <v>6.1531000000000002</v>
      </c>
      <c r="N9" s="35">
        <f t="shared" si="2"/>
        <v>797.61789999999996</v>
      </c>
      <c r="O9" s="24">
        <f t="shared" si="10"/>
        <v>9.9999999974897905E-2</v>
      </c>
      <c r="P9" s="25">
        <f t="shared" si="11"/>
        <v>-0.40000000001327901</v>
      </c>
      <c r="Q9" s="26">
        <f t="shared" si="12"/>
        <v>9.9999999974897905E-2</v>
      </c>
      <c r="R9" s="41"/>
      <c r="S9" s="21">
        <f t="shared" si="3"/>
        <v>44633</v>
      </c>
      <c r="T9" s="42">
        <v>8.8122000000000007</v>
      </c>
      <c r="U9" s="43">
        <f t="shared" si="13"/>
        <v>-0.49999999999883499</v>
      </c>
      <c r="V9" s="44">
        <f t="shared" si="14"/>
        <v>-0.59999999999860198</v>
      </c>
      <c r="W9" s="45">
        <f t="shared" si="15"/>
        <v>0.49999999999883499</v>
      </c>
      <c r="X9" s="29">
        <v>11.9863</v>
      </c>
      <c r="Y9" s="43">
        <f t="shared" si="16"/>
        <v>-9.99999999997669E-2</v>
      </c>
      <c r="Z9" s="44">
        <f t="shared" si="17"/>
        <v>-0.40000000000084401</v>
      </c>
      <c r="AA9" s="45">
        <f t="shared" si="18"/>
        <v>-9.99999999997669E-2</v>
      </c>
      <c r="AB9" s="49">
        <v>9.1279000000000003</v>
      </c>
      <c r="AC9" s="43">
        <f t="shared" si="19"/>
        <v>-0.60000000000037801</v>
      </c>
      <c r="AD9" s="44">
        <f t="shared" si="20"/>
        <v>-0.19999999999953399</v>
      </c>
      <c r="AE9" s="45">
        <f t="shared" si="21"/>
        <v>-0.60000000000037801</v>
      </c>
      <c r="AF9" s="50">
        <v>79489</v>
      </c>
      <c r="AG9" s="58">
        <f t="shared" si="22"/>
        <v>23</v>
      </c>
      <c r="AH9" s="59"/>
      <c r="AI9" s="60"/>
      <c r="AJ9" s="61"/>
      <c r="AK9" s="62"/>
      <c r="AL9" s="52"/>
      <c r="AM9" s="52"/>
    </row>
    <row r="10" spans="1:48">
      <c r="A10" s="21">
        <v>44634</v>
      </c>
      <c r="B10" s="22">
        <v>791.46479999999997</v>
      </c>
      <c r="C10" s="27">
        <v>5.6158000000000001</v>
      </c>
      <c r="D10" s="23">
        <f t="shared" si="0"/>
        <v>797.0806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6.6801000000000004</v>
      </c>
      <c r="I10" s="35">
        <f t="shared" si="1"/>
        <v>798.14490000000001</v>
      </c>
      <c r="J10" s="24">
        <f t="shared" si="7"/>
        <v>0.10000000008858501</v>
      </c>
      <c r="K10" s="25">
        <f t="shared" si="8"/>
        <v>-0.49999999998817701</v>
      </c>
      <c r="L10" s="26">
        <f t="shared" si="9"/>
        <v>0.10000000008858501</v>
      </c>
      <c r="M10" s="6">
        <v>6.1528999999999998</v>
      </c>
      <c r="N10" s="35">
        <f t="shared" si="2"/>
        <v>797.61770000000001</v>
      </c>
      <c r="O10" s="24">
        <f t="shared" si="10"/>
        <v>-0.199999999949796</v>
      </c>
      <c r="P10" s="25">
        <f t="shared" si="11"/>
        <v>-0.59999999996307496</v>
      </c>
      <c r="Q10" s="26">
        <f t="shared" si="12"/>
        <v>-0.199999999949796</v>
      </c>
      <c r="R10" s="41"/>
      <c r="S10" s="21">
        <f t="shared" si="3"/>
        <v>44634</v>
      </c>
      <c r="T10" s="42">
        <v>8.8119999999999994</v>
      </c>
      <c r="U10" s="43">
        <f t="shared" si="13"/>
        <v>-0.20000000000130999</v>
      </c>
      <c r="V10" s="44">
        <f t="shared" si="14"/>
        <v>-0.799999999999912</v>
      </c>
      <c r="W10" s="45">
        <f t="shared" si="15"/>
        <v>0.20000000000130999</v>
      </c>
      <c r="X10" s="29">
        <v>11.986000000000001</v>
      </c>
      <c r="Y10" s="43">
        <f t="shared" si="16"/>
        <v>-0.29999999999930099</v>
      </c>
      <c r="Z10" s="44">
        <f t="shared" si="17"/>
        <v>-0.70000000000014495</v>
      </c>
      <c r="AA10" s="45">
        <f t="shared" si="18"/>
        <v>-0.29999999999930099</v>
      </c>
      <c r="AB10" s="49">
        <v>9.1277000000000008</v>
      </c>
      <c r="AC10" s="43">
        <f t="shared" si="19"/>
        <v>-0.19999999999953399</v>
      </c>
      <c r="AD10" s="44">
        <f t="shared" si="20"/>
        <v>-0.39999999999906799</v>
      </c>
      <c r="AE10" s="45">
        <f t="shared" si="21"/>
        <v>-0.19999999999953399</v>
      </c>
      <c r="AF10" s="50">
        <v>79495</v>
      </c>
      <c r="AG10" s="58">
        <f t="shared" si="22"/>
        <v>29</v>
      </c>
      <c r="AH10" s="59"/>
      <c r="AI10" s="60"/>
      <c r="AJ10" s="61"/>
      <c r="AK10" s="62"/>
      <c r="AL10" s="52"/>
      <c r="AM10" s="52"/>
    </row>
    <row r="11" spans="1:48">
      <c r="A11" s="21">
        <v>44635</v>
      </c>
      <c r="B11" s="22">
        <v>791.46479999999997</v>
      </c>
      <c r="C11" s="27">
        <v>5.6154000000000002</v>
      </c>
      <c r="D11" s="23">
        <f t="shared" si="0"/>
        <v>797.08019999999999</v>
      </c>
      <c r="E11" s="24">
        <f t="shared" si="4"/>
        <v>-0.40000000001327901</v>
      </c>
      <c r="F11" s="25">
        <f t="shared" si="5"/>
        <v>-1.1999999999261499</v>
      </c>
      <c r="G11" s="26">
        <f t="shared" si="6"/>
        <v>-0.40000000001327901</v>
      </c>
      <c r="H11" s="6">
        <v>6.6795999999999998</v>
      </c>
      <c r="I11" s="35">
        <f t="shared" si="1"/>
        <v>798.14440000000002</v>
      </c>
      <c r="J11" s="24">
        <f t="shared" si="7"/>
        <v>-0.49999999998817701</v>
      </c>
      <c r="K11" s="25">
        <f t="shared" si="8"/>
        <v>-0.99999999997635303</v>
      </c>
      <c r="L11" s="26">
        <f t="shared" si="9"/>
        <v>-0.49999999998817701</v>
      </c>
      <c r="M11" s="6">
        <v>6.1527000000000003</v>
      </c>
      <c r="N11" s="35">
        <f t="shared" si="2"/>
        <v>797.61749999999995</v>
      </c>
      <c r="O11" s="24">
        <f t="shared" si="10"/>
        <v>-0.20000000006348301</v>
      </c>
      <c r="P11" s="25">
        <f t="shared" si="11"/>
        <v>-0.80000000002655702</v>
      </c>
      <c r="Q11" s="26">
        <f t="shared" si="12"/>
        <v>-0.20000000006348301</v>
      </c>
      <c r="R11" s="41"/>
      <c r="S11" s="21">
        <f t="shared" si="3"/>
        <v>44635</v>
      </c>
      <c r="T11" s="42">
        <v>8.8120999999999992</v>
      </c>
      <c r="U11" s="43">
        <f t="shared" si="13"/>
        <v>9.99999999997669E-2</v>
      </c>
      <c r="V11" s="44">
        <f t="shared" si="14"/>
        <v>-0.70000000000014495</v>
      </c>
      <c r="W11" s="45">
        <f t="shared" si="15"/>
        <v>-9.99999999997669E-2</v>
      </c>
      <c r="X11" s="29">
        <v>11.9861</v>
      </c>
      <c r="Y11" s="43">
        <f t="shared" si="16"/>
        <v>9.99999999997669E-2</v>
      </c>
      <c r="Z11" s="44">
        <f t="shared" si="17"/>
        <v>-0.60000000000037801</v>
      </c>
      <c r="AA11" s="45">
        <f t="shared" si="18"/>
        <v>9.99999999997669E-2</v>
      </c>
      <c r="AB11" s="49">
        <v>9.1274999999999995</v>
      </c>
      <c r="AC11" s="43">
        <f t="shared" si="19"/>
        <v>-0.20000000000130999</v>
      </c>
      <c r="AD11" s="44">
        <f t="shared" si="20"/>
        <v>-0.60000000000037801</v>
      </c>
      <c r="AE11" s="45">
        <f t="shared" si="21"/>
        <v>-0.20000000000130999</v>
      </c>
      <c r="AF11" s="50">
        <v>79501</v>
      </c>
      <c r="AG11" s="58">
        <f t="shared" si="22"/>
        <v>35</v>
      </c>
      <c r="AH11" s="59"/>
      <c r="AI11" s="60"/>
      <c r="AJ11" s="52"/>
      <c r="AK11" s="52"/>
      <c r="AL11" s="52"/>
      <c r="AM11" s="52"/>
    </row>
    <row r="12" spans="1:48" s="67" customFormat="1">
      <c r="A12" s="21">
        <v>44636</v>
      </c>
      <c r="B12" s="22">
        <v>791.46479999999997</v>
      </c>
      <c r="C12" s="27">
        <v>5.6151999999999997</v>
      </c>
      <c r="D12" s="23">
        <f t="shared" si="0"/>
        <v>797.08</v>
      </c>
      <c r="E12" s="24">
        <f t="shared" si="4"/>
        <v>-0.20000000006348301</v>
      </c>
      <c r="F12" s="25">
        <f t="shared" si="5"/>
        <v>-1.39999999998963</v>
      </c>
      <c r="G12" s="26">
        <f t="shared" si="6"/>
        <v>-0.20000000006348301</v>
      </c>
      <c r="H12" s="6">
        <v>6.6794000000000002</v>
      </c>
      <c r="I12" s="35">
        <f t="shared" si="1"/>
        <v>798.14419999999996</v>
      </c>
      <c r="J12" s="24">
        <f t="shared" si="7"/>
        <v>-0.20000000006348301</v>
      </c>
      <c r="K12" s="25">
        <f t="shared" si="8"/>
        <v>-1.2000000000398401</v>
      </c>
      <c r="L12" s="26">
        <f t="shared" si="9"/>
        <v>-0.20000000006348301</v>
      </c>
      <c r="M12" s="6">
        <v>6.1528</v>
      </c>
      <c r="N12" s="35">
        <f t="shared" si="2"/>
        <v>797.61760000000004</v>
      </c>
      <c r="O12" s="24">
        <f t="shared" si="10"/>
        <v>9.9999999974897905E-2</v>
      </c>
      <c r="P12" s="25">
        <f t="shared" si="11"/>
        <v>-0.70000000005165897</v>
      </c>
      <c r="Q12" s="26">
        <f t="shared" si="12"/>
        <v>9.9999999974897905E-2</v>
      </c>
      <c r="R12" s="41"/>
      <c r="S12" s="21">
        <f t="shared" si="3"/>
        <v>44636</v>
      </c>
      <c r="T12" s="42">
        <v>8.8116000000000003</v>
      </c>
      <c r="U12" s="43">
        <f t="shared" si="13"/>
        <v>-0.49999999999883499</v>
      </c>
      <c r="V12" s="44">
        <f t="shared" si="14"/>
        <v>-1.1999999999989801</v>
      </c>
      <c r="W12" s="45">
        <f t="shared" si="15"/>
        <v>0.49999999999883499</v>
      </c>
      <c r="X12" s="29">
        <v>11.986000000000001</v>
      </c>
      <c r="Y12" s="43">
        <f t="shared" si="16"/>
        <v>-9.99999999997669E-2</v>
      </c>
      <c r="Z12" s="44">
        <f t="shared" si="17"/>
        <v>-0.70000000000014495</v>
      </c>
      <c r="AA12" s="45">
        <f t="shared" si="18"/>
        <v>-9.99999999997669E-2</v>
      </c>
      <c r="AB12" s="49">
        <v>9.1273999999999997</v>
      </c>
      <c r="AC12" s="43">
        <f t="shared" si="19"/>
        <v>-9.99999999997669E-2</v>
      </c>
      <c r="AD12" s="44">
        <f t="shared" si="20"/>
        <v>-0.70000000000014495</v>
      </c>
      <c r="AE12" s="45">
        <f t="shared" si="21"/>
        <v>-9.99999999997669E-2</v>
      </c>
      <c r="AF12" s="50">
        <v>79507</v>
      </c>
      <c r="AG12" s="58">
        <f t="shared" si="22"/>
        <v>41</v>
      </c>
      <c r="AH12" s="61"/>
      <c r="AI12" s="60"/>
    </row>
    <row r="13" spans="1:48">
      <c r="A13" s="21">
        <v>44637</v>
      </c>
      <c r="B13" s="22">
        <v>791.46479999999997</v>
      </c>
      <c r="C13" s="27">
        <v>5.6150000000000002</v>
      </c>
      <c r="D13" s="23">
        <f t="shared" si="0"/>
        <v>797.07979999999998</v>
      </c>
      <c r="E13" s="24">
        <f t="shared" si="4"/>
        <v>-0.199999999949796</v>
      </c>
      <c r="F13" s="25">
        <f t="shared" si="5"/>
        <v>-1.5999999999394301</v>
      </c>
      <c r="G13" s="26">
        <f t="shared" si="6"/>
        <v>-0.199999999949796</v>
      </c>
      <c r="H13" s="6">
        <v>6.6795</v>
      </c>
      <c r="I13" s="35">
        <f t="shared" si="1"/>
        <v>798.14430000000004</v>
      </c>
      <c r="J13" s="24">
        <f t="shared" si="7"/>
        <v>9.9999999974897905E-2</v>
      </c>
      <c r="K13" s="25">
        <f t="shared" si="8"/>
        <v>-1.1000000000649399</v>
      </c>
      <c r="L13" s="26">
        <f t="shared" si="9"/>
        <v>9.9999999974897905E-2</v>
      </c>
      <c r="M13" s="6">
        <v>6.1523000000000003</v>
      </c>
      <c r="N13" s="35">
        <f t="shared" si="2"/>
        <v>797.61710000000005</v>
      </c>
      <c r="O13" s="24">
        <f t="shared" si="10"/>
        <v>-0.49999999998817701</v>
      </c>
      <c r="P13" s="25">
        <f t="shared" si="11"/>
        <v>-1.2000000000398401</v>
      </c>
      <c r="Q13" s="26">
        <f t="shared" si="12"/>
        <v>-0.49999999998817701</v>
      </c>
      <c r="R13" s="41"/>
      <c r="S13" s="21">
        <f t="shared" si="3"/>
        <v>44637</v>
      </c>
      <c r="T13" s="42">
        <v>8.8114000000000008</v>
      </c>
      <c r="U13" s="43">
        <f t="shared" si="13"/>
        <v>-0.19999999999953399</v>
      </c>
      <c r="V13" s="44">
        <f t="shared" si="14"/>
        <v>-1.39999999999851</v>
      </c>
      <c r="W13" s="45">
        <f t="shared" si="15"/>
        <v>0.19999999999953399</v>
      </c>
      <c r="X13" s="29">
        <v>11.985799999999999</v>
      </c>
      <c r="Y13" s="43">
        <f t="shared" si="16"/>
        <v>-0.20000000000130999</v>
      </c>
      <c r="Z13" s="44">
        <f t="shared" si="17"/>
        <v>-0.90000000000145497</v>
      </c>
      <c r="AA13" s="45">
        <f t="shared" si="18"/>
        <v>-0.20000000000130999</v>
      </c>
      <c r="AB13" s="49">
        <v>9.1271000000000004</v>
      </c>
      <c r="AC13" s="43">
        <f t="shared" si="19"/>
        <v>-0.29999999999930099</v>
      </c>
      <c r="AD13" s="44">
        <f t="shared" si="20"/>
        <v>-0.999999999999446</v>
      </c>
      <c r="AE13" s="45">
        <f t="shared" si="21"/>
        <v>-0.29999999999930099</v>
      </c>
      <c r="AF13" s="50">
        <v>79514</v>
      </c>
      <c r="AG13" s="58">
        <f t="shared" si="22"/>
        <v>48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44638</v>
      </c>
      <c r="B14" s="22">
        <v>791.46479999999997</v>
      </c>
      <c r="C14" s="27">
        <v>5.6148999999999996</v>
      </c>
      <c r="D14" s="23">
        <f t="shared" si="0"/>
        <v>797.0797</v>
      </c>
      <c r="E14" s="24">
        <f t="shared" si="4"/>
        <v>-9.9999999974897905E-2</v>
      </c>
      <c r="F14" s="25">
        <f t="shared" si="5"/>
        <v>-1.69999999991433</v>
      </c>
      <c r="G14" s="26">
        <f t="shared" si="6"/>
        <v>-9.9999999974897905E-2</v>
      </c>
      <c r="H14" s="6">
        <v>6.6790000000000003</v>
      </c>
      <c r="I14" s="35">
        <f t="shared" si="1"/>
        <v>798.14380000000006</v>
      </c>
      <c r="J14" s="24">
        <f t="shared" si="7"/>
        <v>-0.49999999998817701</v>
      </c>
      <c r="K14" s="25">
        <f t="shared" si="8"/>
        <v>-1.60000000005311</v>
      </c>
      <c r="L14" s="26">
        <f t="shared" si="9"/>
        <v>-0.49999999998817701</v>
      </c>
      <c r="M14" s="6">
        <v>6.1520999999999999</v>
      </c>
      <c r="N14" s="35">
        <f t="shared" si="2"/>
        <v>797.61689999999999</v>
      </c>
      <c r="O14" s="24">
        <f t="shared" si="10"/>
        <v>-0.199999999949796</v>
      </c>
      <c r="P14" s="25">
        <f t="shared" si="11"/>
        <v>-1.39999999998963</v>
      </c>
      <c r="Q14" s="26">
        <f t="shared" si="12"/>
        <v>-0.199999999949796</v>
      </c>
      <c r="R14" s="41"/>
      <c r="S14" s="21">
        <f t="shared" si="3"/>
        <v>44638</v>
      </c>
      <c r="T14" s="42">
        <v>8.8110999999999997</v>
      </c>
      <c r="U14" s="43">
        <f t="shared" si="13"/>
        <v>-0.30000000000107702</v>
      </c>
      <c r="V14" s="44">
        <f t="shared" si="14"/>
        <v>-1.6999999999995901</v>
      </c>
      <c r="W14" s="45">
        <f t="shared" si="15"/>
        <v>0.30000000000107702</v>
      </c>
      <c r="X14" s="29">
        <v>11.985799999999999</v>
      </c>
      <c r="Y14" s="43">
        <f t="shared" si="16"/>
        <v>0</v>
      </c>
      <c r="Z14" s="44">
        <f t="shared" si="17"/>
        <v>-0.90000000000145497</v>
      </c>
      <c r="AA14" s="45">
        <f t="shared" si="18"/>
        <v>0</v>
      </c>
      <c r="AB14" s="49">
        <v>9.1268999999999991</v>
      </c>
      <c r="AC14" s="43">
        <f t="shared" si="19"/>
        <v>-0.20000000000130999</v>
      </c>
      <c r="AD14" s="44">
        <f t="shared" si="20"/>
        <v>-1.20000000000076</v>
      </c>
      <c r="AE14" s="45">
        <f t="shared" si="21"/>
        <v>-0.20000000000130999</v>
      </c>
      <c r="AF14" s="50">
        <v>79517</v>
      </c>
      <c r="AG14" s="58">
        <f t="shared" si="22"/>
        <v>51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44639</v>
      </c>
      <c r="B15" s="22">
        <v>791.46479999999997</v>
      </c>
      <c r="C15" s="27">
        <v>5.6147</v>
      </c>
      <c r="D15" s="23">
        <f t="shared" si="0"/>
        <v>797.07950000000005</v>
      </c>
      <c r="E15" s="24">
        <f t="shared" si="4"/>
        <v>-0.20000000006348301</v>
      </c>
      <c r="F15" s="25">
        <f t="shared" si="5"/>
        <v>-1.8999999999778101</v>
      </c>
      <c r="G15" s="26">
        <f t="shared" si="6"/>
        <v>-0.20000000006348301</v>
      </c>
      <c r="H15" s="6">
        <v>6.6787999999999998</v>
      </c>
      <c r="I15" s="35">
        <f t="shared" si="1"/>
        <v>798.14359999999999</v>
      </c>
      <c r="J15" s="24">
        <f t="shared" si="7"/>
        <v>-0.199999999949796</v>
      </c>
      <c r="K15" s="25">
        <f t="shared" si="8"/>
        <v>-1.8000000000029099</v>
      </c>
      <c r="L15" s="26">
        <f t="shared" si="9"/>
        <v>-0.199999999949796</v>
      </c>
      <c r="M15" s="6">
        <v>6.1520000000000001</v>
      </c>
      <c r="N15" s="35">
        <f t="shared" si="2"/>
        <v>797.61680000000001</v>
      </c>
      <c r="O15" s="24">
        <f t="shared" si="10"/>
        <v>-9.9999999974897905E-2</v>
      </c>
      <c r="P15" s="25">
        <f t="shared" si="11"/>
        <v>-1.4999999999645299</v>
      </c>
      <c r="Q15" s="26">
        <f t="shared" si="12"/>
        <v>-9.9999999974897905E-2</v>
      </c>
      <c r="R15" s="41"/>
      <c r="S15" s="21">
        <f t="shared" si="3"/>
        <v>44639</v>
      </c>
      <c r="T15" s="42">
        <v>8.8109999999999999</v>
      </c>
      <c r="U15" s="43">
        <f t="shared" si="13"/>
        <v>-9.99999999997669E-2</v>
      </c>
      <c r="V15" s="44">
        <f t="shared" si="14"/>
        <v>-1.7999999999993599</v>
      </c>
      <c r="W15" s="45">
        <f t="shared" si="15"/>
        <v>9.99999999997669E-2</v>
      </c>
      <c r="X15" s="29">
        <v>11.9857</v>
      </c>
      <c r="Y15" s="43">
        <f t="shared" si="16"/>
        <v>-9.99999999997669E-2</v>
      </c>
      <c r="Z15" s="44">
        <f t="shared" si="17"/>
        <v>-1.0000000000012199</v>
      </c>
      <c r="AA15" s="45">
        <f t="shared" si="18"/>
        <v>-9.99999999997669E-2</v>
      </c>
      <c r="AB15" s="49">
        <v>9.1270000000000007</v>
      </c>
      <c r="AC15" s="43">
        <f t="shared" si="19"/>
        <v>0.10000000000154299</v>
      </c>
      <c r="AD15" s="44">
        <f t="shared" si="20"/>
        <v>-1.0999999999992101</v>
      </c>
      <c r="AE15" s="45">
        <f t="shared" si="21"/>
        <v>0.10000000000154299</v>
      </c>
      <c r="AF15" s="50">
        <v>79520</v>
      </c>
      <c r="AG15" s="58">
        <f t="shared" si="22"/>
        <v>54</v>
      </c>
      <c r="AH15" s="61"/>
      <c r="AI15" s="60"/>
      <c r="AJ15"/>
      <c r="AK15"/>
      <c r="AL15"/>
      <c r="AM15"/>
    </row>
    <row r="16" spans="1:48">
      <c r="A16" s="21">
        <v>44640</v>
      </c>
      <c r="B16" s="22">
        <v>791.46479999999997</v>
      </c>
      <c r="C16" s="27">
        <v>5.6144999999999996</v>
      </c>
      <c r="D16" s="23">
        <f t="shared" si="0"/>
        <v>797.07929999999999</v>
      </c>
      <c r="E16" s="24">
        <f t="shared" si="4"/>
        <v>-0.199999999949796</v>
      </c>
      <c r="F16" s="25">
        <f t="shared" si="5"/>
        <v>-2.0999999999275998</v>
      </c>
      <c r="G16" s="26">
        <f t="shared" si="6"/>
        <v>-0.199999999949796</v>
      </c>
      <c r="H16" s="6">
        <v>6.6786000000000003</v>
      </c>
      <c r="I16" s="35">
        <f t="shared" si="1"/>
        <v>798.14340000000004</v>
      </c>
      <c r="J16" s="24">
        <f t="shared" si="7"/>
        <v>-0.20000000006348301</v>
      </c>
      <c r="K16" s="25">
        <f t="shared" si="8"/>
        <v>-2.00000000006639</v>
      </c>
      <c r="L16" s="26">
        <f t="shared" si="9"/>
        <v>-0.20000000006348301</v>
      </c>
      <c r="M16" s="6">
        <v>6.1516999999999999</v>
      </c>
      <c r="N16" s="35">
        <f t="shared" si="2"/>
        <v>797.61649999999997</v>
      </c>
      <c r="O16" s="24">
        <f t="shared" si="10"/>
        <v>-0.30000000003838101</v>
      </c>
      <c r="P16" s="25">
        <f t="shared" si="11"/>
        <v>-1.8000000000029099</v>
      </c>
      <c r="Q16" s="26">
        <f t="shared" si="12"/>
        <v>-0.30000000003838101</v>
      </c>
      <c r="R16" s="41"/>
      <c r="S16" s="21">
        <f t="shared" si="3"/>
        <v>44640</v>
      </c>
      <c r="T16" s="42">
        <v>8.8108000000000004</v>
      </c>
      <c r="U16" s="43">
        <f t="shared" si="13"/>
        <v>-0.19999999999953399</v>
      </c>
      <c r="V16" s="44">
        <f t="shared" si="14"/>
        <v>-1.99999999999889</v>
      </c>
      <c r="W16" s="45">
        <f t="shared" si="15"/>
        <v>0.19999999999953399</v>
      </c>
      <c r="X16" s="29">
        <v>11.9855</v>
      </c>
      <c r="Y16" s="43">
        <f t="shared" si="16"/>
        <v>-0.19999999999953399</v>
      </c>
      <c r="Z16" s="44">
        <f t="shared" si="17"/>
        <v>-1.20000000000076</v>
      </c>
      <c r="AA16" s="45">
        <f t="shared" si="18"/>
        <v>-0.19999999999953399</v>
      </c>
      <c r="AB16" s="49">
        <v>9.1267999999999994</v>
      </c>
      <c r="AC16" s="43">
        <f t="shared" si="19"/>
        <v>-0.20000000000130999</v>
      </c>
      <c r="AD16" s="44">
        <f t="shared" si="20"/>
        <v>-1.3000000000005201</v>
      </c>
      <c r="AE16" s="45">
        <f t="shared" si="21"/>
        <v>-0.20000000000130999</v>
      </c>
      <c r="AF16" s="50">
        <v>79524</v>
      </c>
      <c r="AG16" s="58">
        <f t="shared" si="22"/>
        <v>58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44641</v>
      </c>
      <c r="B17" s="22">
        <v>791.46479999999997</v>
      </c>
      <c r="C17" s="27">
        <v>5.6146000000000003</v>
      </c>
      <c r="D17" s="23">
        <f t="shared" ref="D17:D22" si="23">C17+B17</f>
        <v>797.07939999999996</v>
      </c>
      <c r="E17" s="24">
        <f t="shared" ref="E17:E22" si="24">(D17-D16)*1000</f>
        <v>9.9999999974897905E-2</v>
      </c>
      <c r="F17" s="25">
        <f t="shared" ref="F17:F22" si="25">F16+E17</f>
        <v>-1.9999999999527101</v>
      </c>
      <c r="G17" s="26">
        <f t="shared" ref="G17:G22" si="26">E17/(A17-A16)</f>
        <v>9.9999999974897905E-2</v>
      </c>
      <c r="H17" s="6">
        <v>6.6783999999999999</v>
      </c>
      <c r="I17" s="35">
        <f t="shared" ref="I17:I22" si="27">H17+B17</f>
        <v>798.14319999999998</v>
      </c>
      <c r="J17" s="24">
        <f t="shared" ref="J17:J22" si="28">(I17-I16)*1000</f>
        <v>-0.199999999949796</v>
      </c>
      <c r="K17" s="25">
        <f t="shared" ref="K17:K22" si="29">K16+J17</f>
        <v>-2.2000000000161899</v>
      </c>
      <c r="L17" s="26">
        <f t="shared" ref="L17:L22" si="30">J17/(A17-A16)</f>
        <v>-0.199999999949796</v>
      </c>
      <c r="M17" s="6">
        <v>6.1513999999999998</v>
      </c>
      <c r="N17" s="35">
        <f t="shared" ref="N17:N22" si="31">M17+B17</f>
        <v>797.61620000000005</v>
      </c>
      <c r="O17" s="24">
        <f t="shared" ref="O17:O22" si="32">(N17-N16)*1000</f>
        <v>-0.30000000003838101</v>
      </c>
      <c r="P17" s="25">
        <f t="shared" ref="P17:P22" si="33">P16+O17</f>
        <v>-2.1000000000412902</v>
      </c>
      <c r="Q17" s="26">
        <f t="shared" ref="Q17:Q22" si="34">O17/(A17-A16)</f>
        <v>-0.30000000003838101</v>
      </c>
      <c r="R17" s="41"/>
      <c r="S17" s="21">
        <f t="shared" ref="S17:S22" si="35">A17</f>
        <v>44641</v>
      </c>
      <c r="T17" s="42">
        <v>8.8106000000000009</v>
      </c>
      <c r="U17" s="43">
        <f t="shared" ref="U17:U22" si="36">(T17-T16)*1000</f>
        <v>-0.19999999999953399</v>
      </c>
      <c r="V17" s="44">
        <f t="shared" ref="V17:V22" si="37">V16+U17</f>
        <v>-2.1999999999984299</v>
      </c>
      <c r="W17" s="45">
        <f t="shared" ref="W17:W22" si="38">U17/(S16-S17)</f>
        <v>0.19999999999953399</v>
      </c>
      <c r="X17" s="29">
        <v>11.9856</v>
      </c>
      <c r="Y17" s="43">
        <f t="shared" ref="Y17:Y22" si="39">(X17-X16)*1000</f>
        <v>9.99999999997669E-2</v>
      </c>
      <c r="Z17" s="44">
        <f t="shared" ref="Z17:Z22" si="40">Z16+Y17</f>
        <v>-1.10000000000099</v>
      </c>
      <c r="AA17" s="45">
        <f t="shared" ref="AA17:AA22" si="41">Y17/(S17-S16)</f>
        <v>9.99999999997669E-2</v>
      </c>
      <c r="AB17" s="49">
        <v>9.1265999999999998</v>
      </c>
      <c r="AC17" s="43">
        <f t="shared" ref="AC17:AC22" si="42">(AB17-AB16)*1000</f>
        <v>-0.19999999999953399</v>
      </c>
      <c r="AD17" s="44">
        <f t="shared" ref="AD17:AD22" si="43">AD16+AC17</f>
        <v>-1.50000000000006</v>
      </c>
      <c r="AE17" s="45">
        <f t="shared" ref="AE17:AE22" si="44">AC17/(S17-S16)</f>
        <v>-0.19999999999953399</v>
      </c>
      <c r="AF17" s="50">
        <v>79528</v>
      </c>
      <c r="AG17" s="58">
        <f t="shared" ref="AG17:AG22" si="45">AF17-79466</f>
        <v>62</v>
      </c>
      <c r="AH17" s="61"/>
      <c r="AI17" s="60"/>
      <c r="AJ17"/>
      <c r="AK17"/>
      <c r="AL17"/>
      <c r="AM17"/>
    </row>
    <row r="18" spans="1:48">
      <c r="A18" s="21">
        <v>44642</v>
      </c>
      <c r="B18" s="22">
        <v>791.46479999999997</v>
      </c>
      <c r="C18" s="27">
        <v>5.6142000000000003</v>
      </c>
      <c r="D18" s="23">
        <f t="shared" si="23"/>
        <v>797.07899999999995</v>
      </c>
      <c r="E18" s="24">
        <f t="shared" si="24"/>
        <v>-0.40000000001327901</v>
      </c>
      <c r="F18" s="25">
        <f t="shared" si="25"/>
        <v>-2.39999999996598</v>
      </c>
      <c r="G18" s="26">
        <f t="shared" si="26"/>
        <v>-0.40000000001327901</v>
      </c>
      <c r="H18" s="6">
        <v>6.6787000000000001</v>
      </c>
      <c r="I18" s="35">
        <f t="shared" si="27"/>
        <v>798.14350000000002</v>
      </c>
      <c r="J18" s="24">
        <f t="shared" si="28"/>
        <v>0.30000000003838101</v>
      </c>
      <c r="K18" s="25">
        <f t="shared" si="29"/>
        <v>-1.8999999999778101</v>
      </c>
      <c r="L18" s="26">
        <f t="shared" si="30"/>
        <v>0.30000000003838101</v>
      </c>
      <c r="M18" s="6">
        <v>6.1515000000000004</v>
      </c>
      <c r="N18" s="35">
        <f t="shared" si="31"/>
        <v>797.61630000000002</v>
      </c>
      <c r="O18" s="24">
        <f t="shared" si="32"/>
        <v>0.10000000008858501</v>
      </c>
      <c r="P18" s="25">
        <f t="shared" si="33"/>
        <v>-1.9999999999527101</v>
      </c>
      <c r="Q18" s="26">
        <f t="shared" si="34"/>
        <v>0.10000000008858501</v>
      </c>
      <c r="R18" s="41"/>
      <c r="S18" s="21">
        <f t="shared" si="35"/>
        <v>44642</v>
      </c>
      <c r="T18" s="42">
        <v>8.8103999999999996</v>
      </c>
      <c r="U18" s="43">
        <f t="shared" si="36"/>
        <v>-0.20000000000130999</v>
      </c>
      <c r="V18" s="44">
        <f t="shared" si="37"/>
        <v>-2.3999999999997401</v>
      </c>
      <c r="W18" s="45">
        <f t="shared" si="38"/>
        <v>0.20000000000130999</v>
      </c>
      <c r="X18" s="29">
        <v>11.985099999999999</v>
      </c>
      <c r="Y18" s="43">
        <f t="shared" si="39"/>
        <v>-0.50000000000061096</v>
      </c>
      <c r="Z18" s="44">
        <f t="shared" si="40"/>
        <v>-1.6000000000015999</v>
      </c>
      <c r="AA18" s="45">
        <f t="shared" si="41"/>
        <v>-0.50000000000061096</v>
      </c>
      <c r="AB18" s="49">
        <v>9.1265000000000001</v>
      </c>
      <c r="AC18" s="43">
        <f t="shared" si="42"/>
        <v>-9.99999999997669E-2</v>
      </c>
      <c r="AD18" s="44">
        <f t="shared" si="43"/>
        <v>-1.59999999999982</v>
      </c>
      <c r="AE18" s="45">
        <f t="shared" si="44"/>
        <v>-9.99999999997669E-2</v>
      </c>
      <c r="AF18" s="50">
        <v>79532</v>
      </c>
      <c r="AG18" s="58">
        <f t="shared" si="45"/>
        <v>66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44643</v>
      </c>
      <c r="B19" s="22">
        <v>791.46479999999997</v>
      </c>
      <c r="C19" s="27">
        <v>5.6139000000000001</v>
      </c>
      <c r="D19" s="23">
        <f t="shared" si="23"/>
        <v>797.07870000000003</v>
      </c>
      <c r="E19" s="24">
        <f t="shared" si="24"/>
        <v>-0.30000000003838101</v>
      </c>
      <c r="F19" s="25">
        <f t="shared" si="25"/>
        <v>-2.70000000000437</v>
      </c>
      <c r="G19" s="26">
        <f t="shared" si="26"/>
        <v>-0.30000000003838101</v>
      </c>
      <c r="H19" s="6">
        <v>6.6779999999999999</v>
      </c>
      <c r="I19" s="35">
        <f t="shared" si="27"/>
        <v>798.14279999999997</v>
      </c>
      <c r="J19" s="24">
        <f t="shared" si="28"/>
        <v>-0.70000000005165897</v>
      </c>
      <c r="K19" s="25">
        <f t="shared" si="29"/>
        <v>-2.6000000000294698</v>
      </c>
      <c r="L19" s="26">
        <f t="shared" si="30"/>
        <v>-0.70000000005165897</v>
      </c>
      <c r="M19" s="6">
        <v>6.1508000000000003</v>
      </c>
      <c r="N19" s="35">
        <f t="shared" si="31"/>
        <v>797.61559999999997</v>
      </c>
      <c r="O19" s="24">
        <f t="shared" si="32"/>
        <v>-0.70000000005165897</v>
      </c>
      <c r="P19" s="25">
        <f t="shared" si="33"/>
        <v>-2.70000000000437</v>
      </c>
      <c r="Q19" s="26">
        <f t="shared" si="34"/>
        <v>-0.70000000005165897</v>
      </c>
      <c r="R19" s="41"/>
      <c r="S19" s="21">
        <f t="shared" si="35"/>
        <v>44643</v>
      </c>
      <c r="T19" s="42">
        <v>8.8104999999999993</v>
      </c>
      <c r="U19" s="43">
        <f t="shared" si="36"/>
        <v>9.99999999997669E-2</v>
      </c>
      <c r="V19" s="44">
        <f t="shared" si="37"/>
        <v>-2.2999999999999701</v>
      </c>
      <c r="W19" s="45">
        <f t="shared" si="38"/>
        <v>-9.99999999997669E-2</v>
      </c>
      <c r="X19" s="29">
        <v>11.985200000000001</v>
      </c>
      <c r="Y19" s="43">
        <f t="shared" si="39"/>
        <v>0.10000000000154299</v>
      </c>
      <c r="Z19" s="44">
        <f t="shared" si="40"/>
        <v>-1.50000000000006</v>
      </c>
      <c r="AA19" s="45">
        <f t="shared" si="41"/>
        <v>0.10000000000154299</v>
      </c>
      <c r="AB19" s="49">
        <v>9.1262000000000008</v>
      </c>
      <c r="AC19" s="43">
        <f t="shared" si="42"/>
        <v>-0.29999999999930099</v>
      </c>
      <c r="AD19" s="44">
        <f t="shared" si="43"/>
        <v>-1.8999999999991199</v>
      </c>
      <c r="AE19" s="45">
        <f t="shared" si="44"/>
        <v>-0.29999999999930099</v>
      </c>
      <c r="AF19" s="50">
        <v>79536</v>
      </c>
      <c r="AG19" s="58">
        <f t="shared" si="45"/>
        <v>70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44644</v>
      </c>
      <c r="B20" s="22">
        <v>791.46479999999997</v>
      </c>
      <c r="C20" s="27">
        <v>5.6136999999999997</v>
      </c>
      <c r="D20" s="23">
        <f t="shared" si="23"/>
        <v>797.07849999999996</v>
      </c>
      <c r="E20" s="24">
        <f t="shared" si="24"/>
        <v>-0.199999999949796</v>
      </c>
      <c r="F20" s="25">
        <f t="shared" si="25"/>
        <v>-2.8999999999541601</v>
      </c>
      <c r="G20" s="26">
        <f t="shared" si="26"/>
        <v>-0.199999999949796</v>
      </c>
      <c r="H20" s="6">
        <v>6.6778000000000004</v>
      </c>
      <c r="I20" s="35">
        <f t="shared" si="27"/>
        <v>798.14260000000002</v>
      </c>
      <c r="J20" s="24">
        <f t="shared" si="28"/>
        <v>-0.199999999949796</v>
      </c>
      <c r="K20" s="25">
        <f t="shared" si="29"/>
        <v>-2.79999999997926</v>
      </c>
      <c r="L20" s="26">
        <f t="shared" si="30"/>
        <v>-0.199999999949796</v>
      </c>
      <c r="M20" s="6">
        <v>6.1505000000000001</v>
      </c>
      <c r="N20" s="35">
        <f t="shared" si="31"/>
        <v>797.61530000000005</v>
      </c>
      <c r="O20" s="24">
        <f t="shared" si="32"/>
        <v>-0.30000000003838101</v>
      </c>
      <c r="P20" s="25">
        <f t="shared" si="33"/>
        <v>-3.0000000000427498</v>
      </c>
      <c r="Q20" s="26">
        <f t="shared" si="34"/>
        <v>-0.30000000003838101</v>
      </c>
      <c r="R20" s="41"/>
      <c r="S20" s="21">
        <f t="shared" si="35"/>
        <v>44644</v>
      </c>
      <c r="T20" s="42">
        <v>8.81</v>
      </c>
      <c r="U20" s="43">
        <f t="shared" si="36"/>
        <v>-0.49999999999883499</v>
      </c>
      <c r="V20" s="44">
        <f t="shared" si="37"/>
        <v>-2.7999999999987999</v>
      </c>
      <c r="W20" s="45">
        <f t="shared" si="38"/>
        <v>0.49999999999883499</v>
      </c>
      <c r="X20" s="29">
        <v>11.9847</v>
      </c>
      <c r="Y20" s="43">
        <f t="shared" si="39"/>
        <v>-0.50000000000061096</v>
      </c>
      <c r="Z20" s="44">
        <f t="shared" si="40"/>
        <v>-2.0000000000006701</v>
      </c>
      <c r="AA20" s="45">
        <f t="shared" si="41"/>
        <v>-0.50000000000061096</v>
      </c>
      <c r="AB20" s="49">
        <v>9.1259999999999906</v>
      </c>
      <c r="AC20" s="43">
        <f t="shared" si="42"/>
        <v>-0.200000000010192</v>
      </c>
      <c r="AD20" s="44">
        <f t="shared" si="43"/>
        <v>-2.1000000000093202</v>
      </c>
      <c r="AE20" s="45">
        <f t="shared" si="44"/>
        <v>-0.200000000010192</v>
      </c>
      <c r="AF20" s="50">
        <v>79540</v>
      </c>
      <c r="AG20" s="58">
        <f t="shared" si="45"/>
        <v>74</v>
      </c>
      <c r="AH20" s="59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44646</v>
      </c>
      <c r="B21" s="22">
        <v>791.46479999999997</v>
      </c>
      <c r="C21" s="27">
        <v>5.6135000000000002</v>
      </c>
      <c r="D21" s="23">
        <f t="shared" si="23"/>
        <v>797.07830000000001</v>
      </c>
      <c r="E21" s="24">
        <f t="shared" si="24"/>
        <v>-0.199999999949796</v>
      </c>
      <c r="F21" s="25">
        <f t="shared" si="25"/>
        <v>-3.09999999990396</v>
      </c>
      <c r="G21" s="26">
        <f t="shared" si="26"/>
        <v>-9.9999999974897905E-2</v>
      </c>
      <c r="H21" s="6">
        <v>6.6779000000000002</v>
      </c>
      <c r="I21" s="35">
        <f t="shared" si="27"/>
        <v>798.14269999999999</v>
      </c>
      <c r="J21" s="24">
        <f t="shared" si="28"/>
        <v>9.9999999974897905E-2</v>
      </c>
      <c r="K21" s="25">
        <f t="shared" si="29"/>
        <v>-2.70000000000437</v>
      </c>
      <c r="L21" s="26">
        <f t="shared" si="30"/>
        <v>4.9999999987449001E-2</v>
      </c>
      <c r="M21" s="6">
        <v>6.1504000000000003</v>
      </c>
      <c r="N21" s="35">
        <f t="shared" si="31"/>
        <v>797.61519999999996</v>
      </c>
      <c r="O21" s="24">
        <f t="shared" si="32"/>
        <v>-9.9999999974897905E-2</v>
      </c>
      <c r="P21" s="25">
        <f t="shared" si="33"/>
        <v>-3.1000000000176402</v>
      </c>
      <c r="Q21" s="26">
        <f t="shared" si="34"/>
        <v>-4.9999999987449001E-2</v>
      </c>
      <c r="R21" s="41"/>
      <c r="S21" s="21">
        <f t="shared" si="35"/>
        <v>44646</v>
      </c>
      <c r="T21" s="42">
        <v>8.8097999999999992</v>
      </c>
      <c r="U21" s="43">
        <f t="shared" si="36"/>
        <v>-0.20000000000130999</v>
      </c>
      <c r="V21" s="44">
        <f t="shared" si="37"/>
        <v>-3.0000000000001101</v>
      </c>
      <c r="W21" s="45">
        <f t="shared" si="38"/>
        <v>0.100000000000655</v>
      </c>
      <c r="X21" s="29">
        <v>11.9847</v>
      </c>
      <c r="Y21" s="43">
        <f t="shared" si="39"/>
        <v>0</v>
      </c>
      <c r="Z21" s="44">
        <f t="shared" si="40"/>
        <v>-2.0000000000006701</v>
      </c>
      <c r="AA21" s="45">
        <f t="shared" si="41"/>
        <v>0</v>
      </c>
      <c r="AB21" s="49">
        <v>9.1260999999999992</v>
      </c>
      <c r="AC21" s="43">
        <f t="shared" si="42"/>
        <v>0.100000000008649</v>
      </c>
      <c r="AD21" s="44">
        <f t="shared" si="43"/>
        <v>-2.0000000000006701</v>
      </c>
      <c r="AE21" s="45">
        <f t="shared" si="44"/>
        <v>5.0000000004324398E-2</v>
      </c>
      <c r="AF21" s="50">
        <v>79544</v>
      </c>
      <c r="AG21" s="58">
        <f t="shared" si="45"/>
        <v>78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44648</v>
      </c>
      <c r="B22" s="22">
        <v>791.46479999999997</v>
      </c>
      <c r="C22" s="27">
        <v>5.6135999999999999</v>
      </c>
      <c r="D22" s="23">
        <f t="shared" si="23"/>
        <v>797.07839999999999</v>
      </c>
      <c r="E22" s="24">
        <f t="shared" si="24"/>
        <v>9.9999999974897905E-2</v>
      </c>
      <c r="F22" s="25">
        <f t="shared" si="25"/>
        <v>-2.9999999999290599</v>
      </c>
      <c r="G22" s="26">
        <f t="shared" si="26"/>
        <v>4.9999999987449001E-2</v>
      </c>
      <c r="H22" s="6">
        <v>6.6773999999999996</v>
      </c>
      <c r="I22" s="35">
        <f t="shared" si="27"/>
        <v>798.1422</v>
      </c>
      <c r="J22" s="24">
        <f t="shared" si="28"/>
        <v>-0.49999999998817701</v>
      </c>
      <c r="K22" s="25">
        <f t="shared" si="29"/>
        <v>-3.1999999999925399</v>
      </c>
      <c r="L22" s="26">
        <f t="shared" si="30"/>
        <v>-0.24999999999408801</v>
      </c>
      <c r="M22" s="6">
        <v>6.1501999999999999</v>
      </c>
      <c r="N22" s="35">
        <f t="shared" si="31"/>
        <v>797.61500000000001</v>
      </c>
      <c r="O22" s="24">
        <f t="shared" si="32"/>
        <v>-0.199999999949796</v>
      </c>
      <c r="P22" s="25">
        <f t="shared" si="33"/>
        <v>-3.2999999999674401</v>
      </c>
      <c r="Q22" s="26">
        <f t="shared" si="34"/>
        <v>-9.9999999974897905E-2</v>
      </c>
      <c r="R22" s="41"/>
      <c r="S22" s="21">
        <f t="shared" si="35"/>
        <v>44648</v>
      </c>
      <c r="T22" s="42">
        <v>8.8099000000000007</v>
      </c>
      <c r="U22" s="43">
        <f t="shared" si="36"/>
        <v>0.10000000000154299</v>
      </c>
      <c r="V22" s="44">
        <f t="shared" si="37"/>
        <v>-2.8999999999985699</v>
      </c>
      <c r="W22" s="45">
        <f t="shared" si="38"/>
        <v>-5.0000000000771601E-2</v>
      </c>
      <c r="X22" s="29">
        <v>11.9848</v>
      </c>
      <c r="Y22" s="43">
        <f t="shared" si="39"/>
        <v>9.99999999997669E-2</v>
      </c>
      <c r="Z22" s="44">
        <f t="shared" si="40"/>
        <v>-1.9000000000009001</v>
      </c>
      <c r="AA22" s="45">
        <f t="shared" si="41"/>
        <v>4.9999999999883499E-2</v>
      </c>
      <c r="AB22" s="49">
        <v>9.1259999999999994</v>
      </c>
      <c r="AC22" s="43">
        <f t="shared" si="42"/>
        <v>-9.99999999997669E-2</v>
      </c>
      <c r="AD22" s="44">
        <f t="shared" si="43"/>
        <v>-2.10000000000043</v>
      </c>
      <c r="AE22" s="45">
        <f t="shared" si="44"/>
        <v>-4.9999999999883499E-2</v>
      </c>
      <c r="AF22" s="50">
        <v>79548</v>
      </c>
      <c r="AG22" s="58">
        <f t="shared" si="45"/>
        <v>82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/>
      <c r="B23" s="22"/>
      <c r="C23" s="27"/>
      <c r="D23" s="23"/>
      <c r="E23" s="65">
        <f>F22-F16</f>
        <v>-0.90000000000145497</v>
      </c>
      <c r="F23" s="33">
        <f>K22-K16</f>
        <v>-1.1999999999261499</v>
      </c>
      <c r="G23" s="33">
        <f>P22-P16</f>
        <v>-1.4999999999645299</v>
      </c>
      <c r="H23" s="33">
        <f>F22</f>
        <v>-2.9999999999290599</v>
      </c>
      <c r="I23" s="66">
        <f>K22</f>
        <v>-3.1999999999925399</v>
      </c>
      <c r="J23" s="65">
        <f>P22</f>
        <v>-3.2999999999674401</v>
      </c>
      <c r="K23" s="33">
        <f>(K22-K16)/8</f>
        <v>-0.14999999999076899</v>
      </c>
      <c r="L23" s="26"/>
      <c r="N23" s="35"/>
      <c r="O23" s="24"/>
      <c r="P23" s="25"/>
      <c r="Q23" s="26"/>
      <c r="R23" s="41"/>
      <c r="S23" s="21"/>
      <c r="T23" s="42"/>
      <c r="U23" s="65">
        <f>V22-V16</f>
        <v>-0.89999999999967895</v>
      </c>
      <c r="V23" s="33">
        <f>Z22-Z16</f>
        <v>-0.70000000000014495</v>
      </c>
      <c r="W23" s="33">
        <f>AD22-AD16</f>
        <v>-0.799999999999912</v>
      </c>
      <c r="X23" s="33">
        <f>V22</f>
        <v>-2.8999999999985699</v>
      </c>
      <c r="Y23" s="65">
        <f>Z22</f>
        <v>-1.9000000000009001</v>
      </c>
      <c r="Z23" s="33">
        <f>AD22</f>
        <v>-2.10000000000043</v>
      </c>
      <c r="AA23" s="33">
        <f>(Z22-Z16)/8</f>
        <v>-8.7500000000018105E-2</v>
      </c>
      <c r="AB23" s="49"/>
      <c r="AC23" s="43"/>
      <c r="AD23" s="44"/>
      <c r="AE23" s="45"/>
      <c r="AF23" s="50"/>
      <c r="AG23" s="58"/>
      <c r="AH23" s="61"/>
      <c r="AI23" s="60"/>
      <c r="AJ23"/>
      <c r="AK23"/>
      <c r="AL23"/>
      <c r="AM23"/>
    </row>
    <row r="24" spans="1:48">
      <c r="A24" s="21"/>
      <c r="B24" s="22"/>
      <c r="C24" s="27"/>
      <c r="D24" s="23"/>
      <c r="E24" s="24"/>
      <c r="F24" s="25"/>
      <c r="G24" s="26"/>
      <c r="I24" s="35"/>
      <c r="J24" s="24"/>
      <c r="K24" s="25"/>
      <c r="L24" s="26"/>
      <c r="N24" s="35"/>
      <c r="O24" s="24"/>
      <c r="P24" s="25"/>
      <c r="Q24" s="26"/>
      <c r="R24" s="41"/>
      <c r="S24" s="21"/>
      <c r="T24" s="42"/>
      <c r="U24" s="43"/>
      <c r="V24" s="44"/>
      <c r="W24" s="45"/>
      <c r="X24" s="29"/>
      <c r="Y24" s="43"/>
      <c r="Z24" s="44"/>
      <c r="AA24" s="45"/>
      <c r="AB24" s="42"/>
      <c r="AC24" s="43"/>
      <c r="AD24" s="44"/>
      <c r="AE24" s="45"/>
      <c r="AF24" s="50"/>
      <c r="AG24" s="58"/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24"/>
      <c r="F25" s="25"/>
      <c r="G25" s="26"/>
      <c r="I25" s="35"/>
      <c r="J25" s="24"/>
      <c r="K25" s="25"/>
      <c r="L25" s="26"/>
      <c r="N25" s="35"/>
      <c r="O25" s="24"/>
      <c r="P25" s="25"/>
      <c r="Q25" s="26"/>
      <c r="R25" s="41"/>
      <c r="S25" s="21"/>
      <c r="T25" s="42"/>
      <c r="U25" s="43"/>
      <c r="V25" s="44"/>
      <c r="W25" s="45"/>
      <c r="X25" s="29"/>
      <c r="Y25" s="43"/>
      <c r="Z25" s="44"/>
      <c r="AA25" s="45"/>
      <c r="AB25" s="42"/>
      <c r="AC25" s="43"/>
      <c r="AD25" s="44"/>
      <c r="AE25" s="45"/>
      <c r="AF25" s="50"/>
      <c r="AG25" s="58"/>
      <c r="AH25" s="61"/>
      <c r="AI25" s="52"/>
      <c r="AJ25" s="52"/>
      <c r="AK25" s="52"/>
      <c r="AL25" s="52"/>
      <c r="AM25" s="52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2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P25" workbookViewId="0">
      <selection activeCell="U24" sqref="U24:AA24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44635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44635</v>
      </c>
      <c r="B6" s="22">
        <v>791.46479999999997</v>
      </c>
      <c r="C6" s="27">
        <v>5.7240000000000002</v>
      </c>
      <c r="D6" s="23">
        <f t="shared" ref="D6:D11" si="0">C6+B6</f>
        <v>797.18880000000001</v>
      </c>
      <c r="E6" s="24">
        <v>0</v>
      </c>
      <c r="F6" s="25">
        <v>0</v>
      </c>
      <c r="G6" s="26">
        <v>0</v>
      </c>
      <c r="H6" s="6">
        <v>6.8532000000000002</v>
      </c>
      <c r="I6" s="35">
        <f t="shared" ref="I6:I11" si="1">H6+B6</f>
        <v>798.31799999999998</v>
      </c>
      <c r="J6" s="24">
        <v>0</v>
      </c>
      <c r="K6" s="25">
        <v>0</v>
      </c>
      <c r="L6" s="26">
        <v>0</v>
      </c>
      <c r="M6" s="6">
        <v>5.7598000000000003</v>
      </c>
      <c r="N6" s="35">
        <f t="shared" ref="N6:N11" si="2">M6+B6</f>
        <v>797.22460000000001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44635</v>
      </c>
      <c r="T6" s="42">
        <v>8.5065000000000008</v>
      </c>
      <c r="U6" s="43">
        <v>0</v>
      </c>
      <c r="V6" s="44">
        <v>0</v>
      </c>
      <c r="W6" s="45">
        <f>U6/(S6-S11)</f>
        <v>0</v>
      </c>
      <c r="X6" s="29">
        <v>11.839</v>
      </c>
      <c r="Y6" s="43">
        <v>0</v>
      </c>
      <c r="Z6" s="44">
        <v>0</v>
      </c>
      <c r="AA6" s="45">
        <v>0</v>
      </c>
      <c r="AB6" s="49">
        <v>9.2721999999999998</v>
      </c>
      <c r="AC6" s="43">
        <v>0</v>
      </c>
      <c r="AD6" s="44">
        <v>0</v>
      </c>
      <c r="AE6" s="45">
        <v>0</v>
      </c>
      <c r="AF6" s="50">
        <v>79504</v>
      </c>
      <c r="AG6" s="58">
        <f t="shared" ref="AG6:AG11" si="4">AF6-79500</f>
        <v>4</v>
      </c>
      <c r="AH6" s="59"/>
      <c r="AI6" s="60"/>
      <c r="AJ6" s="61"/>
      <c r="AK6" s="62"/>
      <c r="AL6" s="52"/>
      <c r="AM6" s="52"/>
    </row>
    <row r="7" spans="1:48">
      <c r="A7" s="21">
        <v>44636</v>
      </c>
      <c r="B7" s="22">
        <v>791.46479999999997</v>
      </c>
      <c r="C7" s="27">
        <v>5.7241999999999997</v>
      </c>
      <c r="D7" s="23">
        <f t="shared" si="0"/>
        <v>797.18899999999996</v>
      </c>
      <c r="E7" s="24">
        <f t="shared" ref="E7:E11" si="5">(D7-D6)*1000</f>
        <v>0.199999999949796</v>
      </c>
      <c r="F7" s="25">
        <f t="shared" ref="F7:F11" si="6">F6+E7</f>
        <v>0.199999999949796</v>
      </c>
      <c r="G7" s="26">
        <f t="shared" ref="G7:G11" si="7">E7/(A7-A6)</f>
        <v>0.199999999949796</v>
      </c>
      <c r="H7" s="6">
        <v>6.8525999999999998</v>
      </c>
      <c r="I7" s="35">
        <f t="shared" si="1"/>
        <v>798.31740000000002</v>
      </c>
      <c r="J7" s="24">
        <f t="shared" ref="J7:J11" si="8">(I7-I6)*1000</f>
        <v>-0.59999999996307496</v>
      </c>
      <c r="K7" s="25">
        <f t="shared" ref="K7:K11" si="9">K6+J7</f>
        <v>-0.59999999996307496</v>
      </c>
      <c r="L7" s="26">
        <f t="shared" ref="L7:L11" si="10">J7/(A7-A6)</f>
        <v>-0.59999999996307496</v>
      </c>
      <c r="M7" s="6">
        <v>5.7595000000000001</v>
      </c>
      <c r="N7" s="35">
        <f t="shared" si="2"/>
        <v>797.22429999999997</v>
      </c>
      <c r="O7" s="24">
        <f t="shared" ref="O7:O11" si="11">(N7-N6)*1000</f>
        <v>-0.30000000003838101</v>
      </c>
      <c r="P7" s="25">
        <f t="shared" ref="P7:P11" si="12">P6+O7</f>
        <v>-0.30000000003838101</v>
      </c>
      <c r="Q7" s="26">
        <f t="shared" ref="Q7:Q11" si="13">O7/(A7-A6)</f>
        <v>-0.30000000003838101</v>
      </c>
      <c r="R7" s="41"/>
      <c r="S7" s="21">
        <f t="shared" si="3"/>
        <v>44636</v>
      </c>
      <c r="T7" s="42">
        <v>8.5061999999999998</v>
      </c>
      <c r="U7" s="43">
        <f t="shared" ref="U7:U11" si="14">(T7-T6)*1000</f>
        <v>-0.30000000000107702</v>
      </c>
      <c r="V7" s="44">
        <f t="shared" ref="V7:V11" si="15">V6+U7</f>
        <v>-0.30000000000107702</v>
      </c>
      <c r="W7" s="45">
        <f t="shared" ref="W7:W11" si="16">U7/(S6-S7)</f>
        <v>0.30000000000107702</v>
      </c>
      <c r="X7" s="29">
        <v>11.8392</v>
      </c>
      <c r="Y7" s="43">
        <f t="shared" ref="Y7:Y11" si="17">(X7-X6)*1000</f>
        <v>0.19999999999953399</v>
      </c>
      <c r="Z7" s="44">
        <f t="shared" ref="Z7:Z11" si="18">Z6+Y7</f>
        <v>0.19999999999953399</v>
      </c>
      <c r="AA7" s="45">
        <f t="shared" ref="AA7:AA11" si="19">Y7/(S7-S6)</f>
        <v>0.19999999999953399</v>
      </c>
      <c r="AB7" s="49">
        <v>9.2720000000000002</v>
      </c>
      <c r="AC7" s="43">
        <f t="shared" ref="AC7:AC11" si="20">(AB7-AB6)*1000</f>
        <v>-0.19999999999953399</v>
      </c>
      <c r="AD7" s="44">
        <f t="shared" ref="AD7:AD11" si="21">AD6+AC7</f>
        <v>-0.19999999999953399</v>
      </c>
      <c r="AE7" s="45">
        <f t="shared" ref="AE7:AE11" si="22">AC7/(S7-S6)</f>
        <v>-0.19999999999953399</v>
      </c>
      <c r="AF7" s="50">
        <v>79507</v>
      </c>
      <c r="AG7" s="58">
        <f t="shared" si="4"/>
        <v>7</v>
      </c>
      <c r="AH7" s="59"/>
      <c r="AI7" s="60"/>
      <c r="AJ7" s="61"/>
      <c r="AK7" s="62"/>
      <c r="AL7" s="52"/>
      <c r="AM7" s="52"/>
    </row>
    <row r="8" spans="1:48">
      <c r="A8" s="21">
        <v>44637</v>
      </c>
      <c r="B8" s="22">
        <v>791.46479999999997</v>
      </c>
      <c r="C8" s="27">
        <v>5.7237999999999998</v>
      </c>
      <c r="D8" s="23">
        <f t="shared" si="0"/>
        <v>797.18859999999995</v>
      </c>
      <c r="E8" s="24">
        <f t="shared" si="5"/>
        <v>-0.40000000001327901</v>
      </c>
      <c r="F8" s="25">
        <f t="shared" si="6"/>
        <v>-0.20000000006348301</v>
      </c>
      <c r="G8" s="26">
        <f t="shared" si="7"/>
        <v>-0.40000000001327901</v>
      </c>
      <c r="H8" s="6">
        <v>6.8522999999999996</v>
      </c>
      <c r="I8" s="35">
        <f t="shared" si="1"/>
        <v>798.31709999999998</v>
      </c>
      <c r="J8" s="24">
        <f t="shared" si="8"/>
        <v>-0.30000000003838101</v>
      </c>
      <c r="K8" s="25">
        <f t="shared" si="9"/>
        <v>-0.90000000000145497</v>
      </c>
      <c r="L8" s="26">
        <f t="shared" si="10"/>
        <v>-0.30000000003838101</v>
      </c>
      <c r="M8" s="6">
        <v>5.7595000000000001</v>
      </c>
      <c r="N8" s="35">
        <f t="shared" si="2"/>
        <v>797.22429999999997</v>
      </c>
      <c r="O8" s="24">
        <f t="shared" si="11"/>
        <v>0</v>
      </c>
      <c r="P8" s="25">
        <f t="shared" si="12"/>
        <v>-0.30000000003838101</v>
      </c>
      <c r="Q8" s="26">
        <f t="shared" si="13"/>
        <v>0</v>
      </c>
      <c r="R8" s="41"/>
      <c r="S8" s="21">
        <f t="shared" si="3"/>
        <v>44637</v>
      </c>
      <c r="T8" s="42">
        <v>8.5062999999999995</v>
      </c>
      <c r="U8" s="43">
        <f t="shared" si="14"/>
        <v>9.99999999997669E-2</v>
      </c>
      <c r="V8" s="44">
        <f t="shared" si="15"/>
        <v>-0.20000000000130999</v>
      </c>
      <c r="W8" s="45">
        <f t="shared" si="16"/>
        <v>-9.99999999997669E-2</v>
      </c>
      <c r="X8" s="29">
        <v>11.8385</v>
      </c>
      <c r="Y8" s="43">
        <f t="shared" si="17"/>
        <v>-0.70000000000014495</v>
      </c>
      <c r="Z8" s="44">
        <f t="shared" si="18"/>
        <v>-0.50000000000061096</v>
      </c>
      <c r="AA8" s="45">
        <f t="shared" si="19"/>
        <v>-0.70000000000014495</v>
      </c>
      <c r="AB8" s="49">
        <v>9.2718000000000007</v>
      </c>
      <c r="AC8" s="43">
        <f t="shared" si="20"/>
        <v>-0.19999999999953399</v>
      </c>
      <c r="AD8" s="44">
        <f t="shared" si="21"/>
        <v>-0.39999999999906799</v>
      </c>
      <c r="AE8" s="45">
        <f t="shared" si="22"/>
        <v>-0.19999999999953399</v>
      </c>
      <c r="AF8" s="50">
        <v>79514</v>
      </c>
      <c r="AG8" s="58">
        <f t="shared" si="4"/>
        <v>14</v>
      </c>
      <c r="AH8" s="59"/>
      <c r="AI8" s="60"/>
      <c r="AJ8" s="61"/>
      <c r="AK8" s="62"/>
      <c r="AL8" s="52"/>
      <c r="AM8" s="52"/>
    </row>
    <row r="9" spans="1:48">
      <c r="A9" s="21">
        <v>44638</v>
      </c>
      <c r="B9" s="22">
        <v>791.46479999999997</v>
      </c>
      <c r="C9" s="27">
        <v>5.7236000000000002</v>
      </c>
      <c r="D9" s="23">
        <f t="shared" si="0"/>
        <v>797.1884</v>
      </c>
      <c r="E9" s="24">
        <f t="shared" si="5"/>
        <v>-0.199999999949796</v>
      </c>
      <c r="F9" s="25">
        <f t="shared" si="6"/>
        <v>-0.40000000001327901</v>
      </c>
      <c r="G9" s="26">
        <f t="shared" si="7"/>
        <v>-0.199999999949796</v>
      </c>
      <c r="H9" s="6">
        <v>6.8520000000000003</v>
      </c>
      <c r="I9" s="35">
        <f t="shared" si="1"/>
        <v>798.31679999999994</v>
      </c>
      <c r="J9" s="24">
        <f t="shared" si="8"/>
        <v>-0.30000000003838101</v>
      </c>
      <c r="K9" s="25">
        <f t="shared" si="9"/>
        <v>-1.2000000000398401</v>
      </c>
      <c r="L9" s="26">
        <f t="shared" si="10"/>
        <v>-0.30000000003838101</v>
      </c>
      <c r="M9" s="6">
        <v>5.7591999999999999</v>
      </c>
      <c r="N9" s="35">
        <f t="shared" si="2"/>
        <v>797.22400000000005</v>
      </c>
      <c r="O9" s="24">
        <f t="shared" si="11"/>
        <v>-0.30000000003838101</v>
      </c>
      <c r="P9" s="25">
        <f t="shared" si="12"/>
        <v>-0.60000000007676102</v>
      </c>
      <c r="Q9" s="26">
        <f t="shared" si="13"/>
        <v>-0.30000000003838101</v>
      </c>
      <c r="R9" s="41"/>
      <c r="S9" s="21">
        <f t="shared" si="3"/>
        <v>44638</v>
      </c>
      <c r="T9" s="42">
        <v>8.5058000000000007</v>
      </c>
      <c r="U9" s="43">
        <f t="shared" si="14"/>
        <v>-0.49999999999883499</v>
      </c>
      <c r="V9" s="44">
        <f t="shared" si="15"/>
        <v>-0.70000000000014495</v>
      </c>
      <c r="W9" s="45">
        <f t="shared" si="16"/>
        <v>0.49999999999883499</v>
      </c>
      <c r="X9" s="29">
        <v>11.838699999999999</v>
      </c>
      <c r="Y9" s="43">
        <f t="shared" si="17"/>
        <v>0.19999999999953399</v>
      </c>
      <c r="Z9" s="44">
        <f t="shared" si="18"/>
        <v>-0.30000000000107702</v>
      </c>
      <c r="AA9" s="45">
        <f t="shared" si="19"/>
        <v>0.19999999999953399</v>
      </c>
      <c r="AB9" s="49">
        <v>9.2713999999999999</v>
      </c>
      <c r="AC9" s="43">
        <f t="shared" si="20"/>
        <v>-0.40000000000084401</v>
      </c>
      <c r="AD9" s="44">
        <f t="shared" si="21"/>
        <v>-0.799999999999912</v>
      </c>
      <c r="AE9" s="45">
        <f t="shared" si="22"/>
        <v>-0.40000000000084401</v>
      </c>
      <c r="AF9" s="50">
        <v>79517</v>
      </c>
      <c r="AG9" s="58">
        <f t="shared" si="4"/>
        <v>17</v>
      </c>
      <c r="AH9" s="59"/>
      <c r="AI9" s="60"/>
      <c r="AJ9" s="61"/>
      <c r="AK9" s="62"/>
      <c r="AL9" s="52"/>
      <c r="AM9" s="52"/>
    </row>
    <row r="10" spans="1:48">
      <c r="A10" s="21">
        <v>44639</v>
      </c>
      <c r="B10" s="22">
        <v>791.46479999999997</v>
      </c>
      <c r="C10" s="27">
        <v>5.7233999999999998</v>
      </c>
      <c r="D10" s="23">
        <f t="shared" si="0"/>
        <v>797.18820000000005</v>
      </c>
      <c r="E10" s="24">
        <f t="shared" si="5"/>
        <v>-0.20000000006348301</v>
      </c>
      <c r="F10" s="25">
        <f t="shared" si="6"/>
        <v>-0.60000000007676102</v>
      </c>
      <c r="G10" s="26">
        <f t="shared" si="7"/>
        <v>-0.20000000006348301</v>
      </c>
      <c r="H10" s="6">
        <v>6.8517999999999999</v>
      </c>
      <c r="I10" s="35">
        <f t="shared" si="1"/>
        <v>798.31659999999999</v>
      </c>
      <c r="J10" s="24">
        <f t="shared" si="8"/>
        <v>-0.199999999949796</v>
      </c>
      <c r="K10" s="25">
        <f t="shared" si="9"/>
        <v>-1.39999999998963</v>
      </c>
      <c r="L10" s="26">
        <f t="shared" si="10"/>
        <v>-0.199999999949796</v>
      </c>
      <c r="M10" s="6">
        <v>5.7590000000000003</v>
      </c>
      <c r="N10" s="35">
        <f t="shared" si="2"/>
        <v>797.22379999999998</v>
      </c>
      <c r="O10" s="24">
        <f t="shared" si="11"/>
        <v>-0.199999999949796</v>
      </c>
      <c r="P10" s="25">
        <f t="shared" si="12"/>
        <v>-0.80000000002655702</v>
      </c>
      <c r="Q10" s="26">
        <f t="shared" si="13"/>
        <v>-0.199999999949796</v>
      </c>
      <c r="R10" s="41"/>
      <c r="S10" s="21">
        <f t="shared" si="3"/>
        <v>44639</v>
      </c>
      <c r="T10" s="42">
        <v>8.5052000000000003</v>
      </c>
      <c r="U10" s="43">
        <f t="shared" si="14"/>
        <v>-0.60000000000037801</v>
      </c>
      <c r="V10" s="44">
        <f t="shared" si="15"/>
        <v>-1.3000000000005201</v>
      </c>
      <c r="W10" s="45">
        <f t="shared" si="16"/>
        <v>0.60000000000037801</v>
      </c>
      <c r="X10" s="29">
        <v>11.8383</v>
      </c>
      <c r="Y10" s="43">
        <f t="shared" si="17"/>
        <v>-0.39999999999906799</v>
      </c>
      <c r="Z10" s="44">
        <f t="shared" si="18"/>
        <v>-0.70000000000014495</v>
      </c>
      <c r="AA10" s="45">
        <f t="shared" si="19"/>
        <v>-0.39999999999906799</v>
      </c>
      <c r="AB10" s="49">
        <v>9.2713000000000001</v>
      </c>
      <c r="AC10" s="43">
        <f t="shared" si="20"/>
        <v>-9.99999999997669E-2</v>
      </c>
      <c r="AD10" s="44">
        <f t="shared" si="21"/>
        <v>-0.89999999999967895</v>
      </c>
      <c r="AE10" s="45">
        <f t="shared" si="22"/>
        <v>-9.99999999997669E-2</v>
      </c>
      <c r="AF10" s="50">
        <v>79520</v>
      </c>
      <c r="AG10" s="58">
        <f t="shared" si="4"/>
        <v>20</v>
      </c>
      <c r="AH10" s="59"/>
      <c r="AI10" s="60"/>
      <c r="AJ10" s="61"/>
      <c r="AK10" s="62"/>
      <c r="AL10" s="52"/>
      <c r="AM10" s="52"/>
    </row>
    <row r="11" spans="1:48">
      <c r="A11" s="21">
        <v>44640</v>
      </c>
      <c r="B11" s="22">
        <v>791.46479999999997</v>
      </c>
      <c r="C11" s="27">
        <v>5.7230999999999996</v>
      </c>
      <c r="D11" s="23">
        <f t="shared" si="0"/>
        <v>797.18790000000001</v>
      </c>
      <c r="E11" s="24">
        <f t="shared" si="5"/>
        <v>-0.29999999992469401</v>
      </c>
      <c r="F11" s="25">
        <f t="shared" si="6"/>
        <v>-0.90000000000145497</v>
      </c>
      <c r="G11" s="26">
        <f t="shared" si="7"/>
        <v>-0.29999999992469401</v>
      </c>
      <c r="H11" s="6">
        <v>6.8518999999999997</v>
      </c>
      <c r="I11" s="35">
        <f t="shared" si="1"/>
        <v>798.31669999999997</v>
      </c>
      <c r="J11" s="24">
        <f t="shared" si="8"/>
        <v>9.9999999974897905E-2</v>
      </c>
      <c r="K11" s="25">
        <f t="shared" si="9"/>
        <v>-1.30000000001473</v>
      </c>
      <c r="L11" s="26">
        <f t="shared" si="10"/>
        <v>9.9999999974897905E-2</v>
      </c>
      <c r="M11" s="6">
        <v>5.7588999999999997</v>
      </c>
      <c r="N11" s="35">
        <f t="shared" si="2"/>
        <v>797.22370000000001</v>
      </c>
      <c r="O11" s="24">
        <f t="shared" si="11"/>
        <v>-9.9999999974897905E-2</v>
      </c>
      <c r="P11" s="25">
        <f t="shared" si="12"/>
        <v>-0.90000000000145497</v>
      </c>
      <c r="Q11" s="26">
        <f t="shared" si="13"/>
        <v>-9.9999999974897905E-2</v>
      </c>
      <c r="R11" s="41"/>
      <c r="S11" s="21">
        <f t="shared" si="3"/>
        <v>44640</v>
      </c>
      <c r="T11" s="42">
        <v>8.5053000000000001</v>
      </c>
      <c r="U11" s="43">
        <f t="shared" si="14"/>
        <v>9.99999999997669E-2</v>
      </c>
      <c r="V11" s="44">
        <f t="shared" si="15"/>
        <v>-1.20000000000076</v>
      </c>
      <c r="W11" s="45">
        <f t="shared" si="16"/>
        <v>-9.99999999997669E-2</v>
      </c>
      <c r="X11" s="29">
        <v>11.838100000000001</v>
      </c>
      <c r="Y11" s="43">
        <f t="shared" si="17"/>
        <v>-0.19999999999953399</v>
      </c>
      <c r="Z11" s="44">
        <f t="shared" si="18"/>
        <v>-0.89999999999967895</v>
      </c>
      <c r="AA11" s="45">
        <f t="shared" si="19"/>
        <v>-0.19999999999953399</v>
      </c>
      <c r="AB11" s="49">
        <v>9.2712000000000003</v>
      </c>
      <c r="AC11" s="43">
        <f t="shared" si="20"/>
        <v>-9.99999999997669E-2</v>
      </c>
      <c r="AD11" s="44">
        <f t="shared" si="21"/>
        <v>-0.999999999999446</v>
      </c>
      <c r="AE11" s="45">
        <f t="shared" si="22"/>
        <v>-9.99999999997669E-2</v>
      </c>
      <c r="AF11" s="50">
        <v>79524</v>
      </c>
      <c r="AG11" s="58">
        <f t="shared" si="4"/>
        <v>24</v>
      </c>
      <c r="AH11" s="59"/>
      <c r="AI11" s="60"/>
      <c r="AJ11" s="52"/>
      <c r="AK11" s="52"/>
      <c r="AL11" s="52"/>
      <c r="AM11" s="52"/>
    </row>
    <row r="12" spans="1:48">
      <c r="A12" s="21">
        <v>44641</v>
      </c>
      <c r="B12" s="22">
        <v>791.46479999999997</v>
      </c>
      <c r="C12" s="27">
        <v>5.7232000000000003</v>
      </c>
      <c r="D12" s="23">
        <f t="shared" ref="D12:D23" si="23">C12+B12</f>
        <v>797.18799999999999</v>
      </c>
      <c r="E12" s="24">
        <f t="shared" ref="E12:E23" si="24">(D12-D11)*1000</f>
        <v>9.9999999974897905E-2</v>
      </c>
      <c r="F12" s="25">
        <f t="shared" ref="F12:F23" si="25">F11+E12</f>
        <v>-0.80000000002655702</v>
      </c>
      <c r="G12" s="26">
        <f t="shared" ref="G12:G23" si="26">E12/(A12-A11)</f>
        <v>9.9999999974897905E-2</v>
      </c>
      <c r="H12" s="6">
        <v>6.8520000000000003</v>
      </c>
      <c r="I12" s="35">
        <f t="shared" ref="I12:I23" si="27">H12+B12</f>
        <v>798.31679999999994</v>
      </c>
      <c r="J12" s="24">
        <f t="shared" ref="J12:J23" si="28">(I12-I11)*1000</f>
        <v>9.9999999974897905E-2</v>
      </c>
      <c r="K12" s="25">
        <f t="shared" ref="K12:K23" si="29">K11+J12</f>
        <v>-1.2000000000398401</v>
      </c>
      <c r="L12" s="26">
        <f t="shared" ref="L12:L23" si="30">J12/(A12-A11)</f>
        <v>9.9999999974897905E-2</v>
      </c>
      <c r="M12" s="6">
        <v>5.7587999999999999</v>
      </c>
      <c r="N12" s="35">
        <f t="shared" ref="N12:N23" si="31">M12+B12</f>
        <v>797.22360000000003</v>
      </c>
      <c r="O12" s="24">
        <f t="shared" ref="O12:O23" si="32">(N12-N11)*1000</f>
        <v>-0.10000000008858501</v>
      </c>
      <c r="P12" s="25">
        <f t="shared" ref="P12:P23" si="33">P11+O12</f>
        <v>-1.00000000009004</v>
      </c>
      <c r="Q12" s="26">
        <f t="shared" ref="Q12:Q23" si="34">O12/(A12-A11)</f>
        <v>-0.10000000008858501</v>
      </c>
      <c r="R12" s="41"/>
      <c r="S12" s="21">
        <f t="shared" ref="S12:S23" si="35">A12</f>
        <v>44641</v>
      </c>
      <c r="T12" s="42">
        <v>8.5053999999999998</v>
      </c>
      <c r="U12" s="43">
        <f t="shared" ref="U12:U23" si="36">(T12-T11)*1000</f>
        <v>9.99999999997669E-2</v>
      </c>
      <c r="V12" s="44">
        <f t="shared" ref="V12:V23" si="37">V11+U12</f>
        <v>-1.10000000000099</v>
      </c>
      <c r="W12" s="45">
        <f t="shared" ref="W12:W23" si="38">U12/(S11-S12)</f>
        <v>-9.99999999997669E-2</v>
      </c>
      <c r="X12" s="29">
        <v>11.837899999999999</v>
      </c>
      <c r="Y12" s="43">
        <f t="shared" ref="Y12:Y23" si="39">(X12-X11)*1000</f>
        <v>-0.20000000000130999</v>
      </c>
      <c r="Z12" s="44">
        <f t="shared" ref="Z12:Z23" si="40">Z11+Y12</f>
        <v>-1.10000000000099</v>
      </c>
      <c r="AA12" s="45">
        <f t="shared" ref="AA12:AA23" si="41">Y12/(S12-S11)</f>
        <v>-0.20000000000130999</v>
      </c>
      <c r="AB12" s="49">
        <v>9.2710000000000008</v>
      </c>
      <c r="AC12" s="43">
        <f t="shared" ref="AC12:AC23" si="42">(AB12-AB11)*1000</f>
        <v>-0.19999999999953399</v>
      </c>
      <c r="AD12" s="44">
        <f t="shared" ref="AD12:AD23" si="43">AD11+AC12</f>
        <v>-1.1999999999989801</v>
      </c>
      <c r="AE12" s="45">
        <f t="shared" ref="AE12:AE23" si="44">AC12/(S12-S11)</f>
        <v>-0.19999999999953399</v>
      </c>
      <c r="AF12" s="50">
        <v>79528</v>
      </c>
      <c r="AG12" s="58">
        <f t="shared" ref="AG12:AG23" si="45">AF12-79500</f>
        <v>28</v>
      </c>
      <c r="AH12" s="61"/>
      <c r="AI12" s="60"/>
      <c r="AJ12"/>
      <c r="AK12"/>
      <c r="AL12"/>
      <c r="AM12"/>
    </row>
    <row r="13" spans="1:48">
      <c r="A13" s="21">
        <v>44642</v>
      </c>
      <c r="B13" s="22">
        <v>791.46479999999997</v>
      </c>
      <c r="C13" s="27">
        <v>5.7225000000000001</v>
      </c>
      <c r="D13" s="23">
        <f t="shared" si="23"/>
        <v>797.18730000000005</v>
      </c>
      <c r="E13" s="24">
        <f t="shared" si="24"/>
        <v>-0.70000000005165897</v>
      </c>
      <c r="F13" s="25">
        <f t="shared" si="25"/>
        <v>-1.5000000000782201</v>
      </c>
      <c r="G13" s="26">
        <f t="shared" si="26"/>
        <v>-0.70000000005165897</v>
      </c>
      <c r="H13" s="6">
        <v>6.8517999999999999</v>
      </c>
      <c r="I13" s="35">
        <f t="shared" si="27"/>
        <v>798.31659999999999</v>
      </c>
      <c r="J13" s="24">
        <f t="shared" si="28"/>
        <v>-0.199999999949796</v>
      </c>
      <c r="K13" s="25">
        <f t="shared" si="29"/>
        <v>-1.39999999998963</v>
      </c>
      <c r="L13" s="26">
        <f t="shared" si="30"/>
        <v>-0.199999999949796</v>
      </c>
      <c r="M13" s="6">
        <v>5.7588999999999997</v>
      </c>
      <c r="N13" s="35">
        <f t="shared" si="31"/>
        <v>797.22370000000001</v>
      </c>
      <c r="O13" s="24">
        <f t="shared" si="32"/>
        <v>0.10000000008858501</v>
      </c>
      <c r="P13" s="25">
        <f t="shared" si="33"/>
        <v>-0.90000000000145497</v>
      </c>
      <c r="Q13" s="26">
        <f t="shared" si="34"/>
        <v>0.10000000008858501</v>
      </c>
      <c r="R13" s="41"/>
      <c r="S13" s="21">
        <f t="shared" si="35"/>
        <v>44642</v>
      </c>
      <c r="T13" s="42">
        <v>8.5052000000000003</v>
      </c>
      <c r="U13" s="43">
        <f t="shared" si="36"/>
        <v>-0.19999999999953399</v>
      </c>
      <c r="V13" s="44">
        <f t="shared" si="37"/>
        <v>-1.3000000000005201</v>
      </c>
      <c r="W13" s="45">
        <f t="shared" si="38"/>
        <v>0.19999999999953399</v>
      </c>
      <c r="X13" s="29">
        <v>11.8378</v>
      </c>
      <c r="Y13" s="43">
        <f t="shared" si="39"/>
        <v>-9.99999999997669E-2</v>
      </c>
      <c r="Z13" s="44">
        <f t="shared" si="40"/>
        <v>-1.20000000000076</v>
      </c>
      <c r="AA13" s="45">
        <f t="shared" si="41"/>
        <v>-9.99999999997669E-2</v>
      </c>
      <c r="AB13" s="49">
        <v>9.2710000000000008</v>
      </c>
      <c r="AC13" s="43">
        <f t="shared" si="42"/>
        <v>0</v>
      </c>
      <c r="AD13" s="44">
        <f t="shared" si="43"/>
        <v>-1.1999999999989801</v>
      </c>
      <c r="AE13" s="45">
        <f t="shared" si="44"/>
        <v>0</v>
      </c>
      <c r="AF13" s="50">
        <v>79532</v>
      </c>
      <c r="AG13" s="58">
        <f t="shared" si="45"/>
        <v>32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44643</v>
      </c>
      <c r="B14" s="22">
        <v>791.46479999999997</v>
      </c>
      <c r="C14" s="27">
        <v>5.7222</v>
      </c>
      <c r="D14" s="23">
        <f t="shared" si="23"/>
        <v>797.18700000000001</v>
      </c>
      <c r="E14" s="24">
        <f t="shared" si="24"/>
        <v>-0.29999999992469401</v>
      </c>
      <c r="F14" s="25">
        <f t="shared" si="25"/>
        <v>-1.8000000000029099</v>
      </c>
      <c r="G14" s="26">
        <f t="shared" si="26"/>
        <v>-0.29999999992469401</v>
      </c>
      <c r="H14" s="6">
        <v>6.8517000000000001</v>
      </c>
      <c r="I14" s="35">
        <f t="shared" si="27"/>
        <v>798.31650000000002</v>
      </c>
      <c r="J14" s="24">
        <f t="shared" si="28"/>
        <v>-9.9999999974897905E-2</v>
      </c>
      <c r="K14" s="25">
        <f t="shared" si="29"/>
        <v>-1.4999999999645299</v>
      </c>
      <c r="L14" s="26">
        <f t="shared" si="30"/>
        <v>-9.9999999974897905E-2</v>
      </c>
      <c r="M14" s="6">
        <v>5.7586000000000004</v>
      </c>
      <c r="N14" s="35">
        <f t="shared" si="31"/>
        <v>797.22339999999997</v>
      </c>
      <c r="O14" s="24">
        <f t="shared" si="32"/>
        <v>-0.30000000003838101</v>
      </c>
      <c r="P14" s="25">
        <f t="shared" si="33"/>
        <v>-1.2000000000398401</v>
      </c>
      <c r="Q14" s="26">
        <f t="shared" si="34"/>
        <v>-0.30000000003838101</v>
      </c>
      <c r="R14" s="41"/>
      <c r="S14" s="21">
        <f t="shared" si="35"/>
        <v>44643</v>
      </c>
      <c r="T14" s="42">
        <v>8.5050000000000008</v>
      </c>
      <c r="U14" s="43">
        <f t="shared" si="36"/>
        <v>-0.19999999999953399</v>
      </c>
      <c r="V14" s="44">
        <f t="shared" si="37"/>
        <v>-1.50000000000006</v>
      </c>
      <c r="W14" s="45">
        <f t="shared" si="38"/>
        <v>0.19999999999953399</v>
      </c>
      <c r="X14" s="29">
        <v>11.8375</v>
      </c>
      <c r="Y14" s="43">
        <f t="shared" si="39"/>
        <v>-0.29999999999930099</v>
      </c>
      <c r="Z14" s="44">
        <f t="shared" si="40"/>
        <v>-1.50000000000006</v>
      </c>
      <c r="AA14" s="45">
        <f t="shared" si="41"/>
        <v>-0.29999999999930099</v>
      </c>
      <c r="AB14" s="49">
        <v>9.2708999999999993</v>
      </c>
      <c r="AC14" s="43">
        <f t="shared" si="42"/>
        <v>-0.10000000000154299</v>
      </c>
      <c r="AD14" s="44">
        <f t="shared" si="43"/>
        <v>-1.3000000000005201</v>
      </c>
      <c r="AE14" s="45">
        <f t="shared" si="44"/>
        <v>-0.10000000000154299</v>
      </c>
      <c r="AF14" s="50">
        <v>79536</v>
      </c>
      <c r="AG14" s="58">
        <f t="shared" si="45"/>
        <v>36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44644</v>
      </c>
      <c r="B15" s="22">
        <v>791.46479999999997</v>
      </c>
      <c r="C15" s="27">
        <v>5.7225000000000001</v>
      </c>
      <c r="D15" s="23">
        <f t="shared" si="23"/>
        <v>797.18730000000005</v>
      </c>
      <c r="E15" s="24">
        <f t="shared" si="24"/>
        <v>0.29999999992469401</v>
      </c>
      <c r="F15" s="25">
        <f t="shared" si="25"/>
        <v>-1.5000000000782201</v>
      </c>
      <c r="G15" s="26">
        <f t="shared" si="26"/>
        <v>0.29999999992469401</v>
      </c>
      <c r="H15" s="6">
        <v>6.8516000000000004</v>
      </c>
      <c r="I15" s="35">
        <f t="shared" si="27"/>
        <v>798.31640000000004</v>
      </c>
      <c r="J15" s="24">
        <f t="shared" si="28"/>
        <v>-0.10000000008858501</v>
      </c>
      <c r="K15" s="25">
        <f t="shared" si="29"/>
        <v>-1.60000000005311</v>
      </c>
      <c r="L15" s="26">
        <f t="shared" si="30"/>
        <v>-0.10000000008858501</v>
      </c>
      <c r="M15" s="6">
        <v>5.7584999999999997</v>
      </c>
      <c r="N15" s="35">
        <f t="shared" si="31"/>
        <v>797.22329999999999</v>
      </c>
      <c r="O15" s="24">
        <f t="shared" si="32"/>
        <v>-9.9999999974897905E-2</v>
      </c>
      <c r="P15" s="25">
        <f t="shared" si="33"/>
        <v>-1.30000000001473</v>
      </c>
      <c r="Q15" s="26">
        <f t="shared" si="34"/>
        <v>-9.9999999974897905E-2</v>
      </c>
      <c r="R15" s="41"/>
      <c r="S15" s="21">
        <f t="shared" si="35"/>
        <v>44644</v>
      </c>
      <c r="T15" s="42">
        <v>8.5051000000000005</v>
      </c>
      <c r="U15" s="43">
        <f t="shared" si="36"/>
        <v>9.99999999997669E-2</v>
      </c>
      <c r="V15" s="44">
        <f t="shared" si="37"/>
        <v>-1.4000000000002899</v>
      </c>
      <c r="W15" s="45">
        <f t="shared" si="38"/>
        <v>-9.99999999997669E-2</v>
      </c>
      <c r="X15" s="29">
        <v>11.837300000000001</v>
      </c>
      <c r="Y15" s="43">
        <f t="shared" si="39"/>
        <v>-0.19999999999953399</v>
      </c>
      <c r="Z15" s="44">
        <f t="shared" si="40"/>
        <v>-1.6999999999995901</v>
      </c>
      <c r="AA15" s="45">
        <f t="shared" si="41"/>
        <v>-0.19999999999953399</v>
      </c>
      <c r="AB15" s="49">
        <v>9.2707999999999995</v>
      </c>
      <c r="AC15" s="43">
        <f t="shared" si="42"/>
        <v>-9.99999999997669E-2</v>
      </c>
      <c r="AD15" s="44">
        <f t="shared" si="43"/>
        <v>-1.4000000000002899</v>
      </c>
      <c r="AE15" s="45">
        <f t="shared" si="44"/>
        <v>-9.99999999997669E-2</v>
      </c>
      <c r="AF15" s="50">
        <v>79540</v>
      </c>
      <c r="AG15" s="58">
        <f t="shared" si="45"/>
        <v>40</v>
      </c>
      <c r="AH15" s="61"/>
      <c r="AI15" s="60"/>
      <c r="AJ15"/>
      <c r="AK15"/>
      <c r="AL15"/>
      <c r="AM15"/>
    </row>
    <row r="16" spans="1:48">
      <c r="A16" s="21">
        <v>44645</v>
      </c>
      <c r="B16" s="22">
        <v>791.46479999999997</v>
      </c>
      <c r="C16" s="27">
        <v>5.7215999999999996</v>
      </c>
      <c r="D16" s="23">
        <f t="shared" si="23"/>
        <v>797.18640000000005</v>
      </c>
      <c r="E16" s="24">
        <f t="shared" si="24"/>
        <v>-0.90000000000145497</v>
      </c>
      <c r="F16" s="25">
        <f t="shared" si="25"/>
        <v>-2.40000000007967</v>
      </c>
      <c r="G16" s="26">
        <f t="shared" si="26"/>
        <v>-0.90000000000145497</v>
      </c>
      <c r="H16" s="6">
        <v>6.8513999999999999</v>
      </c>
      <c r="I16" s="35">
        <f t="shared" si="27"/>
        <v>798.31619999999998</v>
      </c>
      <c r="J16" s="24">
        <f t="shared" si="28"/>
        <v>-0.199999999949796</v>
      </c>
      <c r="K16" s="25">
        <f t="shared" si="29"/>
        <v>-1.8000000000029099</v>
      </c>
      <c r="L16" s="26">
        <f t="shared" si="30"/>
        <v>-0.199999999949796</v>
      </c>
      <c r="M16" s="6">
        <v>5.7582000000000004</v>
      </c>
      <c r="N16" s="35">
        <f t="shared" si="31"/>
        <v>797.22299999999996</v>
      </c>
      <c r="O16" s="24">
        <f t="shared" si="32"/>
        <v>-0.30000000003838101</v>
      </c>
      <c r="P16" s="25">
        <f t="shared" si="33"/>
        <v>-1.60000000005311</v>
      </c>
      <c r="Q16" s="26">
        <f t="shared" si="34"/>
        <v>-0.30000000003838101</v>
      </c>
      <c r="R16" s="41"/>
      <c r="S16" s="21">
        <f t="shared" si="35"/>
        <v>44645</v>
      </c>
      <c r="T16" s="42">
        <v>8.5045999999999999</v>
      </c>
      <c r="U16" s="43">
        <f t="shared" si="36"/>
        <v>-0.50000000000061096</v>
      </c>
      <c r="V16" s="44">
        <f t="shared" si="37"/>
        <v>-1.9000000000009001</v>
      </c>
      <c r="W16" s="45">
        <f t="shared" si="38"/>
        <v>0.50000000000061096</v>
      </c>
      <c r="X16" s="29">
        <v>11.8371</v>
      </c>
      <c r="Y16" s="43">
        <f t="shared" si="39"/>
        <v>-0.20000000000130999</v>
      </c>
      <c r="Z16" s="44">
        <f t="shared" si="40"/>
        <v>-1.9000000000009001</v>
      </c>
      <c r="AA16" s="45">
        <f t="shared" si="41"/>
        <v>-0.20000000000130999</v>
      </c>
      <c r="AB16" s="49">
        <v>9.2705000000000002</v>
      </c>
      <c r="AC16" s="43">
        <f t="shared" si="42"/>
        <v>-0.29999999999930099</v>
      </c>
      <c r="AD16" s="44">
        <f t="shared" si="43"/>
        <v>-1.6999999999995901</v>
      </c>
      <c r="AE16" s="45">
        <f t="shared" si="44"/>
        <v>-0.29999999999930099</v>
      </c>
      <c r="AF16" s="50">
        <v>79544</v>
      </c>
      <c r="AG16" s="58">
        <f t="shared" si="45"/>
        <v>44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44646</v>
      </c>
      <c r="B17" s="22">
        <v>791.46479999999997</v>
      </c>
      <c r="C17" s="27">
        <v>5.7213000000000003</v>
      </c>
      <c r="D17" s="23">
        <f t="shared" si="23"/>
        <v>797.18610000000001</v>
      </c>
      <c r="E17" s="24">
        <f t="shared" si="24"/>
        <v>-0.29999999992469401</v>
      </c>
      <c r="F17" s="25">
        <f t="shared" si="25"/>
        <v>-2.70000000000437</v>
      </c>
      <c r="G17" s="26">
        <f t="shared" si="26"/>
        <v>-0.29999999992469401</v>
      </c>
      <c r="H17" s="6">
        <v>6.8513999999999999</v>
      </c>
      <c r="I17" s="35">
        <f t="shared" si="27"/>
        <v>798.31619999999998</v>
      </c>
      <c r="J17" s="24">
        <f t="shared" si="28"/>
        <v>0</v>
      </c>
      <c r="K17" s="25">
        <f t="shared" si="29"/>
        <v>-1.8000000000029099</v>
      </c>
      <c r="L17" s="26">
        <f t="shared" si="30"/>
        <v>0</v>
      </c>
      <c r="M17" s="6">
        <v>5.7583000000000002</v>
      </c>
      <c r="N17" s="35">
        <f t="shared" si="31"/>
        <v>797.22310000000004</v>
      </c>
      <c r="O17" s="24">
        <f t="shared" si="32"/>
        <v>9.9999999974897905E-2</v>
      </c>
      <c r="P17" s="25">
        <f t="shared" si="33"/>
        <v>-1.5000000000782201</v>
      </c>
      <c r="Q17" s="26">
        <f t="shared" si="34"/>
        <v>9.9999999974897905E-2</v>
      </c>
      <c r="R17" s="41"/>
      <c r="S17" s="21">
        <f t="shared" si="35"/>
        <v>44646</v>
      </c>
      <c r="T17" s="42">
        <v>8.5044000000000004</v>
      </c>
      <c r="U17" s="43">
        <f t="shared" si="36"/>
        <v>-0.19999999999953399</v>
      </c>
      <c r="V17" s="44">
        <f t="shared" si="37"/>
        <v>-2.10000000000043</v>
      </c>
      <c r="W17" s="45">
        <f t="shared" si="38"/>
        <v>0.19999999999953399</v>
      </c>
      <c r="X17" s="29">
        <v>11.837199999999999</v>
      </c>
      <c r="Y17" s="43">
        <f t="shared" si="39"/>
        <v>9.99999999997669E-2</v>
      </c>
      <c r="Z17" s="44">
        <f t="shared" si="40"/>
        <v>-1.80000000000113</v>
      </c>
      <c r="AA17" s="45">
        <f t="shared" si="41"/>
        <v>9.99999999997669E-2</v>
      </c>
      <c r="AB17" s="49">
        <v>9.2706</v>
      </c>
      <c r="AC17" s="43">
        <f t="shared" si="42"/>
        <v>9.99999999997669E-2</v>
      </c>
      <c r="AD17" s="44">
        <f t="shared" si="43"/>
        <v>-1.59999999999982</v>
      </c>
      <c r="AE17" s="45">
        <f t="shared" si="44"/>
        <v>9.99999999997669E-2</v>
      </c>
      <c r="AF17" s="50">
        <v>79548</v>
      </c>
      <c r="AG17" s="58">
        <f t="shared" si="45"/>
        <v>48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44647</v>
      </c>
      <c r="B18" s="22">
        <v>791.46479999999997</v>
      </c>
      <c r="C18" s="27">
        <v>5.7218</v>
      </c>
      <c r="D18" s="23">
        <f t="shared" si="23"/>
        <v>797.1866</v>
      </c>
      <c r="E18" s="24">
        <f t="shared" si="24"/>
        <v>0.49999999998817701</v>
      </c>
      <c r="F18" s="25">
        <f t="shared" si="25"/>
        <v>-2.2000000000161899</v>
      </c>
      <c r="G18" s="26">
        <f t="shared" si="26"/>
        <v>0.49999999998817701</v>
      </c>
      <c r="H18" s="6">
        <v>6.8513000000000002</v>
      </c>
      <c r="I18" s="35">
        <f t="shared" si="27"/>
        <v>798.31610000000001</v>
      </c>
      <c r="J18" s="24">
        <f t="shared" si="28"/>
        <v>-9.9999999974897905E-2</v>
      </c>
      <c r="K18" s="25">
        <f t="shared" si="29"/>
        <v>-1.8999999999778101</v>
      </c>
      <c r="L18" s="26">
        <f t="shared" si="30"/>
        <v>-9.9999999974897905E-2</v>
      </c>
      <c r="M18" s="6">
        <v>5.7582000000000004</v>
      </c>
      <c r="N18" s="35">
        <f t="shared" si="31"/>
        <v>797.22299999999996</v>
      </c>
      <c r="O18" s="24">
        <f t="shared" si="32"/>
        <v>-9.9999999974897905E-2</v>
      </c>
      <c r="P18" s="25">
        <f t="shared" si="33"/>
        <v>-1.60000000005311</v>
      </c>
      <c r="Q18" s="26">
        <f t="shared" si="34"/>
        <v>-9.9999999974897905E-2</v>
      </c>
      <c r="R18" s="41"/>
      <c r="S18" s="21">
        <f t="shared" si="35"/>
        <v>44647</v>
      </c>
      <c r="T18" s="42">
        <v>8.5042000000000009</v>
      </c>
      <c r="U18" s="43">
        <f t="shared" si="36"/>
        <v>-0.19999999999953399</v>
      </c>
      <c r="V18" s="44">
        <f t="shared" si="37"/>
        <v>-2.2999999999999701</v>
      </c>
      <c r="W18" s="45">
        <f t="shared" si="38"/>
        <v>0.19999999999953399</v>
      </c>
      <c r="X18" s="29">
        <v>11.8367</v>
      </c>
      <c r="Y18" s="43">
        <f t="shared" si="39"/>
        <v>-0.49999999999883499</v>
      </c>
      <c r="Z18" s="44">
        <f t="shared" si="40"/>
        <v>-2.2999999999999701</v>
      </c>
      <c r="AA18" s="45">
        <f t="shared" si="41"/>
        <v>-0.49999999999883499</v>
      </c>
      <c r="AB18" s="49">
        <v>9.2705000000000002</v>
      </c>
      <c r="AC18" s="43">
        <f t="shared" si="42"/>
        <v>-9.99999999997669E-2</v>
      </c>
      <c r="AD18" s="44">
        <f t="shared" si="43"/>
        <v>-1.6999999999995901</v>
      </c>
      <c r="AE18" s="45">
        <f t="shared" si="44"/>
        <v>-9.99999999997669E-2</v>
      </c>
      <c r="AF18" s="50">
        <v>79552</v>
      </c>
      <c r="AG18" s="58">
        <f t="shared" si="45"/>
        <v>52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44648</v>
      </c>
      <c r="B19" s="22">
        <v>791.46479999999997</v>
      </c>
      <c r="C19" s="27">
        <v>5.7214999999999998</v>
      </c>
      <c r="D19" s="23">
        <f t="shared" si="23"/>
        <v>797.18629999999996</v>
      </c>
      <c r="E19" s="24">
        <f t="shared" si="24"/>
        <v>-0.30000000003838101</v>
      </c>
      <c r="F19" s="25">
        <f t="shared" si="25"/>
        <v>-2.5000000000545701</v>
      </c>
      <c r="G19" s="26">
        <f t="shared" si="26"/>
        <v>-0.30000000003838101</v>
      </c>
      <c r="H19" s="6">
        <v>6.8510999999999997</v>
      </c>
      <c r="I19" s="35">
        <f t="shared" si="27"/>
        <v>798.31590000000006</v>
      </c>
      <c r="J19" s="24">
        <f t="shared" si="28"/>
        <v>-0.20000000006348301</v>
      </c>
      <c r="K19" s="25">
        <f t="shared" si="29"/>
        <v>-2.1000000000412902</v>
      </c>
      <c r="L19" s="26">
        <f t="shared" si="30"/>
        <v>-0.20000000006348301</v>
      </c>
      <c r="M19" s="6">
        <v>5.75809999999999</v>
      </c>
      <c r="N19" s="35">
        <f t="shared" si="31"/>
        <v>797.22289999999998</v>
      </c>
      <c r="O19" s="24">
        <f t="shared" si="32"/>
        <v>-9.9999999974897905E-2</v>
      </c>
      <c r="P19" s="25">
        <f t="shared" si="33"/>
        <v>-1.70000000002801</v>
      </c>
      <c r="Q19" s="26">
        <f t="shared" si="34"/>
        <v>-9.9999999974897905E-2</v>
      </c>
      <c r="R19" s="41"/>
      <c r="S19" s="21">
        <f t="shared" si="35"/>
        <v>44648</v>
      </c>
      <c r="T19" s="42">
        <v>8.5039999999999996</v>
      </c>
      <c r="U19" s="43">
        <f t="shared" si="36"/>
        <v>-0.20000000000130999</v>
      </c>
      <c r="V19" s="44">
        <f t="shared" si="37"/>
        <v>-2.5000000000012799</v>
      </c>
      <c r="W19" s="45">
        <f t="shared" si="38"/>
        <v>0.20000000000130999</v>
      </c>
      <c r="X19" s="29">
        <v>11.836499999999999</v>
      </c>
      <c r="Y19" s="43">
        <f t="shared" si="39"/>
        <v>-0.20000000000130999</v>
      </c>
      <c r="Z19" s="44">
        <f t="shared" si="40"/>
        <v>-2.5000000000012799</v>
      </c>
      <c r="AA19" s="45">
        <f t="shared" si="41"/>
        <v>-0.20000000000130999</v>
      </c>
      <c r="AB19" s="49">
        <v>9.2704000000000004</v>
      </c>
      <c r="AC19" s="43">
        <f t="shared" si="42"/>
        <v>-9.99999999997669E-2</v>
      </c>
      <c r="AD19" s="44">
        <f t="shared" si="43"/>
        <v>-1.7999999999993599</v>
      </c>
      <c r="AE19" s="45">
        <f t="shared" si="44"/>
        <v>-9.99999999997669E-2</v>
      </c>
      <c r="AF19" s="50">
        <v>79556</v>
      </c>
      <c r="AG19" s="58">
        <f t="shared" si="45"/>
        <v>56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44649</v>
      </c>
      <c r="B20" s="22">
        <v>791.46479999999997</v>
      </c>
      <c r="C20" s="27">
        <v>5.7215999999999996</v>
      </c>
      <c r="D20" s="23">
        <f t="shared" si="23"/>
        <v>797.18640000000005</v>
      </c>
      <c r="E20" s="24">
        <f t="shared" si="24"/>
        <v>9.9999999974897905E-2</v>
      </c>
      <c r="F20" s="25">
        <f t="shared" si="25"/>
        <v>-2.40000000007967</v>
      </c>
      <c r="G20" s="26">
        <f t="shared" si="26"/>
        <v>9.9999999974897905E-2</v>
      </c>
      <c r="H20" s="6">
        <v>6.8510999999999997</v>
      </c>
      <c r="I20" s="35">
        <f t="shared" si="27"/>
        <v>798.31590000000006</v>
      </c>
      <c r="J20" s="24">
        <f t="shared" si="28"/>
        <v>0</v>
      </c>
      <c r="K20" s="25">
        <f t="shared" si="29"/>
        <v>-2.1000000000412902</v>
      </c>
      <c r="L20" s="26">
        <f t="shared" si="30"/>
        <v>0</v>
      </c>
      <c r="M20" s="6">
        <v>5.7583000000000002</v>
      </c>
      <c r="N20" s="35">
        <f t="shared" si="31"/>
        <v>797.22310000000004</v>
      </c>
      <c r="O20" s="24">
        <f t="shared" si="32"/>
        <v>0.199999999949796</v>
      </c>
      <c r="P20" s="25">
        <f t="shared" si="33"/>
        <v>-1.5000000000782201</v>
      </c>
      <c r="Q20" s="26">
        <f t="shared" si="34"/>
        <v>0.199999999949796</v>
      </c>
      <c r="R20" s="41"/>
      <c r="S20" s="21">
        <f t="shared" si="35"/>
        <v>44649</v>
      </c>
      <c r="T20" s="42">
        <v>8.5040999999999993</v>
      </c>
      <c r="U20" s="43">
        <f t="shared" si="36"/>
        <v>9.99999999997669E-2</v>
      </c>
      <c r="V20" s="44">
        <f t="shared" si="37"/>
        <v>-2.4000000000015098</v>
      </c>
      <c r="W20" s="45">
        <f t="shared" si="38"/>
        <v>-9.99999999997669E-2</v>
      </c>
      <c r="X20" s="29">
        <v>11.836399999999999</v>
      </c>
      <c r="Y20" s="43">
        <f t="shared" si="39"/>
        <v>-9.99999999997669E-2</v>
      </c>
      <c r="Z20" s="44">
        <f t="shared" si="40"/>
        <v>-2.6000000000010499</v>
      </c>
      <c r="AA20" s="45">
        <f t="shared" si="41"/>
        <v>-9.99999999997669E-2</v>
      </c>
      <c r="AB20" s="49">
        <v>9.2702000000000009</v>
      </c>
      <c r="AC20" s="43">
        <f t="shared" si="42"/>
        <v>-0.19999999999953399</v>
      </c>
      <c r="AD20" s="44">
        <f t="shared" si="43"/>
        <v>-1.99999999999889</v>
      </c>
      <c r="AE20" s="45">
        <f t="shared" si="44"/>
        <v>-0.19999999999953399</v>
      </c>
      <c r="AF20" s="50">
        <v>79560</v>
      </c>
      <c r="AG20" s="58">
        <f t="shared" si="45"/>
        <v>60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44651</v>
      </c>
      <c r="B21" s="22">
        <v>791.46479999999997</v>
      </c>
      <c r="C21" s="27">
        <v>5.7214</v>
      </c>
      <c r="D21" s="23">
        <f t="shared" si="23"/>
        <v>797.18619999999999</v>
      </c>
      <c r="E21" s="24">
        <f t="shared" si="24"/>
        <v>-0.199999999949796</v>
      </c>
      <c r="F21" s="25">
        <f t="shared" si="25"/>
        <v>-2.6000000000294698</v>
      </c>
      <c r="G21" s="26">
        <f t="shared" si="26"/>
        <v>-9.9999999974897905E-2</v>
      </c>
      <c r="H21" s="6">
        <v>6.8505000000000003</v>
      </c>
      <c r="I21" s="35">
        <f t="shared" si="27"/>
        <v>798.31529999999998</v>
      </c>
      <c r="J21" s="24">
        <f t="shared" si="28"/>
        <v>-0.59999999996307496</v>
      </c>
      <c r="K21" s="25">
        <f t="shared" si="29"/>
        <v>-2.70000000000437</v>
      </c>
      <c r="L21" s="26">
        <f t="shared" si="30"/>
        <v>-0.29999999998153698</v>
      </c>
      <c r="M21" s="6">
        <v>5.7578999999999896</v>
      </c>
      <c r="N21" s="35">
        <f t="shared" si="31"/>
        <v>797.22270000000003</v>
      </c>
      <c r="O21" s="24">
        <f t="shared" si="32"/>
        <v>-0.40000000001327901</v>
      </c>
      <c r="P21" s="25">
        <f t="shared" si="33"/>
        <v>-1.9000000000915001</v>
      </c>
      <c r="Q21" s="26">
        <f t="shared" si="34"/>
        <v>-0.20000000000663901</v>
      </c>
      <c r="R21" s="41"/>
      <c r="S21" s="21">
        <f t="shared" si="35"/>
        <v>44651</v>
      </c>
      <c r="T21" s="42">
        <v>8.5036000000000005</v>
      </c>
      <c r="U21" s="43">
        <f t="shared" si="36"/>
        <v>-0.49999999999883499</v>
      </c>
      <c r="V21" s="44">
        <f t="shared" si="37"/>
        <v>-2.9000000000003499</v>
      </c>
      <c r="W21" s="45">
        <f t="shared" si="38"/>
        <v>0.24999999999941699</v>
      </c>
      <c r="X21" s="29">
        <v>11.8361</v>
      </c>
      <c r="Y21" s="43">
        <f t="shared" si="39"/>
        <v>-0.29999999999930099</v>
      </c>
      <c r="Z21" s="44">
        <f t="shared" si="40"/>
        <v>-2.9000000000003499</v>
      </c>
      <c r="AA21" s="45">
        <f t="shared" si="41"/>
        <v>-0.14999999999965</v>
      </c>
      <c r="AB21" s="49">
        <v>9.2702000000000009</v>
      </c>
      <c r="AC21" s="43">
        <f t="shared" si="42"/>
        <v>0</v>
      </c>
      <c r="AD21" s="44">
        <f t="shared" si="43"/>
        <v>-1.99999999999889</v>
      </c>
      <c r="AE21" s="45">
        <f t="shared" si="44"/>
        <v>0</v>
      </c>
      <c r="AF21" s="50">
        <v>79564</v>
      </c>
      <c r="AG21" s="58">
        <f t="shared" si="45"/>
        <v>64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44653</v>
      </c>
      <c r="B22" s="22">
        <v>791.46479999999997</v>
      </c>
      <c r="C22" s="27">
        <v>5.7213000000000003</v>
      </c>
      <c r="D22" s="23">
        <f t="shared" si="23"/>
        <v>797.18610000000001</v>
      </c>
      <c r="E22" s="24">
        <f t="shared" si="24"/>
        <v>-9.9999999974897905E-2</v>
      </c>
      <c r="F22" s="25">
        <f t="shared" si="25"/>
        <v>-2.70000000000437</v>
      </c>
      <c r="G22" s="26">
        <f t="shared" si="26"/>
        <v>-4.9999999987449001E-2</v>
      </c>
      <c r="H22" s="6">
        <v>6.8509000000000002</v>
      </c>
      <c r="I22" s="35">
        <f t="shared" si="27"/>
        <v>798.31569999999999</v>
      </c>
      <c r="J22" s="24">
        <f t="shared" si="28"/>
        <v>0.40000000001327901</v>
      </c>
      <c r="K22" s="25">
        <f t="shared" si="29"/>
        <v>-2.2999999999910901</v>
      </c>
      <c r="L22" s="26">
        <f t="shared" si="30"/>
        <v>0.20000000000663901</v>
      </c>
      <c r="M22" s="6">
        <v>5.7577999999999898</v>
      </c>
      <c r="N22" s="35">
        <f t="shared" si="31"/>
        <v>797.22260000000006</v>
      </c>
      <c r="O22" s="24">
        <f t="shared" si="32"/>
        <v>-9.9999999974897905E-2</v>
      </c>
      <c r="P22" s="25">
        <f t="shared" si="33"/>
        <v>-2.00000000006639</v>
      </c>
      <c r="Q22" s="26">
        <f t="shared" si="34"/>
        <v>-4.9999999987449001E-2</v>
      </c>
      <c r="R22" s="41"/>
      <c r="S22" s="21">
        <f t="shared" si="35"/>
        <v>44653</v>
      </c>
      <c r="T22" s="42">
        <v>8.5033999999999992</v>
      </c>
      <c r="U22" s="43">
        <f t="shared" si="36"/>
        <v>-0.20000000000130999</v>
      </c>
      <c r="V22" s="44">
        <f t="shared" si="37"/>
        <v>-3.1000000000016601</v>
      </c>
      <c r="W22" s="45">
        <f t="shared" si="38"/>
        <v>0.100000000000655</v>
      </c>
      <c r="X22" s="29">
        <v>11.835900000000001</v>
      </c>
      <c r="Y22" s="43">
        <f t="shared" si="39"/>
        <v>-0.19999999999953399</v>
      </c>
      <c r="Z22" s="44">
        <f t="shared" si="40"/>
        <v>-3.0999999999998802</v>
      </c>
      <c r="AA22" s="45">
        <f t="shared" si="41"/>
        <v>-9.99999999997669E-2</v>
      </c>
      <c r="AB22" s="49">
        <v>9.2700999999999993</v>
      </c>
      <c r="AC22" s="43">
        <f t="shared" si="42"/>
        <v>-0.10000000000154299</v>
      </c>
      <c r="AD22" s="44">
        <f t="shared" si="43"/>
        <v>-2.10000000000043</v>
      </c>
      <c r="AE22" s="45">
        <f t="shared" si="44"/>
        <v>-5.0000000000771601E-2</v>
      </c>
      <c r="AF22" s="50">
        <v>79568</v>
      </c>
      <c r="AG22" s="58">
        <f t="shared" si="45"/>
        <v>68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44655</v>
      </c>
      <c r="B23" s="22">
        <v>791.46479999999997</v>
      </c>
      <c r="C23" s="27">
        <v>5.7214</v>
      </c>
      <c r="D23" s="23">
        <f t="shared" si="23"/>
        <v>797.18619999999999</v>
      </c>
      <c r="E23" s="24">
        <f t="shared" si="24"/>
        <v>9.9999999974897905E-2</v>
      </c>
      <c r="F23" s="25">
        <f t="shared" si="25"/>
        <v>-2.6000000000294698</v>
      </c>
      <c r="G23" s="26">
        <f t="shared" si="26"/>
        <v>4.9999999987449001E-2</v>
      </c>
      <c r="H23" s="6">
        <v>6.8507999999999996</v>
      </c>
      <c r="I23" s="35">
        <f t="shared" si="27"/>
        <v>798.31560000000002</v>
      </c>
      <c r="J23" s="24">
        <f t="shared" si="28"/>
        <v>-9.9999999974897905E-2</v>
      </c>
      <c r="K23" s="25">
        <f t="shared" si="29"/>
        <v>-2.39999999996598</v>
      </c>
      <c r="L23" s="26">
        <f t="shared" si="30"/>
        <v>-4.9999999987449001E-2</v>
      </c>
      <c r="M23" s="6">
        <v>5.7579000000000002</v>
      </c>
      <c r="N23" s="35">
        <f t="shared" si="31"/>
        <v>797.22270000000003</v>
      </c>
      <c r="O23" s="24">
        <f t="shared" si="32"/>
        <v>9.9999999974897905E-2</v>
      </c>
      <c r="P23" s="25">
        <f t="shared" si="33"/>
        <v>-1.9000000000915001</v>
      </c>
      <c r="Q23" s="26">
        <f t="shared" si="34"/>
        <v>4.9999999987449001E-2</v>
      </c>
      <c r="R23" s="41"/>
      <c r="S23" s="21">
        <f t="shared" si="35"/>
        <v>44655</v>
      </c>
      <c r="T23" s="42">
        <v>8.5035000000000007</v>
      </c>
      <c r="U23" s="43">
        <f t="shared" si="36"/>
        <v>0.10000000000154299</v>
      </c>
      <c r="V23" s="44">
        <f t="shared" si="37"/>
        <v>-3.0000000000001101</v>
      </c>
      <c r="W23" s="45">
        <f t="shared" si="38"/>
        <v>-5.0000000000771601E-2</v>
      </c>
      <c r="X23" s="29">
        <v>11.836</v>
      </c>
      <c r="Y23" s="43">
        <f t="shared" si="39"/>
        <v>9.99999999997669E-2</v>
      </c>
      <c r="Z23" s="44">
        <f t="shared" si="40"/>
        <v>-3.0000000000001101</v>
      </c>
      <c r="AA23" s="45">
        <f t="shared" si="41"/>
        <v>4.9999999999883499E-2</v>
      </c>
      <c r="AB23" s="49">
        <v>9.2700999999999993</v>
      </c>
      <c r="AC23" s="43">
        <f t="shared" si="42"/>
        <v>0</v>
      </c>
      <c r="AD23" s="44">
        <f t="shared" si="43"/>
        <v>-2.10000000000043</v>
      </c>
      <c r="AE23" s="45">
        <f t="shared" si="44"/>
        <v>0</v>
      </c>
      <c r="AF23" s="50">
        <v>79572</v>
      </c>
      <c r="AG23" s="58">
        <f t="shared" si="45"/>
        <v>72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/>
      <c r="B24" s="22"/>
      <c r="C24" s="27"/>
      <c r="D24" s="23"/>
      <c r="E24" s="65">
        <f>F23-F11</f>
        <v>-1.70000000002801</v>
      </c>
      <c r="F24" s="33">
        <f>K23-K11</f>
        <v>-1.09999999995125</v>
      </c>
      <c r="G24" s="33">
        <f>P23-P11</f>
        <v>-1.00000000009004</v>
      </c>
      <c r="H24" s="33">
        <f>F23</f>
        <v>-2.6000000000294698</v>
      </c>
      <c r="I24" s="66">
        <f>K23</f>
        <v>-2.39999999996598</v>
      </c>
      <c r="J24" s="65">
        <f>P23</f>
        <v>-1.9000000000915001</v>
      </c>
      <c r="K24" s="33">
        <f>(K23-K11)/15</f>
        <v>-7.3333333330083406E-2</v>
      </c>
      <c r="L24" s="26"/>
      <c r="N24" s="35"/>
      <c r="O24" s="24"/>
      <c r="P24" s="25"/>
      <c r="Q24" s="26"/>
      <c r="R24" s="41"/>
      <c r="S24" s="21"/>
      <c r="T24" s="42"/>
      <c r="U24" s="65">
        <f>V23-V11</f>
        <v>-1.7999999999993599</v>
      </c>
      <c r="V24" s="33">
        <f>Z23-Z11</f>
        <v>-2.10000000000043</v>
      </c>
      <c r="W24" s="33">
        <f>AD23-AD11</f>
        <v>-1.10000000000099</v>
      </c>
      <c r="X24" s="33">
        <f>V23</f>
        <v>-3.0000000000001101</v>
      </c>
      <c r="Y24" s="65">
        <f>Z23</f>
        <v>-3.0000000000001101</v>
      </c>
      <c r="Z24" s="33">
        <f>AD23</f>
        <v>-2.10000000000043</v>
      </c>
      <c r="AA24" s="33">
        <f>(Z23-Z11)/15</f>
        <v>-0.14000000000002899</v>
      </c>
      <c r="AB24" s="49"/>
      <c r="AC24" s="43"/>
      <c r="AD24" s="44"/>
      <c r="AE24" s="45"/>
      <c r="AF24" s="50"/>
      <c r="AG24" s="58"/>
      <c r="AH24" s="61"/>
      <c r="AI24" s="60"/>
      <c r="AJ24"/>
      <c r="AK24"/>
      <c r="AL24"/>
      <c r="AM24"/>
    </row>
    <row r="25" spans="1:48">
      <c r="A25" s="21"/>
      <c r="B25" s="22"/>
      <c r="C25" s="27"/>
      <c r="D25" s="23"/>
      <c r="E25" s="24"/>
      <c r="F25" s="25"/>
      <c r="G25" s="26"/>
      <c r="I25" s="35"/>
      <c r="J25" s="24"/>
      <c r="K25" s="25"/>
      <c r="L25" s="26"/>
      <c r="N25" s="35"/>
      <c r="O25" s="24"/>
      <c r="P25" s="25"/>
      <c r="Q25" s="26"/>
      <c r="R25" s="41"/>
      <c r="S25" s="21"/>
      <c r="T25" s="42"/>
      <c r="U25" s="43"/>
      <c r="V25" s="44"/>
      <c r="W25" s="45"/>
      <c r="X25" s="29"/>
      <c r="Y25" s="43"/>
      <c r="Z25" s="44"/>
      <c r="AA25" s="45"/>
      <c r="AB25" s="42"/>
      <c r="AC25" s="43"/>
      <c r="AD25" s="44"/>
      <c r="AE25" s="45"/>
      <c r="AF25" s="50"/>
      <c r="AG25" s="58"/>
      <c r="AH25" s="61"/>
      <c r="AI25" s="52"/>
      <c r="AJ25" s="52"/>
      <c r="AK25" s="52"/>
      <c r="AL25" s="52"/>
      <c r="AM25" s="52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2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Q13" workbookViewId="0">
      <selection activeCell="Q25" sqref="A25:XFD2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44643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44643</v>
      </c>
      <c r="B6" s="22">
        <v>791.46479999999997</v>
      </c>
      <c r="C6" s="27">
        <v>5.6440000000000001</v>
      </c>
      <c r="D6" s="23">
        <f t="shared" ref="D6:D24" si="0">C6+B6</f>
        <v>797.10879999999997</v>
      </c>
      <c r="E6" s="24">
        <v>0</v>
      </c>
      <c r="F6" s="25">
        <v>0</v>
      </c>
      <c r="G6" s="26">
        <v>0</v>
      </c>
      <c r="H6" s="6">
        <v>7.0041000000000002</v>
      </c>
      <c r="I6" s="35">
        <f t="shared" ref="I6:I24" si="1">H6+B6</f>
        <v>798.46889999999996</v>
      </c>
      <c r="J6" s="24">
        <v>0</v>
      </c>
      <c r="K6" s="25">
        <v>0</v>
      </c>
      <c r="L6" s="26">
        <v>0</v>
      </c>
      <c r="M6" s="6">
        <v>5.8371000000000004</v>
      </c>
      <c r="N6" s="35">
        <f t="shared" ref="N6:N24" si="2">M6+B6</f>
        <v>797.30190000000005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44643</v>
      </c>
      <c r="T6" s="42">
        <v>8.8979999999999997</v>
      </c>
      <c r="U6" s="43">
        <v>0</v>
      </c>
      <c r="V6" s="44">
        <v>0</v>
      </c>
      <c r="W6" s="45">
        <f>U6/(S6-S11)</f>
        <v>0</v>
      </c>
      <c r="X6" s="29">
        <v>11.8042</v>
      </c>
      <c r="Y6" s="43">
        <v>0</v>
      </c>
      <c r="Z6" s="44">
        <v>0</v>
      </c>
      <c r="AA6" s="45">
        <v>0</v>
      </c>
      <c r="AB6" s="49">
        <v>8.7330000000000005</v>
      </c>
      <c r="AC6" s="43">
        <v>0</v>
      </c>
      <c r="AD6" s="44">
        <v>0</v>
      </c>
      <c r="AE6" s="45">
        <v>0</v>
      </c>
      <c r="AF6" s="50">
        <v>79548</v>
      </c>
      <c r="AG6" s="58">
        <f>AF6-79540</f>
        <v>8</v>
      </c>
      <c r="AH6" s="59"/>
      <c r="AI6" s="60"/>
      <c r="AJ6" s="61"/>
      <c r="AK6" s="62"/>
      <c r="AL6" s="52"/>
      <c r="AM6" s="52"/>
    </row>
    <row r="7" spans="1:48">
      <c r="A7" s="21">
        <v>44644</v>
      </c>
      <c r="B7" s="22">
        <v>791.46479999999997</v>
      </c>
      <c r="C7" s="27">
        <v>5.6448</v>
      </c>
      <c r="D7" s="23">
        <f t="shared" si="0"/>
        <v>797.1096</v>
      </c>
      <c r="E7" s="24">
        <f t="shared" ref="E7:E24" si="4">(D7-D6)*1000</f>
        <v>0.80000000002655702</v>
      </c>
      <c r="F7" s="25">
        <f t="shared" ref="F7:F24" si="5">F6+E7</f>
        <v>0.80000000002655702</v>
      </c>
      <c r="G7" s="26">
        <f t="shared" ref="G7:G24" si="6">E7/(A7-A6)</f>
        <v>0.80000000002655702</v>
      </c>
      <c r="H7" s="6">
        <v>7.0042</v>
      </c>
      <c r="I7" s="35">
        <f t="shared" si="1"/>
        <v>798.46900000000005</v>
      </c>
      <c r="J7" s="24">
        <f t="shared" ref="J7:J24" si="7">(I7-I6)*1000</f>
        <v>9.9999999974897905E-2</v>
      </c>
      <c r="K7" s="25">
        <f t="shared" ref="K7:K24" si="8">K6+J7</f>
        <v>9.9999999974897905E-2</v>
      </c>
      <c r="L7" s="26">
        <f t="shared" ref="L7:L24" si="9">J7/(A7-A6)</f>
        <v>9.9999999974897905E-2</v>
      </c>
      <c r="M7" s="6">
        <v>5.8369</v>
      </c>
      <c r="N7" s="35">
        <f t="shared" si="2"/>
        <v>797.30169999999998</v>
      </c>
      <c r="O7" s="24">
        <f t="shared" ref="O7:O24" si="10">(N7-N6)*1000</f>
        <v>-0.199999999949796</v>
      </c>
      <c r="P7" s="25">
        <f t="shared" ref="P7:P24" si="11">P6+O7</f>
        <v>-0.199999999949796</v>
      </c>
      <c r="Q7" s="26">
        <f t="shared" ref="Q7:Q24" si="12">O7/(A7-A6)</f>
        <v>-0.199999999949796</v>
      </c>
      <c r="R7" s="41"/>
      <c r="S7" s="21">
        <f t="shared" si="3"/>
        <v>44644</v>
      </c>
      <c r="T7" s="42">
        <v>8.8978999999999999</v>
      </c>
      <c r="U7" s="43">
        <f t="shared" ref="U7:U11" si="13">(T7-T6)*1000</f>
        <v>-9.99999999997669E-2</v>
      </c>
      <c r="V7" s="44">
        <f t="shared" ref="V7:V11" si="14">V6+U7</f>
        <v>-9.99999999997669E-2</v>
      </c>
      <c r="W7" s="45">
        <f t="shared" ref="W7:W11" si="15">U7/(S6-S7)</f>
        <v>9.99999999997669E-2</v>
      </c>
      <c r="X7" s="29">
        <v>11.8043</v>
      </c>
      <c r="Y7" s="43">
        <f t="shared" ref="Y7:Y11" si="16">(X7-X6)*1000</f>
        <v>9.99999999997669E-2</v>
      </c>
      <c r="Z7" s="44">
        <f t="shared" ref="Z7:Z11" si="17">Z6+Y7</f>
        <v>9.99999999997669E-2</v>
      </c>
      <c r="AA7" s="45">
        <f t="shared" ref="AA7:AA11" si="18">Y7/(S7-S6)</f>
        <v>9.99999999997669E-2</v>
      </c>
      <c r="AB7" s="49">
        <v>8.7327999999999992</v>
      </c>
      <c r="AC7" s="43">
        <f t="shared" ref="AC7:AC11" si="19">(AB7-AB6)*1000</f>
        <v>-0.20000000000130999</v>
      </c>
      <c r="AD7" s="44">
        <f t="shared" ref="AD7:AD11" si="20">AD6+AC7</f>
        <v>-0.20000000000130999</v>
      </c>
      <c r="AE7" s="45">
        <f t="shared" ref="AE7:AE11" si="21">AC7/(S7-S6)</f>
        <v>-0.20000000000130999</v>
      </c>
      <c r="AF7" s="50">
        <v>79554</v>
      </c>
      <c r="AG7" s="58">
        <f t="shared" ref="AG7:AG24" si="22">AF7-79540</f>
        <v>14</v>
      </c>
      <c r="AH7" s="59"/>
      <c r="AI7" s="60"/>
      <c r="AJ7" s="61"/>
      <c r="AK7" s="62"/>
      <c r="AL7" s="52"/>
      <c r="AM7" s="52"/>
    </row>
    <row r="8" spans="1:48">
      <c r="A8" s="21">
        <v>44645</v>
      </c>
      <c r="B8" s="22">
        <v>791.46479999999997</v>
      </c>
      <c r="C8" s="27">
        <v>5.6443000000000003</v>
      </c>
      <c r="D8" s="23">
        <f t="shared" si="0"/>
        <v>797.10910000000001</v>
      </c>
      <c r="E8" s="24">
        <f t="shared" si="4"/>
        <v>-0.49999999998817701</v>
      </c>
      <c r="F8" s="25">
        <f t="shared" si="5"/>
        <v>0.30000000003838101</v>
      </c>
      <c r="G8" s="26">
        <f t="shared" si="6"/>
        <v>-0.49999999998817701</v>
      </c>
      <c r="H8" s="6">
        <v>7.0039999999999996</v>
      </c>
      <c r="I8" s="35">
        <f t="shared" si="1"/>
        <v>798.46879999999999</v>
      </c>
      <c r="J8" s="24">
        <f t="shared" si="7"/>
        <v>-0.199999999949796</v>
      </c>
      <c r="K8" s="25">
        <f t="shared" si="8"/>
        <v>-9.9999999974897905E-2</v>
      </c>
      <c r="L8" s="26">
        <f t="shared" si="9"/>
        <v>-0.199999999949796</v>
      </c>
      <c r="M8" s="6">
        <v>5.8367000000000004</v>
      </c>
      <c r="N8" s="35">
        <f t="shared" si="2"/>
        <v>797.30150000000003</v>
      </c>
      <c r="O8" s="24">
        <f t="shared" si="10"/>
        <v>-0.20000000006348301</v>
      </c>
      <c r="P8" s="25">
        <f t="shared" si="11"/>
        <v>-0.40000000001327901</v>
      </c>
      <c r="Q8" s="26">
        <f t="shared" si="12"/>
        <v>-0.20000000006348301</v>
      </c>
      <c r="R8" s="41"/>
      <c r="S8" s="21">
        <f t="shared" si="3"/>
        <v>44645</v>
      </c>
      <c r="T8" s="42">
        <v>8.8978000000000002</v>
      </c>
      <c r="U8" s="43">
        <f t="shared" si="13"/>
        <v>-9.99999999997669E-2</v>
      </c>
      <c r="V8" s="44">
        <f t="shared" si="14"/>
        <v>-0.19999999999953399</v>
      </c>
      <c r="W8" s="45">
        <f t="shared" si="15"/>
        <v>9.99999999997669E-2</v>
      </c>
      <c r="X8" s="29">
        <v>11.8041</v>
      </c>
      <c r="Y8" s="43">
        <f t="shared" si="16"/>
        <v>-0.19999999999953399</v>
      </c>
      <c r="Z8" s="44">
        <f t="shared" si="17"/>
        <v>-9.99999999997669E-2</v>
      </c>
      <c r="AA8" s="45">
        <f t="shared" si="18"/>
        <v>-0.19999999999953399</v>
      </c>
      <c r="AB8" s="49">
        <v>8.7326999999999995</v>
      </c>
      <c r="AC8" s="43">
        <f t="shared" si="19"/>
        <v>-9.99999999997669E-2</v>
      </c>
      <c r="AD8" s="44">
        <f t="shared" si="20"/>
        <v>-0.30000000000107702</v>
      </c>
      <c r="AE8" s="45">
        <f t="shared" si="21"/>
        <v>-9.99999999997669E-2</v>
      </c>
      <c r="AF8" s="50">
        <v>79560</v>
      </c>
      <c r="AG8" s="58">
        <f t="shared" si="22"/>
        <v>20</v>
      </c>
      <c r="AH8" s="59"/>
      <c r="AI8" s="60"/>
      <c r="AJ8" s="61"/>
      <c r="AK8" s="62"/>
      <c r="AL8" s="52"/>
      <c r="AM8" s="52"/>
    </row>
    <row r="9" spans="1:48">
      <c r="A9" s="21">
        <v>44646</v>
      </c>
      <c r="B9" s="22">
        <v>791.46479999999997</v>
      </c>
      <c r="C9" s="27">
        <v>5.6440999999999999</v>
      </c>
      <c r="D9" s="23">
        <f t="shared" si="0"/>
        <v>797.10889999999995</v>
      </c>
      <c r="E9" s="24">
        <f t="shared" si="4"/>
        <v>-0.20000000006348301</v>
      </c>
      <c r="F9" s="25">
        <f t="shared" si="5"/>
        <v>9.9999999974897905E-2</v>
      </c>
      <c r="G9" s="26">
        <f t="shared" si="6"/>
        <v>-0.20000000006348301</v>
      </c>
      <c r="H9" s="6">
        <v>7.0038999999999998</v>
      </c>
      <c r="I9" s="35">
        <f t="shared" si="1"/>
        <v>798.46870000000001</v>
      </c>
      <c r="J9" s="24">
        <f t="shared" si="7"/>
        <v>-9.9999999974897905E-2</v>
      </c>
      <c r="K9" s="25">
        <f t="shared" si="8"/>
        <v>-0.199999999949796</v>
      </c>
      <c r="L9" s="26">
        <f t="shared" si="9"/>
        <v>-9.9999999974897905E-2</v>
      </c>
      <c r="M9" s="6">
        <v>5.8368000000000002</v>
      </c>
      <c r="N9" s="35">
        <f t="shared" si="2"/>
        <v>797.30160000000001</v>
      </c>
      <c r="O9" s="24">
        <f t="shared" si="10"/>
        <v>0.10000000008858501</v>
      </c>
      <c r="P9" s="25">
        <f t="shared" si="11"/>
        <v>-0.29999999992469401</v>
      </c>
      <c r="Q9" s="26">
        <f t="shared" si="12"/>
        <v>0.10000000008858501</v>
      </c>
      <c r="R9" s="41"/>
      <c r="S9" s="21">
        <f t="shared" si="3"/>
        <v>44646</v>
      </c>
      <c r="T9" s="42">
        <v>8.8980999999999995</v>
      </c>
      <c r="U9" s="43">
        <f t="shared" si="13"/>
        <v>0.29999999999930099</v>
      </c>
      <c r="V9" s="44">
        <f t="shared" si="14"/>
        <v>9.99999999997669E-2</v>
      </c>
      <c r="W9" s="45">
        <f t="shared" si="15"/>
        <v>-0.29999999999930099</v>
      </c>
      <c r="X9" s="29">
        <v>11.803900000000001</v>
      </c>
      <c r="Y9" s="43">
        <f t="shared" si="16"/>
        <v>-0.19999999999953399</v>
      </c>
      <c r="Z9" s="44">
        <f t="shared" si="17"/>
        <v>-0.29999999999930099</v>
      </c>
      <c r="AA9" s="45">
        <f t="shared" si="18"/>
        <v>-0.19999999999953399</v>
      </c>
      <c r="AB9" s="49">
        <v>8.7324999999999999</v>
      </c>
      <c r="AC9" s="43">
        <f t="shared" si="19"/>
        <v>-0.19999999999953399</v>
      </c>
      <c r="AD9" s="44">
        <f t="shared" si="20"/>
        <v>-0.50000000000061096</v>
      </c>
      <c r="AE9" s="45">
        <f t="shared" si="21"/>
        <v>-0.19999999999953399</v>
      </c>
      <c r="AF9" s="50">
        <v>79566</v>
      </c>
      <c r="AG9" s="58">
        <f t="shared" si="22"/>
        <v>26</v>
      </c>
      <c r="AH9" s="59"/>
      <c r="AI9" s="60"/>
      <c r="AJ9" s="61"/>
      <c r="AK9" s="62"/>
      <c r="AL9" s="52"/>
      <c r="AM9" s="52"/>
    </row>
    <row r="10" spans="1:48">
      <c r="A10" s="21">
        <v>44647</v>
      </c>
      <c r="B10" s="22">
        <v>791.46479999999997</v>
      </c>
      <c r="C10" s="27">
        <v>5.6441999999999997</v>
      </c>
      <c r="D10" s="23">
        <f t="shared" si="0"/>
        <v>797.10900000000004</v>
      </c>
      <c r="E10" s="24">
        <f t="shared" si="4"/>
        <v>9.9999999974897905E-2</v>
      </c>
      <c r="F10" s="25">
        <f t="shared" si="5"/>
        <v>0.199999999949796</v>
      </c>
      <c r="G10" s="26">
        <f t="shared" si="6"/>
        <v>9.9999999974897905E-2</v>
      </c>
      <c r="H10" s="6">
        <v>7.0038</v>
      </c>
      <c r="I10" s="35">
        <f t="shared" si="1"/>
        <v>798.46860000000004</v>
      </c>
      <c r="J10" s="24">
        <f t="shared" si="7"/>
        <v>-0.10000000008858501</v>
      </c>
      <c r="K10" s="25">
        <f t="shared" si="8"/>
        <v>-0.30000000003838101</v>
      </c>
      <c r="L10" s="26">
        <f t="shared" si="9"/>
        <v>-0.10000000008858501</v>
      </c>
      <c r="M10" s="6">
        <v>5.8362999999999996</v>
      </c>
      <c r="N10" s="35">
        <f t="shared" si="2"/>
        <v>797.30110000000002</v>
      </c>
      <c r="O10" s="24">
        <f t="shared" si="10"/>
        <v>-0.49999999998817701</v>
      </c>
      <c r="P10" s="25">
        <f t="shared" si="11"/>
        <v>-0.79999999991286996</v>
      </c>
      <c r="Q10" s="26">
        <f t="shared" si="12"/>
        <v>-0.49999999998817701</v>
      </c>
      <c r="R10" s="41"/>
      <c r="S10" s="21">
        <f t="shared" si="3"/>
        <v>44647</v>
      </c>
      <c r="T10" s="42">
        <v>8.8976000000000006</v>
      </c>
      <c r="U10" s="43">
        <f t="shared" si="13"/>
        <v>-0.49999999999883499</v>
      </c>
      <c r="V10" s="44">
        <f t="shared" si="14"/>
        <v>-0.39999999999906799</v>
      </c>
      <c r="W10" s="45">
        <f t="shared" si="15"/>
        <v>0.49999999999883499</v>
      </c>
      <c r="X10" s="29">
        <v>11.803800000000001</v>
      </c>
      <c r="Y10" s="43">
        <f t="shared" si="16"/>
        <v>-9.99999999997669E-2</v>
      </c>
      <c r="Z10" s="44">
        <f t="shared" si="17"/>
        <v>-0.39999999999906799</v>
      </c>
      <c r="AA10" s="45">
        <f t="shared" si="18"/>
        <v>-9.99999999997669E-2</v>
      </c>
      <c r="AB10" s="49">
        <v>8.7324999999999999</v>
      </c>
      <c r="AC10" s="43">
        <f t="shared" si="19"/>
        <v>0</v>
      </c>
      <c r="AD10" s="44">
        <f t="shared" si="20"/>
        <v>-0.50000000000061096</v>
      </c>
      <c r="AE10" s="45">
        <f t="shared" si="21"/>
        <v>0</v>
      </c>
      <c r="AF10" s="50">
        <v>79572</v>
      </c>
      <c r="AG10" s="58">
        <f t="shared" si="22"/>
        <v>32</v>
      </c>
      <c r="AH10" s="59"/>
      <c r="AI10" s="60"/>
      <c r="AJ10" s="61"/>
      <c r="AK10" s="62"/>
      <c r="AL10" s="52"/>
      <c r="AM10" s="52"/>
    </row>
    <row r="11" spans="1:48">
      <c r="A11" s="21">
        <v>44648</v>
      </c>
      <c r="B11" s="22">
        <v>791.46479999999997</v>
      </c>
      <c r="C11" s="27">
        <v>5.6436999999999999</v>
      </c>
      <c r="D11" s="23">
        <f t="shared" si="0"/>
        <v>797.10850000000005</v>
      </c>
      <c r="E11" s="24">
        <f t="shared" si="4"/>
        <v>-0.49999999998817701</v>
      </c>
      <c r="F11" s="25">
        <f t="shared" si="5"/>
        <v>-0.30000000003838101</v>
      </c>
      <c r="G11" s="26">
        <f t="shared" si="6"/>
        <v>-0.49999999998817701</v>
      </c>
      <c r="H11" s="6">
        <v>7.0041000000000002</v>
      </c>
      <c r="I11" s="35">
        <f t="shared" si="1"/>
        <v>798.46889999999996</v>
      </c>
      <c r="J11" s="24">
        <f t="shared" si="7"/>
        <v>0.30000000003838101</v>
      </c>
      <c r="K11" s="25">
        <f t="shared" si="8"/>
        <v>0</v>
      </c>
      <c r="L11" s="26">
        <f t="shared" si="9"/>
        <v>0.30000000003838101</v>
      </c>
      <c r="M11" s="6">
        <v>5.8361000000000001</v>
      </c>
      <c r="N11" s="35">
        <f t="shared" si="2"/>
        <v>797.30089999999996</v>
      </c>
      <c r="O11" s="24">
        <f t="shared" si="10"/>
        <v>-0.20000000006348301</v>
      </c>
      <c r="P11" s="25">
        <f t="shared" si="11"/>
        <v>-0.99999999997635303</v>
      </c>
      <c r="Q11" s="26">
        <f t="shared" si="12"/>
        <v>-0.20000000006348301</v>
      </c>
      <c r="R11" s="41"/>
      <c r="S11" s="21">
        <f t="shared" si="3"/>
        <v>44648</v>
      </c>
      <c r="T11" s="42">
        <v>8.8975000000000009</v>
      </c>
      <c r="U11" s="43">
        <f t="shared" si="13"/>
        <v>-9.99999999997669E-2</v>
      </c>
      <c r="V11" s="44">
        <f t="shared" si="14"/>
        <v>-0.49999999999883499</v>
      </c>
      <c r="W11" s="45">
        <f t="shared" si="15"/>
        <v>9.99999999997669E-2</v>
      </c>
      <c r="X11" s="29">
        <v>11.8035</v>
      </c>
      <c r="Y11" s="43">
        <f t="shared" si="16"/>
        <v>-0.30000000000107702</v>
      </c>
      <c r="Z11" s="44">
        <f t="shared" si="17"/>
        <v>-0.70000000000014495</v>
      </c>
      <c r="AA11" s="45">
        <f t="shared" si="18"/>
        <v>-0.30000000000107702</v>
      </c>
      <c r="AB11" s="49">
        <v>8.7324000000000002</v>
      </c>
      <c r="AC11" s="43">
        <f t="shared" si="19"/>
        <v>-9.99999999997669E-2</v>
      </c>
      <c r="AD11" s="44">
        <f t="shared" si="20"/>
        <v>-0.60000000000037801</v>
      </c>
      <c r="AE11" s="45">
        <f t="shared" si="21"/>
        <v>-9.99999999997669E-2</v>
      </c>
      <c r="AF11" s="50">
        <v>79578</v>
      </c>
      <c r="AG11" s="58">
        <f t="shared" si="22"/>
        <v>38</v>
      </c>
      <c r="AH11" s="59"/>
      <c r="AI11" s="60"/>
      <c r="AJ11" s="52"/>
      <c r="AK11" s="52"/>
      <c r="AL11" s="52"/>
      <c r="AM11" s="52"/>
    </row>
    <row r="12" spans="1:48">
      <c r="A12" s="21">
        <v>44649</v>
      </c>
      <c r="B12" s="22">
        <v>791.46479999999997</v>
      </c>
      <c r="C12" s="27">
        <v>5.6435000000000004</v>
      </c>
      <c r="D12" s="23">
        <f t="shared" si="0"/>
        <v>797.10829999999999</v>
      </c>
      <c r="E12" s="24">
        <f t="shared" si="4"/>
        <v>-0.199999999949796</v>
      </c>
      <c r="F12" s="25">
        <f t="shared" si="5"/>
        <v>-0.49999999998817701</v>
      </c>
      <c r="G12" s="26">
        <f t="shared" si="6"/>
        <v>-0.199999999949796</v>
      </c>
      <c r="H12" s="6">
        <v>7.0035999999999996</v>
      </c>
      <c r="I12" s="35">
        <f t="shared" si="1"/>
        <v>798.46839999999997</v>
      </c>
      <c r="J12" s="24">
        <f t="shared" si="7"/>
        <v>-0.49999999998817701</v>
      </c>
      <c r="K12" s="25">
        <f t="shared" si="8"/>
        <v>-0.49999999998817701</v>
      </c>
      <c r="L12" s="26">
        <f t="shared" si="9"/>
        <v>-0.49999999998817701</v>
      </c>
      <c r="M12" s="6">
        <v>5.8361999999999998</v>
      </c>
      <c r="N12" s="35">
        <f t="shared" si="2"/>
        <v>797.30100000000004</v>
      </c>
      <c r="O12" s="24">
        <f t="shared" si="10"/>
        <v>9.9999999974897905E-2</v>
      </c>
      <c r="P12" s="25">
        <f t="shared" si="11"/>
        <v>-0.90000000000145497</v>
      </c>
      <c r="Q12" s="26">
        <f t="shared" si="12"/>
        <v>9.9999999974897905E-2</v>
      </c>
      <c r="R12" s="41"/>
      <c r="S12" s="21">
        <f t="shared" ref="S12:S24" si="23">A12</f>
        <v>44649</v>
      </c>
      <c r="T12" s="42">
        <v>8.8978000000000002</v>
      </c>
      <c r="U12" s="43">
        <f t="shared" ref="U12:U24" si="24">(T12-T11)*1000</f>
        <v>0.29999999999930099</v>
      </c>
      <c r="V12" s="44">
        <f t="shared" ref="V12:V24" si="25">V11+U12</f>
        <v>-0.19999999999953399</v>
      </c>
      <c r="W12" s="45">
        <f t="shared" ref="W12:W24" si="26">U12/(S11-S12)</f>
        <v>-0.29999999999930099</v>
      </c>
      <c r="X12" s="29">
        <v>11.8033</v>
      </c>
      <c r="Y12" s="43">
        <f t="shared" ref="Y12:Y24" si="27">(X12-X11)*1000</f>
        <v>-0.19999999999953399</v>
      </c>
      <c r="Z12" s="44">
        <f t="shared" ref="Z12:Z24" si="28">Z11+Y12</f>
        <v>-0.89999999999967895</v>
      </c>
      <c r="AA12" s="45">
        <f t="shared" ref="AA12:AA24" si="29">Y12/(S12-S11)</f>
        <v>-0.19999999999953399</v>
      </c>
      <c r="AB12" s="49">
        <v>8.7319999999999993</v>
      </c>
      <c r="AC12" s="43">
        <f t="shared" ref="AC12:AC24" si="30">(AB12-AB11)*1000</f>
        <v>-0.40000000000084401</v>
      </c>
      <c r="AD12" s="44">
        <f t="shared" ref="AD12:AD24" si="31">AD11+AC12</f>
        <v>-1.0000000000012199</v>
      </c>
      <c r="AE12" s="45">
        <f t="shared" ref="AE12:AE24" si="32">AC12/(S12-S11)</f>
        <v>-0.40000000000084401</v>
      </c>
      <c r="AF12" s="50">
        <v>79584</v>
      </c>
      <c r="AG12" s="58">
        <f t="shared" si="22"/>
        <v>44</v>
      </c>
      <c r="AH12" s="61"/>
      <c r="AI12" s="60"/>
      <c r="AJ12"/>
      <c r="AK12"/>
      <c r="AL12"/>
      <c r="AM12"/>
    </row>
    <row r="13" spans="1:48">
      <c r="A13" s="21">
        <v>44650</v>
      </c>
      <c r="B13" s="22">
        <v>791.46479999999997</v>
      </c>
      <c r="C13" s="27">
        <v>5.6433</v>
      </c>
      <c r="D13" s="23">
        <f t="shared" si="0"/>
        <v>797.10810000000004</v>
      </c>
      <c r="E13" s="24">
        <f t="shared" si="4"/>
        <v>-0.20000000006348301</v>
      </c>
      <c r="F13" s="25">
        <f t="shared" si="5"/>
        <v>-0.70000000005165897</v>
      </c>
      <c r="G13" s="26">
        <f t="shared" si="6"/>
        <v>-0.20000000006348301</v>
      </c>
      <c r="H13" s="6">
        <v>7.0034999999999998</v>
      </c>
      <c r="I13" s="35">
        <f t="shared" si="1"/>
        <v>798.4683</v>
      </c>
      <c r="J13" s="24">
        <f t="shared" si="7"/>
        <v>-9.9999999974897905E-2</v>
      </c>
      <c r="K13" s="25">
        <f t="shared" si="8"/>
        <v>-0.59999999996307496</v>
      </c>
      <c r="L13" s="26">
        <f t="shared" si="9"/>
        <v>-9.9999999974897905E-2</v>
      </c>
      <c r="M13" s="6">
        <v>5.8357000000000001</v>
      </c>
      <c r="N13" s="35">
        <f t="shared" si="2"/>
        <v>797.30050000000006</v>
      </c>
      <c r="O13" s="24">
        <f t="shared" si="10"/>
        <v>-0.49999999998817701</v>
      </c>
      <c r="P13" s="25">
        <f t="shared" si="11"/>
        <v>-1.39999999998963</v>
      </c>
      <c r="Q13" s="26">
        <f t="shared" si="12"/>
        <v>-0.49999999998817701</v>
      </c>
      <c r="R13" s="41"/>
      <c r="S13" s="21">
        <f t="shared" si="23"/>
        <v>44650</v>
      </c>
      <c r="T13" s="42">
        <v>8.8972999999999995</v>
      </c>
      <c r="U13" s="43">
        <f t="shared" si="24"/>
        <v>-0.50000000000061096</v>
      </c>
      <c r="V13" s="44">
        <f t="shared" si="25"/>
        <v>-0.70000000000014495</v>
      </c>
      <c r="W13" s="45">
        <f t="shared" si="26"/>
        <v>0.50000000000061096</v>
      </c>
      <c r="X13" s="29">
        <v>11.803100000000001</v>
      </c>
      <c r="Y13" s="43">
        <f t="shared" si="27"/>
        <v>-0.19999999999953399</v>
      </c>
      <c r="Z13" s="44">
        <f t="shared" si="28"/>
        <v>-1.0999999999992101</v>
      </c>
      <c r="AA13" s="45">
        <f t="shared" si="29"/>
        <v>-0.19999999999953399</v>
      </c>
      <c r="AB13" s="49">
        <v>8.7322000000000006</v>
      </c>
      <c r="AC13" s="43">
        <f t="shared" si="30"/>
        <v>0.20000000000130999</v>
      </c>
      <c r="AD13" s="44">
        <f t="shared" si="31"/>
        <v>-0.799999999999912</v>
      </c>
      <c r="AE13" s="45">
        <f t="shared" si="32"/>
        <v>0.20000000000130999</v>
      </c>
      <c r="AF13" s="50">
        <v>79590</v>
      </c>
      <c r="AG13" s="58">
        <f t="shared" si="22"/>
        <v>50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44651</v>
      </c>
      <c r="B14" s="22">
        <v>791.46479999999997</v>
      </c>
      <c r="C14" s="27">
        <v>5.6435000000000004</v>
      </c>
      <c r="D14" s="23">
        <f t="shared" si="0"/>
        <v>797.10829999999999</v>
      </c>
      <c r="E14" s="24">
        <f t="shared" si="4"/>
        <v>0.20000000006348301</v>
      </c>
      <c r="F14" s="25">
        <f t="shared" si="5"/>
        <v>-0.49999999998817701</v>
      </c>
      <c r="G14" s="26">
        <f t="shared" si="6"/>
        <v>0.20000000006348301</v>
      </c>
      <c r="H14" s="6">
        <v>7.0034000000000001</v>
      </c>
      <c r="I14" s="35">
        <f t="shared" si="1"/>
        <v>798.46820000000002</v>
      </c>
      <c r="J14" s="24">
        <f t="shared" si="7"/>
        <v>-9.9999999974897905E-2</v>
      </c>
      <c r="K14" s="25">
        <f t="shared" si="8"/>
        <v>-0.69999999993797202</v>
      </c>
      <c r="L14" s="26">
        <f t="shared" si="9"/>
        <v>-9.9999999974897905E-2</v>
      </c>
      <c r="M14" s="6">
        <v>5.8354999999999997</v>
      </c>
      <c r="N14" s="35">
        <f t="shared" si="2"/>
        <v>797.30029999999999</v>
      </c>
      <c r="O14" s="24">
        <f t="shared" si="10"/>
        <v>-0.199999999949796</v>
      </c>
      <c r="P14" s="25">
        <f t="shared" si="11"/>
        <v>-1.5999999999394301</v>
      </c>
      <c r="Q14" s="26">
        <f t="shared" si="12"/>
        <v>-0.199999999949796</v>
      </c>
      <c r="R14" s="41"/>
      <c r="S14" s="21">
        <f t="shared" si="23"/>
        <v>44651</v>
      </c>
      <c r="T14" s="42">
        <v>8.8971999999999998</v>
      </c>
      <c r="U14" s="43">
        <f t="shared" si="24"/>
        <v>-9.99999999997669E-2</v>
      </c>
      <c r="V14" s="44">
        <f t="shared" si="25"/>
        <v>-0.799999999999912</v>
      </c>
      <c r="W14" s="45">
        <f t="shared" si="26"/>
        <v>9.99999999997669E-2</v>
      </c>
      <c r="X14" s="29">
        <v>11.8032</v>
      </c>
      <c r="Y14" s="43">
        <f t="shared" si="27"/>
        <v>9.99999999997669E-2</v>
      </c>
      <c r="Z14" s="44">
        <f t="shared" si="28"/>
        <v>-0.999999999999446</v>
      </c>
      <c r="AA14" s="45">
        <f t="shared" si="29"/>
        <v>9.99999999997669E-2</v>
      </c>
      <c r="AB14" s="49">
        <v>8.7321000000000009</v>
      </c>
      <c r="AC14" s="43">
        <f t="shared" si="30"/>
        <v>-9.99999999997669E-2</v>
      </c>
      <c r="AD14" s="44">
        <f t="shared" si="31"/>
        <v>-0.89999999999967895</v>
      </c>
      <c r="AE14" s="45">
        <f t="shared" si="32"/>
        <v>-9.99999999997669E-2</v>
      </c>
      <c r="AF14" s="50">
        <v>79596</v>
      </c>
      <c r="AG14" s="58">
        <f t="shared" si="22"/>
        <v>56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44652</v>
      </c>
      <c r="B15" s="22">
        <v>791.46479999999997</v>
      </c>
      <c r="C15" s="27">
        <v>5.6429</v>
      </c>
      <c r="D15" s="23">
        <f t="shared" si="0"/>
        <v>797.10770000000002</v>
      </c>
      <c r="E15" s="24">
        <f t="shared" si="4"/>
        <v>-0.59999999996307496</v>
      </c>
      <c r="F15" s="25">
        <f t="shared" si="5"/>
        <v>-1.09999999995125</v>
      </c>
      <c r="G15" s="26">
        <f t="shared" si="6"/>
        <v>-0.59999999996307496</v>
      </c>
      <c r="H15" s="6">
        <v>7.0031999999999996</v>
      </c>
      <c r="I15" s="35">
        <f t="shared" si="1"/>
        <v>798.46799999999996</v>
      </c>
      <c r="J15" s="24">
        <f t="shared" si="7"/>
        <v>-0.20000000006348301</v>
      </c>
      <c r="K15" s="25">
        <f t="shared" si="8"/>
        <v>-0.90000000000145497</v>
      </c>
      <c r="L15" s="26">
        <f t="shared" si="9"/>
        <v>-0.20000000006348301</v>
      </c>
      <c r="M15" s="6">
        <v>5.8353000000000002</v>
      </c>
      <c r="N15" s="35">
        <f t="shared" si="2"/>
        <v>797.30010000000004</v>
      </c>
      <c r="O15" s="24">
        <f t="shared" si="10"/>
        <v>-0.20000000006348301</v>
      </c>
      <c r="P15" s="25">
        <f t="shared" si="11"/>
        <v>-1.8000000000029099</v>
      </c>
      <c r="Q15" s="26">
        <f t="shared" si="12"/>
        <v>-0.20000000006348301</v>
      </c>
      <c r="R15" s="41"/>
      <c r="S15" s="21">
        <f t="shared" si="23"/>
        <v>44652</v>
      </c>
      <c r="T15" s="42">
        <v>8.8972999999999995</v>
      </c>
      <c r="U15" s="43">
        <f t="shared" si="24"/>
        <v>9.99999999997669E-2</v>
      </c>
      <c r="V15" s="44">
        <f t="shared" si="25"/>
        <v>-0.70000000000014495</v>
      </c>
      <c r="W15" s="45">
        <f t="shared" si="26"/>
        <v>-9.99999999997669E-2</v>
      </c>
      <c r="X15" s="29">
        <v>11.8027</v>
      </c>
      <c r="Y15" s="43">
        <f t="shared" si="27"/>
        <v>-0.50000000000061096</v>
      </c>
      <c r="Z15" s="44">
        <f t="shared" si="28"/>
        <v>-1.50000000000006</v>
      </c>
      <c r="AA15" s="45">
        <f t="shared" si="29"/>
        <v>-0.50000000000061096</v>
      </c>
      <c r="AB15" s="49">
        <v>8.7319999999999993</v>
      </c>
      <c r="AC15" s="43">
        <f t="shared" si="30"/>
        <v>-0.10000000000154299</v>
      </c>
      <c r="AD15" s="44">
        <f t="shared" si="31"/>
        <v>-1.0000000000012199</v>
      </c>
      <c r="AE15" s="45">
        <f t="shared" si="32"/>
        <v>-0.10000000000154299</v>
      </c>
      <c r="AF15" s="50">
        <v>79602</v>
      </c>
      <c r="AG15" s="58">
        <f t="shared" si="22"/>
        <v>62</v>
      </c>
      <c r="AH15" s="61"/>
      <c r="AI15" s="60"/>
      <c r="AJ15"/>
      <c r="AK15"/>
      <c r="AL15"/>
      <c r="AM15"/>
    </row>
    <row r="16" spans="1:48">
      <c r="A16" s="21">
        <v>44653</v>
      </c>
      <c r="B16" s="22">
        <v>791.46479999999997</v>
      </c>
      <c r="C16" s="27">
        <v>5.6426999999999996</v>
      </c>
      <c r="D16" s="23">
        <f t="shared" si="0"/>
        <v>797.10749999999996</v>
      </c>
      <c r="E16" s="24">
        <f t="shared" si="4"/>
        <v>-0.20000000006348301</v>
      </c>
      <c r="F16" s="25">
        <f t="shared" si="5"/>
        <v>-1.30000000001473</v>
      </c>
      <c r="G16" s="26">
        <f t="shared" si="6"/>
        <v>-0.20000000006348301</v>
      </c>
      <c r="H16" s="6">
        <v>7.0031999999999996</v>
      </c>
      <c r="I16" s="35">
        <f t="shared" si="1"/>
        <v>798.46799999999996</v>
      </c>
      <c r="J16" s="24">
        <f t="shared" si="7"/>
        <v>0</v>
      </c>
      <c r="K16" s="25">
        <f t="shared" si="8"/>
        <v>-0.90000000000145497</v>
      </c>
      <c r="L16" s="26">
        <f t="shared" si="9"/>
        <v>0</v>
      </c>
      <c r="M16" s="6">
        <v>5.8354999999999997</v>
      </c>
      <c r="N16" s="35">
        <f t="shared" si="2"/>
        <v>797.30029999999999</v>
      </c>
      <c r="O16" s="24">
        <f t="shared" si="10"/>
        <v>0.20000000006348301</v>
      </c>
      <c r="P16" s="25">
        <f t="shared" si="11"/>
        <v>-1.5999999999394301</v>
      </c>
      <c r="Q16" s="26">
        <f t="shared" si="12"/>
        <v>0.20000000006348301</v>
      </c>
      <c r="R16" s="41"/>
      <c r="S16" s="21">
        <f t="shared" si="23"/>
        <v>44653</v>
      </c>
      <c r="T16" s="42">
        <v>8.8970000000000002</v>
      </c>
      <c r="U16" s="43">
        <f t="shared" si="24"/>
        <v>-0.29999999999930099</v>
      </c>
      <c r="V16" s="44">
        <f t="shared" si="25"/>
        <v>-0.999999999999446</v>
      </c>
      <c r="W16" s="45">
        <f t="shared" si="26"/>
        <v>0.29999999999930099</v>
      </c>
      <c r="X16" s="29">
        <v>11.8025</v>
      </c>
      <c r="Y16" s="43">
        <f t="shared" si="27"/>
        <v>-0.19999999999953399</v>
      </c>
      <c r="Z16" s="44">
        <f t="shared" si="28"/>
        <v>-1.6999999999995901</v>
      </c>
      <c r="AA16" s="45">
        <f t="shared" si="29"/>
        <v>-0.19999999999953399</v>
      </c>
      <c r="AB16" s="49">
        <v>8.7321000000000009</v>
      </c>
      <c r="AC16" s="43">
        <f t="shared" si="30"/>
        <v>0.10000000000154299</v>
      </c>
      <c r="AD16" s="44">
        <f t="shared" si="31"/>
        <v>-0.89999999999967895</v>
      </c>
      <c r="AE16" s="45">
        <f t="shared" si="32"/>
        <v>0.10000000000154299</v>
      </c>
      <c r="AF16" s="50">
        <v>79608</v>
      </c>
      <c r="AG16" s="58">
        <f t="shared" si="22"/>
        <v>68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44654</v>
      </c>
      <c r="B17" s="22">
        <v>791.46479999999997</v>
      </c>
      <c r="C17" s="27">
        <v>5.6428000000000003</v>
      </c>
      <c r="D17" s="23">
        <f t="shared" si="0"/>
        <v>797.10760000000005</v>
      </c>
      <c r="E17" s="24">
        <f t="shared" si="4"/>
        <v>9.9999999974897905E-2</v>
      </c>
      <c r="F17" s="25">
        <f t="shared" si="5"/>
        <v>-1.2000000000398401</v>
      </c>
      <c r="G17" s="26">
        <f t="shared" si="6"/>
        <v>9.9999999974897905E-2</v>
      </c>
      <c r="H17" s="6">
        <v>7.0030999999999999</v>
      </c>
      <c r="I17" s="35">
        <f t="shared" si="1"/>
        <v>798.46789999999999</v>
      </c>
      <c r="J17" s="24">
        <f t="shared" si="7"/>
        <v>-9.9999999974897905E-2</v>
      </c>
      <c r="K17" s="25">
        <f t="shared" si="8"/>
        <v>-0.99999999997635303</v>
      </c>
      <c r="L17" s="26">
        <f t="shared" si="9"/>
        <v>-9.9999999974897905E-2</v>
      </c>
      <c r="M17" s="6">
        <v>5.8349000000000002</v>
      </c>
      <c r="N17" s="35">
        <f t="shared" si="2"/>
        <v>797.29970000000003</v>
      </c>
      <c r="O17" s="24">
        <f t="shared" si="10"/>
        <v>-0.60000000007676102</v>
      </c>
      <c r="P17" s="25">
        <f t="shared" si="11"/>
        <v>-2.2000000000161899</v>
      </c>
      <c r="Q17" s="26">
        <f t="shared" si="12"/>
        <v>-0.60000000007676102</v>
      </c>
      <c r="R17" s="41"/>
      <c r="S17" s="21">
        <f t="shared" si="23"/>
        <v>44654</v>
      </c>
      <c r="T17" s="42">
        <v>8.8969000000000005</v>
      </c>
      <c r="U17" s="43">
        <f t="shared" si="24"/>
        <v>-9.99999999997669E-2</v>
      </c>
      <c r="V17" s="44">
        <f t="shared" si="25"/>
        <v>-1.0999999999992101</v>
      </c>
      <c r="W17" s="45">
        <f t="shared" si="26"/>
        <v>9.99999999997669E-2</v>
      </c>
      <c r="X17" s="29">
        <v>11.803000000000001</v>
      </c>
      <c r="Y17" s="43">
        <f t="shared" si="27"/>
        <v>0.50000000000061096</v>
      </c>
      <c r="Z17" s="44">
        <f t="shared" si="28"/>
        <v>-1.1999999999989801</v>
      </c>
      <c r="AA17" s="45">
        <f t="shared" si="29"/>
        <v>0.50000000000061096</v>
      </c>
      <c r="AB17" s="49">
        <v>8.7317999999999998</v>
      </c>
      <c r="AC17" s="43">
        <f t="shared" si="30"/>
        <v>-0.30000000000107702</v>
      </c>
      <c r="AD17" s="44">
        <f t="shared" si="31"/>
        <v>-1.20000000000076</v>
      </c>
      <c r="AE17" s="45">
        <f t="shared" si="32"/>
        <v>-0.30000000000107702</v>
      </c>
      <c r="AF17" s="50">
        <v>79614</v>
      </c>
      <c r="AG17" s="58">
        <f t="shared" si="22"/>
        <v>74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44655</v>
      </c>
      <c r="B18" s="22">
        <v>791.46479999999997</v>
      </c>
      <c r="C18" s="27">
        <v>5.6422999999999996</v>
      </c>
      <c r="D18" s="23">
        <f t="shared" si="0"/>
        <v>797.10709999999995</v>
      </c>
      <c r="E18" s="24">
        <f t="shared" si="4"/>
        <v>-0.49999999998817701</v>
      </c>
      <c r="F18" s="25">
        <f t="shared" si="5"/>
        <v>-1.70000000002801</v>
      </c>
      <c r="G18" s="26">
        <f t="shared" si="6"/>
        <v>-0.49999999998817701</v>
      </c>
      <c r="H18" s="6">
        <v>7.0030000000000001</v>
      </c>
      <c r="I18" s="35">
        <f t="shared" si="1"/>
        <v>798.46780000000001</v>
      </c>
      <c r="J18" s="24">
        <f t="shared" si="7"/>
        <v>-9.9999999974897905E-2</v>
      </c>
      <c r="K18" s="25">
        <f t="shared" si="8"/>
        <v>-1.09999999995125</v>
      </c>
      <c r="L18" s="26">
        <f t="shared" si="9"/>
        <v>-9.9999999974897905E-2</v>
      </c>
      <c r="M18" s="6">
        <v>5.8346999999999998</v>
      </c>
      <c r="N18" s="35">
        <f t="shared" si="2"/>
        <v>797.29949999999997</v>
      </c>
      <c r="O18" s="24">
        <f t="shared" si="10"/>
        <v>-0.199999999949796</v>
      </c>
      <c r="P18" s="25">
        <f t="shared" si="11"/>
        <v>-2.39999999996598</v>
      </c>
      <c r="Q18" s="26">
        <f t="shared" si="12"/>
        <v>-0.199999999949796</v>
      </c>
      <c r="R18" s="41"/>
      <c r="S18" s="21">
        <f t="shared" si="23"/>
        <v>44655</v>
      </c>
      <c r="T18" s="42">
        <v>8.8968000000000007</v>
      </c>
      <c r="U18" s="43">
        <f t="shared" si="24"/>
        <v>-9.99999999997669E-2</v>
      </c>
      <c r="V18" s="44">
        <f t="shared" si="25"/>
        <v>-1.1999999999989801</v>
      </c>
      <c r="W18" s="45">
        <f t="shared" si="26"/>
        <v>9.99999999997669E-2</v>
      </c>
      <c r="X18" s="29">
        <v>11.802099999999999</v>
      </c>
      <c r="Y18" s="43">
        <f t="shared" si="27"/>
        <v>-0.90000000000145497</v>
      </c>
      <c r="Z18" s="44">
        <f t="shared" si="28"/>
        <v>-2.10000000000043</v>
      </c>
      <c r="AA18" s="45">
        <f t="shared" si="29"/>
        <v>-0.90000000000145497</v>
      </c>
      <c r="AB18" s="49">
        <v>8.7317</v>
      </c>
      <c r="AC18" s="43">
        <f t="shared" si="30"/>
        <v>-9.99999999997669E-2</v>
      </c>
      <c r="AD18" s="44">
        <f t="shared" si="31"/>
        <v>-1.3000000000005201</v>
      </c>
      <c r="AE18" s="45">
        <f t="shared" si="32"/>
        <v>-9.99999999997669E-2</v>
      </c>
      <c r="AF18" s="50">
        <v>79620</v>
      </c>
      <c r="AG18" s="58">
        <f t="shared" si="22"/>
        <v>80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44656</v>
      </c>
      <c r="B19" s="22">
        <v>791.46479999999997</v>
      </c>
      <c r="C19" s="27">
        <v>5.6421000000000001</v>
      </c>
      <c r="D19" s="23">
        <f t="shared" si="0"/>
        <v>797.1069</v>
      </c>
      <c r="E19" s="24">
        <f t="shared" si="4"/>
        <v>-0.199999999949796</v>
      </c>
      <c r="F19" s="25">
        <f t="shared" si="5"/>
        <v>-1.8999999999778101</v>
      </c>
      <c r="G19" s="26">
        <f t="shared" si="6"/>
        <v>-0.199999999949796</v>
      </c>
      <c r="H19" s="6">
        <v>7.0030999999999999</v>
      </c>
      <c r="I19" s="35">
        <f t="shared" si="1"/>
        <v>798.46789999999999</v>
      </c>
      <c r="J19" s="24">
        <f t="shared" si="7"/>
        <v>9.9999999974897905E-2</v>
      </c>
      <c r="K19" s="25">
        <f t="shared" si="8"/>
        <v>-0.99999999997635303</v>
      </c>
      <c r="L19" s="26">
        <f t="shared" si="9"/>
        <v>9.9999999974897905E-2</v>
      </c>
      <c r="M19" s="6">
        <v>5.8342000000000001</v>
      </c>
      <c r="N19" s="35">
        <f t="shared" si="2"/>
        <v>797.29899999999998</v>
      </c>
      <c r="O19" s="24">
        <f t="shared" si="10"/>
        <v>-0.49999999998817701</v>
      </c>
      <c r="P19" s="25">
        <f t="shared" si="11"/>
        <v>-2.8999999999541601</v>
      </c>
      <c r="Q19" s="26">
        <f t="shared" si="12"/>
        <v>-0.49999999998817701</v>
      </c>
      <c r="R19" s="41"/>
      <c r="S19" s="21">
        <f t="shared" si="23"/>
        <v>44656</v>
      </c>
      <c r="T19" s="42">
        <v>8.8968000000000007</v>
      </c>
      <c r="U19" s="43">
        <f t="shared" si="24"/>
        <v>0</v>
      </c>
      <c r="V19" s="44">
        <f t="shared" si="25"/>
        <v>-1.1999999999989801</v>
      </c>
      <c r="W19" s="45">
        <f t="shared" si="26"/>
        <v>0</v>
      </c>
      <c r="X19" s="29">
        <v>11.8019</v>
      </c>
      <c r="Y19" s="43">
        <f t="shared" si="27"/>
        <v>-0.19999999999953399</v>
      </c>
      <c r="Z19" s="44">
        <f t="shared" si="28"/>
        <v>-2.2999999999999701</v>
      </c>
      <c r="AA19" s="45">
        <f t="shared" si="29"/>
        <v>-0.19999999999953399</v>
      </c>
      <c r="AB19" s="49">
        <v>8.7317999999999998</v>
      </c>
      <c r="AC19" s="43">
        <f t="shared" si="30"/>
        <v>9.99999999997669E-2</v>
      </c>
      <c r="AD19" s="44">
        <f t="shared" si="31"/>
        <v>-1.20000000000076</v>
      </c>
      <c r="AE19" s="45">
        <f t="shared" si="32"/>
        <v>9.99999999997669E-2</v>
      </c>
      <c r="AF19" s="50">
        <v>79626</v>
      </c>
      <c r="AG19" s="58">
        <f t="shared" si="22"/>
        <v>86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44657</v>
      </c>
      <c r="B20" s="22">
        <v>791.46479999999997</v>
      </c>
      <c r="C20" s="27">
        <v>5.6425000000000001</v>
      </c>
      <c r="D20" s="23">
        <f t="shared" si="0"/>
        <v>797.10730000000001</v>
      </c>
      <c r="E20" s="24">
        <f t="shared" si="4"/>
        <v>0.40000000001327901</v>
      </c>
      <c r="F20" s="25">
        <f t="shared" si="5"/>
        <v>-1.4999999999645299</v>
      </c>
      <c r="G20" s="26">
        <f t="shared" si="6"/>
        <v>0.40000000001327901</v>
      </c>
      <c r="H20" s="6">
        <v>7.0027999999999997</v>
      </c>
      <c r="I20" s="35">
        <f t="shared" si="1"/>
        <v>798.46759999999995</v>
      </c>
      <c r="J20" s="24">
        <f t="shared" si="7"/>
        <v>-0.30000000003838101</v>
      </c>
      <c r="K20" s="25">
        <f t="shared" si="8"/>
        <v>-1.30000000001473</v>
      </c>
      <c r="L20" s="26">
        <f t="shared" si="9"/>
        <v>-0.30000000003838101</v>
      </c>
      <c r="M20" s="6">
        <v>5.83429999999999</v>
      </c>
      <c r="N20" s="35">
        <f t="shared" si="2"/>
        <v>797.29909999999995</v>
      </c>
      <c r="O20" s="24">
        <f t="shared" si="10"/>
        <v>9.9999999974897905E-2</v>
      </c>
      <c r="P20" s="25">
        <f t="shared" si="11"/>
        <v>-2.79999999997926</v>
      </c>
      <c r="Q20" s="26">
        <f t="shared" si="12"/>
        <v>9.9999999974897905E-2</v>
      </c>
      <c r="R20" s="41"/>
      <c r="S20" s="21">
        <f t="shared" si="23"/>
        <v>44657</v>
      </c>
      <c r="T20" s="42">
        <v>8.8965999999999994</v>
      </c>
      <c r="U20" s="43">
        <f t="shared" si="24"/>
        <v>-0.20000000000130999</v>
      </c>
      <c r="V20" s="44">
        <f t="shared" si="25"/>
        <v>-1.4000000000002899</v>
      </c>
      <c r="W20" s="45">
        <f t="shared" si="26"/>
        <v>0.20000000000130999</v>
      </c>
      <c r="X20" s="29">
        <v>11.8017</v>
      </c>
      <c r="Y20" s="43">
        <f t="shared" si="27"/>
        <v>-0.19999999999953399</v>
      </c>
      <c r="Z20" s="44">
        <f t="shared" si="28"/>
        <v>-2.4999999999995</v>
      </c>
      <c r="AA20" s="45">
        <f t="shared" si="29"/>
        <v>-0.19999999999953399</v>
      </c>
      <c r="AB20" s="49">
        <v>8.7315000000000005</v>
      </c>
      <c r="AC20" s="43">
        <f t="shared" si="30"/>
        <v>-0.29999999999930099</v>
      </c>
      <c r="AD20" s="44">
        <f t="shared" si="31"/>
        <v>-1.50000000000006</v>
      </c>
      <c r="AE20" s="45">
        <f t="shared" si="32"/>
        <v>-0.29999999999930099</v>
      </c>
      <c r="AF20" s="50">
        <v>79632</v>
      </c>
      <c r="AG20" s="58">
        <f t="shared" si="22"/>
        <v>92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44659</v>
      </c>
      <c r="B21" s="22">
        <v>791.46479999999997</v>
      </c>
      <c r="C21" s="27">
        <v>5.6416999999999904</v>
      </c>
      <c r="D21" s="23">
        <f t="shared" si="0"/>
        <v>797.10649999999998</v>
      </c>
      <c r="E21" s="24">
        <f t="shared" si="4"/>
        <v>-0.80000000002655702</v>
      </c>
      <c r="F21" s="25">
        <f t="shared" si="5"/>
        <v>-2.2999999999910901</v>
      </c>
      <c r="G21" s="26">
        <f t="shared" si="6"/>
        <v>-0.40000000001327901</v>
      </c>
      <c r="H21" s="6">
        <v>7.0026999999999999</v>
      </c>
      <c r="I21" s="35">
        <f t="shared" si="1"/>
        <v>798.46749999999997</v>
      </c>
      <c r="J21" s="24">
        <f t="shared" si="7"/>
        <v>-9.9999999974897905E-2</v>
      </c>
      <c r="K21" s="25">
        <f t="shared" si="8"/>
        <v>-1.39999999998963</v>
      </c>
      <c r="L21" s="26">
        <f t="shared" si="9"/>
        <v>-4.9999999987449001E-2</v>
      </c>
      <c r="M21" s="6">
        <v>5.8340999999999896</v>
      </c>
      <c r="N21" s="35">
        <f t="shared" si="2"/>
        <v>797.2989</v>
      </c>
      <c r="O21" s="24">
        <f t="shared" si="10"/>
        <v>-0.199999999949796</v>
      </c>
      <c r="P21" s="25">
        <f t="shared" si="11"/>
        <v>-2.9999999999290599</v>
      </c>
      <c r="Q21" s="26">
        <f t="shared" si="12"/>
        <v>-9.9999999974897905E-2</v>
      </c>
      <c r="R21" s="41"/>
      <c r="S21" s="21">
        <f t="shared" si="23"/>
        <v>44659</v>
      </c>
      <c r="T21" s="42">
        <v>8.8964999999999996</v>
      </c>
      <c r="U21" s="43">
        <f t="shared" si="24"/>
        <v>-9.99999999997669E-2</v>
      </c>
      <c r="V21" s="44">
        <f t="shared" si="25"/>
        <v>-1.50000000000006</v>
      </c>
      <c r="W21" s="45">
        <f t="shared" si="26"/>
        <v>4.9999999999883499E-2</v>
      </c>
      <c r="X21" s="29">
        <v>11.801600000000001</v>
      </c>
      <c r="Y21" s="43">
        <f t="shared" si="27"/>
        <v>-9.99999999997669E-2</v>
      </c>
      <c r="Z21" s="44">
        <f t="shared" si="28"/>
        <v>-2.59999999999927</v>
      </c>
      <c r="AA21" s="45">
        <f t="shared" si="29"/>
        <v>-4.9999999999883499E-2</v>
      </c>
      <c r="AB21" s="49">
        <v>8.7314000000000007</v>
      </c>
      <c r="AC21" s="43">
        <f t="shared" si="30"/>
        <v>-9.99999999997669E-2</v>
      </c>
      <c r="AD21" s="44">
        <f t="shared" si="31"/>
        <v>-1.59999999999982</v>
      </c>
      <c r="AE21" s="45">
        <f t="shared" si="32"/>
        <v>-4.9999999999883499E-2</v>
      </c>
      <c r="AF21" s="50">
        <v>79638</v>
      </c>
      <c r="AG21" s="58">
        <f t="shared" si="22"/>
        <v>98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44661</v>
      </c>
      <c r="B22" s="22">
        <v>791.46479999999997</v>
      </c>
      <c r="C22" s="27">
        <v>5.64149999999999</v>
      </c>
      <c r="D22" s="23">
        <f t="shared" si="0"/>
        <v>797.10630000000003</v>
      </c>
      <c r="E22" s="24">
        <f t="shared" si="4"/>
        <v>-0.20000000006348301</v>
      </c>
      <c r="F22" s="25">
        <f t="shared" si="5"/>
        <v>-2.5000000000545701</v>
      </c>
      <c r="G22" s="26">
        <f t="shared" si="6"/>
        <v>-0.100000000031741</v>
      </c>
      <c r="H22" s="6">
        <v>7.0025000000000004</v>
      </c>
      <c r="I22" s="35">
        <f t="shared" si="1"/>
        <v>798.46730000000002</v>
      </c>
      <c r="J22" s="24">
        <f t="shared" si="7"/>
        <v>-0.199999999949796</v>
      </c>
      <c r="K22" s="25">
        <f t="shared" si="8"/>
        <v>-1.5999999999394301</v>
      </c>
      <c r="L22" s="26">
        <f t="shared" si="9"/>
        <v>-9.9999999974897905E-2</v>
      </c>
      <c r="M22" s="6">
        <v>5.8338999999999901</v>
      </c>
      <c r="N22" s="35">
        <f t="shared" si="2"/>
        <v>797.29870000000005</v>
      </c>
      <c r="O22" s="24">
        <f t="shared" si="10"/>
        <v>-0.20000000006348301</v>
      </c>
      <c r="P22" s="25">
        <f t="shared" si="11"/>
        <v>-3.1999999999925399</v>
      </c>
      <c r="Q22" s="26">
        <f t="shared" si="12"/>
        <v>-0.100000000031741</v>
      </c>
      <c r="R22" s="41"/>
      <c r="S22" s="21">
        <f t="shared" si="23"/>
        <v>44661</v>
      </c>
      <c r="T22" s="42">
        <v>8.8966999999999992</v>
      </c>
      <c r="U22" s="43">
        <f t="shared" si="24"/>
        <v>0.19999999999953399</v>
      </c>
      <c r="V22" s="44">
        <f t="shared" si="25"/>
        <v>-1.3000000000005201</v>
      </c>
      <c r="W22" s="45">
        <f t="shared" si="26"/>
        <v>-9.99999999997669E-2</v>
      </c>
      <c r="X22" s="29">
        <v>11.801299999999999</v>
      </c>
      <c r="Y22" s="43">
        <f t="shared" si="27"/>
        <v>-0.30000000000107702</v>
      </c>
      <c r="Z22" s="44">
        <f t="shared" si="28"/>
        <v>-2.9000000000003499</v>
      </c>
      <c r="AA22" s="45">
        <f t="shared" si="29"/>
        <v>-0.15000000000053901</v>
      </c>
      <c r="AB22" s="49">
        <v>8.7315000000000005</v>
      </c>
      <c r="AC22" s="43">
        <f t="shared" si="30"/>
        <v>9.99999999997669E-2</v>
      </c>
      <c r="AD22" s="44">
        <f t="shared" si="31"/>
        <v>-1.50000000000006</v>
      </c>
      <c r="AE22" s="45">
        <f t="shared" si="32"/>
        <v>4.9999999999883499E-2</v>
      </c>
      <c r="AF22" s="50">
        <v>79644</v>
      </c>
      <c r="AG22" s="58">
        <f t="shared" si="22"/>
        <v>104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44663</v>
      </c>
      <c r="B23" s="22">
        <v>791.46479999999997</v>
      </c>
      <c r="C23" s="27">
        <v>5.6414999999999997</v>
      </c>
      <c r="D23" s="23">
        <f t="shared" si="0"/>
        <v>797.10630000000003</v>
      </c>
      <c r="E23" s="24">
        <f t="shared" si="4"/>
        <v>0</v>
      </c>
      <c r="F23" s="25">
        <f t="shared" si="5"/>
        <v>-2.5000000000545701</v>
      </c>
      <c r="G23" s="26">
        <f t="shared" si="6"/>
        <v>0</v>
      </c>
      <c r="H23" s="6">
        <v>7.0025000000000004</v>
      </c>
      <c r="I23" s="35">
        <f t="shared" si="1"/>
        <v>798.46730000000002</v>
      </c>
      <c r="J23" s="24">
        <f t="shared" si="7"/>
        <v>0</v>
      </c>
      <c r="K23" s="25">
        <f t="shared" si="8"/>
        <v>-1.5999999999394301</v>
      </c>
      <c r="L23" s="26">
        <f t="shared" si="9"/>
        <v>0</v>
      </c>
      <c r="M23" s="6">
        <v>5.8338000000000001</v>
      </c>
      <c r="N23" s="35">
        <f t="shared" si="2"/>
        <v>797.29859999999996</v>
      </c>
      <c r="O23" s="24">
        <f t="shared" si="10"/>
        <v>-9.9999999974897905E-2</v>
      </c>
      <c r="P23" s="25">
        <f t="shared" si="11"/>
        <v>-3.2999999999674401</v>
      </c>
      <c r="Q23" s="26">
        <f t="shared" si="12"/>
        <v>-4.9999999987449001E-2</v>
      </c>
      <c r="R23" s="41"/>
      <c r="S23" s="21">
        <f t="shared" si="23"/>
        <v>44663</v>
      </c>
      <c r="T23" s="42">
        <v>8.8963000000000001</v>
      </c>
      <c r="U23" s="43">
        <f t="shared" si="24"/>
        <v>-0.39999999999906799</v>
      </c>
      <c r="V23" s="44">
        <f t="shared" si="25"/>
        <v>-1.6999999999995901</v>
      </c>
      <c r="W23" s="45">
        <f t="shared" si="26"/>
        <v>0.19999999999953399</v>
      </c>
      <c r="X23" s="29">
        <v>11.8011</v>
      </c>
      <c r="Y23" s="43">
        <f t="shared" si="27"/>
        <v>-0.19999999999953399</v>
      </c>
      <c r="Z23" s="44">
        <f t="shared" si="28"/>
        <v>-3.0999999999998802</v>
      </c>
      <c r="AA23" s="45">
        <f t="shared" si="29"/>
        <v>-9.99999999997669E-2</v>
      </c>
      <c r="AB23" s="49">
        <v>8.7311999999999994</v>
      </c>
      <c r="AC23" s="43">
        <f t="shared" si="30"/>
        <v>-0.30000000000107702</v>
      </c>
      <c r="AD23" s="44">
        <f t="shared" si="31"/>
        <v>-1.80000000000113</v>
      </c>
      <c r="AE23" s="45">
        <f t="shared" si="32"/>
        <v>-0.15000000000053901</v>
      </c>
      <c r="AF23" s="50">
        <v>79650</v>
      </c>
      <c r="AG23" s="58">
        <f t="shared" si="22"/>
        <v>110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44665</v>
      </c>
      <c r="B24" s="22">
        <v>791.46479999999997</v>
      </c>
      <c r="C24" s="27">
        <v>5.6416000000000004</v>
      </c>
      <c r="D24" s="23">
        <f t="shared" si="0"/>
        <v>797.10640000000001</v>
      </c>
      <c r="E24" s="24">
        <f t="shared" si="4"/>
        <v>0.10000000008858501</v>
      </c>
      <c r="F24" s="25">
        <f t="shared" si="5"/>
        <v>-2.39999999996598</v>
      </c>
      <c r="G24" s="26">
        <f t="shared" si="6"/>
        <v>5.0000000044292399E-2</v>
      </c>
      <c r="H24" s="6">
        <v>7.0023999999999997</v>
      </c>
      <c r="I24" s="35">
        <f t="shared" si="1"/>
        <v>798.46720000000005</v>
      </c>
      <c r="J24" s="24">
        <f t="shared" si="7"/>
        <v>-0.10000000008858501</v>
      </c>
      <c r="K24" s="25">
        <f t="shared" si="8"/>
        <v>-1.70000000002801</v>
      </c>
      <c r="L24" s="26">
        <f t="shared" si="9"/>
        <v>-5.0000000044292399E-2</v>
      </c>
      <c r="M24" s="6">
        <v>5.8338999999999999</v>
      </c>
      <c r="N24" s="35">
        <f t="shared" si="2"/>
        <v>797.29870000000005</v>
      </c>
      <c r="O24" s="24">
        <f t="shared" si="10"/>
        <v>9.9999999974897905E-2</v>
      </c>
      <c r="P24" s="25">
        <f t="shared" si="11"/>
        <v>-3.1999999999925399</v>
      </c>
      <c r="Q24" s="26">
        <f t="shared" si="12"/>
        <v>4.9999999987449001E-2</v>
      </c>
      <c r="R24" s="41"/>
      <c r="S24" s="21">
        <f t="shared" si="23"/>
        <v>44665</v>
      </c>
      <c r="T24" s="42">
        <v>8.8962000000000003</v>
      </c>
      <c r="U24" s="43">
        <f t="shared" si="24"/>
        <v>-9.99999999997669E-2</v>
      </c>
      <c r="V24" s="44">
        <f t="shared" si="25"/>
        <v>-1.7999999999993599</v>
      </c>
      <c r="W24" s="45">
        <f t="shared" si="26"/>
        <v>4.9999999999883499E-2</v>
      </c>
      <c r="X24" s="29">
        <v>11.8009</v>
      </c>
      <c r="Y24" s="43">
        <f t="shared" si="27"/>
        <v>-0.19999999999953399</v>
      </c>
      <c r="Z24" s="44">
        <f t="shared" si="28"/>
        <v>-3.2999999999994101</v>
      </c>
      <c r="AA24" s="45">
        <f t="shared" si="29"/>
        <v>-9.99999999997669E-2</v>
      </c>
      <c r="AB24" s="49">
        <v>8.7310999999999996</v>
      </c>
      <c r="AC24" s="43">
        <f t="shared" si="30"/>
        <v>-9.99999999997669E-2</v>
      </c>
      <c r="AD24" s="44">
        <f t="shared" si="31"/>
        <v>-1.9000000000009001</v>
      </c>
      <c r="AE24" s="45">
        <f t="shared" si="32"/>
        <v>-4.9999999999883499E-2</v>
      </c>
      <c r="AF24" s="50">
        <v>79656</v>
      </c>
      <c r="AG24" s="58">
        <f t="shared" si="22"/>
        <v>116</v>
      </c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F24-F6</f>
        <v>-2.39999999996598</v>
      </c>
      <c r="F25" s="33">
        <f>K24-K6</f>
        <v>-1.70000000002801</v>
      </c>
      <c r="G25" s="33">
        <f>P24-P6</f>
        <v>-3.1999999999925399</v>
      </c>
      <c r="H25" s="33">
        <f>F24</f>
        <v>-2.39999999996598</v>
      </c>
      <c r="I25" s="66">
        <f>K24</f>
        <v>-1.70000000002801</v>
      </c>
      <c r="J25" s="65">
        <f>P24</f>
        <v>-3.1999999999925399</v>
      </c>
      <c r="K25" s="33">
        <f>(K24-K6)/22</f>
        <v>-7.7272727274000599E-2</v>
      </c>
      <c r="L25" s="26"/>
      <c r="N25" s="35"/>
      <c r="O25" s="24"/>
      <c r="P25" s="25"/>
      <c r="Q25" s="26"/>
      <c r="R25" s="41"/>
      <c r="S25" s="21"/>
      <c r="T25" s="42"/>
      <c r="U25" s="65">
        <f>V24-V6</f>
        <v>-1.7999999999993599</v>
      </c>
      <c r="V25" s="33">
        <f>Z24-Z6</f>
        <v>-3.2999999999994101</v>
      </c>
      <c r="W25" s="33">
        <f>AD24-AD6</f>
        <v>-1.9000000000009001</v>
      </c>
      <c r="X25" s="33">
        <f>V24</f>
        <v>-1.7999999999993599</v>
      </c>
      <c r="Y25" s="65">
        <f>Z24</f>
        <v>-3.2999999999994101</v>
      </c>
      <c r="Z25" s="33">
        <f>AD24</f>
        <v>-1.9000000000009001</v>
      </c>
      <c r="AA25" s="33">
        <f>(Z24-Z6)/22</f>
        <v>-0.14999999999997299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2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4"/>
  <sheetViews>
    <sheetView topLeftCell="R28" workbookViewId="0">
      <selection activeCell="U28" sqref="U28:AA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44648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44648</v>
      </c>
      <c r="B6" s="22">
        <v>791.46479999999997</v>
      </c>
      <c r="C6" s="27">
        <v>5.8141999999999996</v>
      </c>
      <c r="D6" s="23">
        <f t="shared" ref="D6:D27" si="0">C6+B6</f>
        <v>797.279</v>
      </c>
      <c r="E6" s="24">
        <v>0</v>
      </c>
      <c r="F6" s="25">
        <v>0</v>
      </c>
      <c r="G6" s="26">
        <v>0</v>
      </c>
      <c r="H6" s="6">
        <v>7.1234999999999999</v>
      </c>
      <c r="I6" s="35">
        <f t="shared" ref="I6:I27" si="1">H6+B6</f>
        <v>798.5883</v>
      </c>
      <c r="J6" s="24">
        <v>0</v>
      </c>
      <c r="K6" s="25">
        <v>0</v>
      </c>
      <c r="L6" s="26">
        <v>0</v>
      </c>
      <c r="M6" s="6">
        <v>5.3426</v>
      </c>
      <c r="N6" s="35">
        <f t="shared" ref="N6:N27" si="2">M6+B6</f>
        <v>796.80740000000003</v>
      </c>
      <c r="O6" s="24">
        <v>0</v>
      </c>
      <c r="P6" s="25">
        <v>0</v>
      </c>
      <c r="Q6" s="26">
        <v>0</v>
      </c>
      <c r="R6" s="41"/>
      <c r="S6" s="21">
        <f t="shared" ref="S6:S27" si="3">A6</f>
        <v>44648</v>
      </c>
      <c r="T6" s="42">
        <v>8.9414999999999996</v>
      </c>
      <c r="U6" s="43">
        <v>0</v>
      </c>
      <c r="V6" s="44">
        <v>0</v>
      </c>
      <c r="W6" s="45">
        <f>U6/(S6-S11)</f>
        <v>0</v>
      </c>
      <c r="X6" s="29">
        <v>11.965999999999999</v>
      </c>
      <c r="Y6" s="43">
        <v>0</v>
      </c>
      <c r="Z6" s="44">
        <v>0</v>
      </c>
      <c r="AA6" s="45">
        <v>0</v>
      </c>
      <c r="AB6" s="49">
        <v>9.0801999999999996</v>
      </c>
      <c r="AC6" s="43">
        <v>0</v>
      </c>
      <c r="AD6" s="44">
        <v>0</v>
      </c>
      <c r="AE6" s="45">
        <v>0</v>
      </c>
      <c r="AF6" s="50">
        <v>79577</v>
      </c>
      <c r="AG6" s="58">
        <f>AF6-79565</f>
        <v>12</v>
      </c>
      <c r="AH6" s="59"/>
      <c r="AI6" s="60"/>
      <c r="AJ6" s="61"/>
      <c r="AK6" s="62"/>
      <c r="AL6" s="52"/>
      <c r="AM6" s="52"/>
    </row>
    <row r="7" spans="1:48">
      <c r="A7" s="21">
        <v>44649</v>
      </c>
      <c r="B7" s="22">
        <v>791.46479999999997</v>
      </c>
      <c r="C7" s="27">
        <v>5.8143000000000002</v>
      </c>
      <c r="D7" s="23">
        <f t="shared" si="0"/>
        <v>797.27909999999997</v>
      </c>
      <c r="E7" s="24">
        <f t="shared" ref="E7:E25" si="4">(D7-D6)*1000</f>
        <v>9.9999999974897905E-2</v>
      </c>
      <c r="F7" s="25">
        <f t="shared" ref="F7:F25" si="5">F6+E7</f>
        <v>9.9999999974897905E-2</v>
      </c>
      <c r="G7" s="26">
        <f t="shared" ref="G7:G25" si="6">E7/(A7-A6)</f>
        <v>9.9999999974897905E-2</v>
      </c>
      <c r="H7" s="6">
        <v>7.1234000000000002</v>
      </c>
      <c r="I7" s="35">
        <f t="shared" si="1"/>
        <v>798.58820000000003</v>
      </c>
      <c r="J7" s="24">
        <f t="shared" ref="J7:J25" si="7">(I7-I6)*1000</f>
        <v>-0.10000000008858501</v>
      </c>
      <c r="K7" s="25">
        <f t="shared" ref="K7:K25" si="8">K6+J7</f>
        <v>-0.10000000008858501</v>
      </c>
      <c r="L7" s="26">
        <f t="shared" ref="L7:L25" si="9">J7/(A7-A6)</f>
        <v>-0.10000000008858501</v>
      </c>
      <c r="M7" s="6">
        <v>5.3425000000000002</v>
      </c>
      <c r="N7" s="35">
        <f t="shared" si="2"/>
        <v>796.80730000000005</v>
      </c>
      <c r="O7" s="24">
        <f t="shared" ref="O7:O25" si="10">(N7-N6)*1000</f>
        <v>-9.9999999974897905E-2</v>
      </c>
      <c r="P7" s="25">
        <f t="shared" ref="P7:P25" si="11">P6+O7</f>
        <v>-9.9999999974897905E-2</v>
      </c>
      <c r="Q7" s="26">
        <f t="shared" ref="Q7:Q25" si="12">O7/(A7-A6)</f>
        <v>-9.9999999974897905E-2</v>
      </c>
      <c r="R7" s="41"/>
      <c r="S7" s="21">
        <f t="shared" si="3"/>
        <v>44649</v>
      </c>
      <c r="T7" s="42">
        <v>8.9413</v>
      </c>
      <c r="U7" s="43">
        <f t="shared" ref="U7:U25" si="13">(T7-T6)*1000</f>
        <v>-0.19999999999953399</v>
      </c>
      <c r="V7" s="44">
        <f t="shared" ref="V7:V25" si="14">V6+U7</f>
        <v>-0.19999999999953399</v>
      </c>
      <c r="W7" s="45">
        <f t="shared" ref="W7:W25" si="15">U7/(S6-S7)</f>
        <v>0.19999999999953399</v>
      </c>
      <c r="X7" s="29">
        <v>11.9658</v>
      </c>
      <c r="Y7" s="43">
        <f t="shared" ref="Y7:Y25" si="16">(X7-X6)*1000</f>
        <v>-0.19999999999953399</v>
      </c>
      <c r="Z7" s="44">
        <f t="shared" ref="Z7:Z25" si="17">Z6+Y7</f>
        <v>-0.19999999999953399</v>
      </c>
      <c r="AA7" s="45">
        <f t="shared" ref="AA7:AA25" si="18">Y7/(S7-S6)</f>
        <v>-0.19999999999953399</v>
      </c>
      <c r="AB7" s="49">
        <v>9.0800999999999998</v>
      </c>
      <c r="AC7" s="43">
        <f t="shared" ref="AC7:AC25" si="19">(AB7-AB6)*1000</f>
        <v>-9.99999999997669E-2</v>
      </c>
      <c r="AD7" s="44">
        <f t="shared" ref="AD7:AD25" si="20">AD6+AC7</f>
        <v>-9.99999999997669E-2</v>
      </c>
      <c r="AE7" s="45">
        <f t="shared" ref="AE7:AE25" si="21">AC7/(S7-S6)</f>
        <v>-9.99999999997669E-2</v>
      </c>
      <c r="AF7" s="50">
        <v>79583</v>
      </c>
      <c r="AG7" s="58">
        <f t="shared" ref="AG7:AG27" si="22">AF7-79565</f>
        <v>18</v>
      </c>
      <c r="AH7" s="59"/>
      <c r="AI7" s="60"/>
      <c r="AJ7" s="61"/>
      <c r="AK7" s="62"/>
      <c r="AL7" s="52"/>
      <c r="AM7" s="52"/>
    </row>
    <row r="8" spans="1:48">
      <c r="A8" s="21">
        <v>44650</v>
      </c>
      <c r="B8" s="22">
        <v>791.46479999999997</v>
      </c>
      <c r="C8" s="27">
        <v>5.8140000000000001</v>
      </c>
      <c r="D8" s="23">
        <f t="shared" si="0"/>
        <v>797.27880000000005</v>
      </c>
      <c r="E8" s="24">
        <f t="shared" si="4"/>
        <v>-0.30000000003838101</v>
      </c>
      <c r="F8" s="25">
        <f t="shared" si="5"/>
        <v>-0.20000000006348301</v>
      </c>
      <c r="G8" s="26">
        <f t="shared" si="6"/>
        <v>-0.30000000003838101</v>
      </c>
      <c r="H8" s="6">
        <v>7.1233000000000004</v>
      </c>
      <c r="I8" s="35">
        <f t="shared" si="1"/>
        <v>798.58810000000005</v>
      </c>
      <c r="J8" s="24">
        <f t="shared" si="7"/>
        <v>-9.9999999974897905E-2</v>
      </c>
      <c r="K8" s="25">
        <f t="shared" si="8"/>
        <v>-0.20000000006348301</v>
      </c>
      <c r="L8" s="26">
        <f t="shared" si="9"/>
        <v>-9.9999999974897905E-2</v>
      </c>
      <c r="M8" s="6">
        <v>5.3423999999999996</v>
      </c>
      <c r="N8" s="35">
        <f t="shared" si="2"/>
        <v>796.80719999999997</v>
      </c>
      <c r="O8" s="24">
        <f t="shared" si="10"/>
        <v>-9.9999999974897905E-2</v>
      </c>
      <c r="P8" s="25">
        <f t="shared" si="11"/>
        <v>-0.199999999949796</v>
      </c>
      <c r="Q8" s="26">
        <f t="shared" si="12"/>
        <v>-9.9999999974897905E-2</v>
      </c>
      <c r="R8" s="41"/>
      <c r="S8" s="21">
        <f t="shared" si="3"/>
        <v>44650</v>
      </c>
      <c r="T8" s="42">
        <v>8.9411000000000005</v>
      </c>
      <c r="U8" s="43">
        <f t="shared" si="13"/>
        <v>-0.19999999999953399</v>
      </c>
      <c r="V8" s="44">
        <f t="shared" si="14"/>
        <v>-0.39999999999906799</v>
      </c>
      <c r="W8" s="45">
        <f t="shared" si="15"/>
        <v>0.19999999999953399</v>
      </c>
      <c r="X8" s="29">
        <v>11.965999999999999</v>
      </c>
      <c r="Y8" s="43">
        <f t="shared" si="16"/>
        <v>0.19999999999953399</v>
      </c>
      <c r="Z8" s="44">
        <f t="shared" si="17"/>
        <v>0</v>
      </c>
      <c r="AA8" s="45">
        <f t="shared" si="18"/>
        <v>0.19999999999953399</v>
      </c>
      <c r="AB8" s="49">
        <v>9.0802999999999994</v>
      </c>
      <c r="AC8" s="43">
        <f t="shared" si="19"/>
        <v>0.19999999999953399</v>
      </c>
      <c r="AD8" s="44">
        <f t="shared" si="20"/>
        <v>9.99999999997669E-2</v>
      </c>
      <c r="AE8" s="45">
        <f t="shared" si="21"/>
        <v>0.19999999999953399</v>
      </c>
      <c r="AF8" s="50">
        <v>79589</v>
      </c>
      <c r="AG8" s="58">
        <f t="shared" si="22"/>
        <v>24</v>
      </c>
      <c r="AH8" s="59"/>
      <c r="AI8" s="60"/>
      <c r="AJ8" s="61"/>
      <c r="AK8" s="62"/>
      <c r="AL8" s="52"/>
      <c r="AM8" s="52"/>
    </row>
    <row r="9" spans="1:48">
      <c r="A9" s="21">
        <v>44651</v>
      </c>
      <c r="B9" s="22">
        <v>791.46479999999997</v>
      </c>
      <c r="C9" s="27">
        <v>5.8139000000000003</v>
      </c>
      <c r="D9" s="23">
        <f t="shared" si="0"/>
        <v>797.27869999999996</v>
      </c>
      <c r="E9" s="24">
        <f t="shared" si="4"/>
        <v>-9.9999999974897905E-2</v>
      </c>
      <c r="F9" s="25">
        <f t="shared" si="5"/>
        <v>-0.30000000003838101</v>
      </c>
      <c r="G9" s="26">
        <f t="shared" si="6"/>
        <v>-9.9999999974897905E-2</v>
      </c>
      <c r="H9" s="6">
        <v>7.1234000000000002</v>
      </c>
      <c r="I9" s="35">
        <f t="shared" si="1"/>
        <v>798.58820000000003</v>
      </c>
      <c r="J9" s="24">
        <f t="shared" si="7"/>
        <v>9.9999999974897905E-2</v>
      </c>
      <c r="K9" s="25">
        <f t="shared" si="8"/>
        <v>-0.10000000008858501</v>
      </c>
      <c r="L9" s="26">
        <f t="shared" si="9"/>
        <v>9.9999999974897905E-2</v>
      </c>
      <c r="M9" s="6">
        <v>5.3426</v>
      </c>
      <c r="N9" s="35">
        <f t="shared" si="2"/>
        <v>796.80740000000003</v>
      </c>
      <c r="O9" s="24">
        <f t="shared" si="10"/>
        <v>0.199999999949796</v>
      </c>
      <c r="P9" s="25">
        <f t="shared" si="11"/>
        <v>0</v>
      </c>
      <c r="Q9" s="26">
        <f t="shared" si="12"/>
        <v>0.199999999949796</v>
      </c>
      <c r="R9" s="41"/>
      <c r="S9" s="21">
        <f t="shared" si="3"/>
        <v>44651</v>
      </c>
      <c r="T9" s="42">
        <v>8.9412000000000003</v>
      </c>
      <c r="U9" s="43">
        <f t="shared" si="13"/>
        <v>9.99999999997669E-2</v>
      </c>
      <c r="V9" s="44">
        <f t="shared" si="14"/>
        <v>-0.29999999999930099</v>
      </c>
      <c r="W9" s="45">
        <f t="shared" si="15"/>
        <v>-9.99999999997669E-2</v>
      </c>
      <c r="X9" s="29">
        <v>11.965400000000001</v>
      </c>
      <c r="Y9" s="43">
        <f t="shared" si="16"/>
        <v>-0.59999999999860198</v>
      </c>
      <c r="Z9" s="44">
        <f t="shared" si="17"/>
        <v>-0.59999999999860198</v>
      </c>
      <c r="AA9" s="45">
        <f t="shared" si="18"/>
        <v>-0.59999999999860198</v>
      </c>
      <c r="AB9" s="49">
        <v>9.0799000000000003</v>
      </c>
      <c r="AC9" s="43">
        <f t="shared" si="19"/>
        <v>-0.39999999999906799</v>
      </c>
      <c r="AD9" s="44">
        <f t="shared" si="20"/>
        <v>-0.29999999999930099</v>
      </c>
      <c r="AE9" s="45">
        <f t="shared" si="21"/>
        <v>-0.39999999999906799</v>
      </c>
      <c r="AF9" s="50">
        <v>79595</v>
      </c>
      <c r="AG9" s="58">
        <f t="shared" si="22"/>
        <v>30</v>
      </c>
      <c r="AH9" s="59"/>
      <c r="AI9" s="60"/>
      <c r="AJ9" s="61"/>
      <c r="AK9" s="62"/>
      <c r="AL9" s="52"/>
      <c r="AM9" s="52"/>
    </row>
    <row r="10" spans="1:48">
      <c r="A10" s="21">
        <v>44652</v>
      </c>
      <c r="B10" s="22">
        <v>791.46479999999997</v>
      </c>
      <c r="C10" s="27">
        <v>5.8139000000000003</v>
      </c>
      <c r="D10" s="23">
        <f t="shared" si="0"/>
        <v>797.27869999999996</v>
      </c>
      <c r="E10" s="24">
        <f t="shared" si="4"/>
        <v>0</v>
      </c>
      <c r="F10" s="25">
        <f t="shared" si="5"/>
        <v>-0.30000000003838101</v>
      </c>
      <c r="G10" s="26">
        <f t="shared" si="6"/>
        <v>0</v>
      </c>
      <c r="H10" s="6">
        <v>7.1231</v>
      </c>
      <c r="I10" s="35">
        <f t="shared" si="1"/>
        <v>798.58789999999999</v>
      </c>
      <c r="J10" s="24">
        <f t="shared" si="7"/>
        <v>-0.29999999992469401</v>
      </c>
      <c r="K10" s="25">
        <f t="shared" si="8"/>
        <v>-0.40000000001327901</v>
      </c>
      <c r="L10" s="26">
        <f t="shared" si="9"/>
        <v>-0.29999999992469401</v>
      </c>
      <c r="M10" s="6">
        <v>5.3422000000000001</v>
      </c>
      <c r="N10" s="35">
        <f t="shared" si="2"/>
        <v>796.80700000000002</v>
      </c>
      <c r="O10" s="24">
        <f t="shared" si="10"/>
        <v>-0.39999999989959201</v>
      </c>
      <c r="P10" s="25">
        <f t="shared" si="11"/>
        <v>-0.39999999989959201</v>
      </c>
      <c r="Q10" s="26">
        <f t="shared" si="12"/>
        <v>-0.39999999989959201</v>
      </c>
      <c r="R10" s="41"/>
      <c r="S10" s="21">
        <f t="shared" si="3"/>
        <v>44652</v>
      </c>
      <c r="T10" s="42">
        <v>8.9406999999999996</v>
      </c>
      <c r="U10" s="43">
        <f t="shared" si="13"/>
        <v>-0.50000000000061096</v>
      </c>
      <c r="V10" s="44">
        <f t="shared" si="14"/>
        <v>-0.799999999999912</v>
      </c>
      <c r="W10" s="45">
        <f t="shared" si="15"/>
        <v>0.50000000000061096</v>
      </c>
      <c r="X10" s="29">
        <v>11.965199999999999</v>
      </c>
      <c r="Y10" s="43">
        <f t="shared" si="16"/>
        <v>-0.20000000000130999</v>
      </c>
      <c r="Z10" s="44">
        <f t="shared" si="17"/>
        <v>-0.799999999999912</v>
      </c>
      <c r="AA10" s="45">
        <f t="shared" si="18"/>
        <v>-0.20000000000130999</v>
      </c>
      <c r="AB10" s="49">
        <v>9.0798000000000005</v>
      </c>
      <c r="AC10" s="43">
        <f t="shared" si="19"/>
        <v>-9.99999999997669E-2</v>
      </c>
      <c r="AD10" s="44">
        <f t="shared" si="20"/>
        <v>-0.39999999999906799</v>
      </c>
      <c r="AE10" s="45">
        <f t="shared" si="21"/>
        <v>-9.99999999997669E-2</v>
      </c>
      <c r="AF10" s="50">
        <v>79601</v>
      </c>
      <c r="AG10" s="58">
        <f t="shared" si="22"/>
        <v>36</v>
      </c>
      <c r="AH10" s="59"/>
      <c r="AI10" s="60"/>
      <c r="AJ10" s="61"/>
      <c r="AK10" s="62"/>
      <c r="AL10" s="52"/>
      <c r="AM10" s="52"/>
    </row>
    <row r="11" spans="1:48">
      <c r="A11" s="21">
        <v>44653</v>
      </c>
      <c r="B11" s="22">
        <v>791.46479999999997</v>
      </c>
      <c r="C11" s="27">
        <v>5.8136999999999999</v>
      </c>
      <c r="D11" s="23">
        <f t="shared" si="0"/>
        <v>797.27850000000001</v>
      </c>
      <c r="E11" s="24">
        <f t="shared" si="4"/>
        <v>-0.199999999949796</v>
      </c>
      <c r="F11" s="25">
        <f t="shared" si="5"/>
        <v>-0.49999999998817701</v>
      </c>
      <c r="G11" s="26">
        <f t="shared" si="6"/>
        <v>-0.199999999949796</v>
      </c>
      <c r="H11" s="6">
        <v>7.1231999999999998</v>
      </c>
      <c r="I11" s="35">
        <f t="shared" si="1"/>
        <v>798.58799999999997</v>
      </c>
      <c r="J11" s="24">
        <f t="shared" si="7"/>
        <v>9.9999999974897905E-2</v>
      </c>
      <c r="K11" s="25">
        <f t="shared" si="8"/>
        <v>-0.30000000003838101</v>
      </c>
      <c r="L11" s="26">
        <f t="shared" si="9"/>
        <v>9.9999999974897905E-2</v>
      </c>
      <c r="M11" s="6">
        <v>5.3421000000000003</v>
      </c>
      <c r="N11" s="35">
        <f t="shared" si="2"/>
        <v>796.80690000000004</v>
      </c>
      <c r="O11" s="24">
        <f t="shared" si="10"/>
        <v>-0.10000000008858501</v>
      </c>
      <c r="P11" s="25">
        <f t="shared" si="11"/>
        <v>-0.49999999998817701</v>
      </c>
      <c r="Q11" s="26">
        <f t="shared" si="12"/>
        <v>-0.10000000008858501</v>
      </c>
      <c r="R11" s="41"/>
      <c r="S11" s="21">
        <f t="shared" si="3"/>
        <v>44653</v>
      </c>
      <c r="T11" s="42">
        <v>8.9405000000000001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11.965299999999999</v>
      </c>
      <c r="Y11" s="43">
        <f t="shared" si="16"/>
        <v>9.99999999997669E-2</v>
      </c>
      <c r="Z11" s="44">
        <f t="shared" si="17"/>
        <v>-0.70000000000014495</v>
      </c>
      <c r="AA11" s="45">
        <f t="shared" si="18"/>
        <v>9.99999999997669E-2</v>
      </c>
      <c r="AB11" s="49">
        <v>9.08</v>
      </c>
      <c r="AC11" s="43">
        <f t="shared" si="19"/>
        <v>0.19999999999953399</v>
      </c>
      <c r="AD11" s="44">
        <f t="shared" si="20"/>
        <v>-0.19999999999953399</v>
      </c>
      <c r="AE11" s="45">
        <f t="shared" si="21"/>
        <v>0.19999999999953399</v>
      </c>
      <c r="AF11" s="50">
        <v>79607</v>
      </c>
      <c r="AG11" s="58">
        <f t="shared" si="22"/>
        <v>42</v>
      </c>
      <c r="AH11" s="59"/>
      <c r="AI11" s="60"/>
      <c r="AJ11" s="52"/>
      <c r="AK11" s="52"/>
      <c r="AL11" s="52"/>
      <c r="AM11" s="52"/>
    </row>
    <row r="12" spans="1:48">
      <c r="A12" s="21">
        <v>44654</v>
      </c>
      <c r="B12" s="22">
        <v>791.46479999999997</v>
      </c>
      <c r="C12" s="27">
        <v>5.8136000000000001</v>
      </c>
      <c r="D12" s="23">
        <f t="shared" si="0"/>
        <v>797.27840000000003</v>
      </c>
      <c r="E12" s="24">
        <f t="shared" si="4"/>
        <v>-0.10000000008858501</v>
      </c>
      <c r="F12" s="25">
        <f t="shared" si="5"/>
        <v>-0.60000000007676102</v>
      </c>
      <c r="G12" s="26">
        <f t="shared" si="6"/>
        <v>-0.10000000008858501</v>
      </c>
      <c r="H12" s="6">
        <v>7.1228999999999996</v>
      </c>
      <c r="I12" s="35">
        <f t="shared" si="1"/>
        <v>798.58770000000004</v>
      </c>
      <c r="J12" s="24">
        <f t="shared" si="7"/>
        <v>-0.30000000003838101</v>
      </c>
      <c r="K12" s="25">
        <f t="shared" si="8"/>
        <v>-0.60000000007676102</v>
      </c>
      <c r="L12" s="26">
        <f t="shared" si="9"/>
        <v>-0.30000000003838101</v>
      </c>
      <c r="M12" s="6">
        <v>5.3419999999999996</v>
      </c>
      <c r="N12" s="35">
        <f t="shared" si="2"/>
        <v>796.80679999999995</v>
      </c>
      <c r="O12" s="24">
        <f t="shared" si="10"/>
        <v>-9.9999999974897905E-2</v>
      </c>
      <c r="P12" s="25">
        <f t="shared" si="11"/>
        <v>-0.59999999996307496</v>
      </c>
      <c r="Q12" s="26">
        <f t="shared" si="12"/>
        <v>-9.9999999974897905E-2</v>
      </c>
      <c r="R12" s="41"/>
      <c r="S12" s="21">
        <f t="shared" si="3"/>
        <v>44654</v>
      </c>
      <c r="T12" s="42">
        <v>8.9405999999999999</v>
      </c>
      <c r="U12" s="43">
        <f t="shared" si="13"/>
        <v>9.99999999997669E-2</v>
      </c>
      <c r="V12" s="44">
        <f t="shared" si="14"/>
        <v>-0.89999999999967895</v>
      </c>
      <c r="W12" s="45">
        <f t="shared" si="15"/>
        <v>-9.99999999997669E-2</v>
      </c>
      <c r="X12" s="29">
        <v>11.9648</v>
      </c>
      <c r="Y12" s="43">
        <f t="shared" si="16"/>
        <v>-0.49999999999883499</v>
      </c>
      <c r="Z12" s="44">
        <f t="shared" si="17"/>
        <v>-1.1999999999989801</v>
      </c>
      <c r="AA12" s="45">
        <f t="shared" si="18"/>
        <v>-0.49999999999883499</v>
      </c>
      <c r="AB12" s="49">
        <v>9.0795999999999992</v>
      </c>
      <c r="AC12" s="43">
        <f t="shared" si="19"/>
        <v>-0.40000000000084401</v>
      </c>
      <c r="AD12" s="44">
        <f t="shared" si="20"/>
        <v>-0.60000000000037801</v>
      </c>
      <c r="AE12" s="45">
        <f t="shared" si="21"/>
        <v>-0.40000000000084401</v>
      </c>
      <c r="AF12" s="50">
        <v>79613</v>
      </c>
      <c r="AG12" s="58">
        <f t="shared" si="22"/>
        <v>48</v>
      </c>
      <c r="AH12" s="61"/>
      <c r="AI12" s="60"/>
      <c r="AJ12"/>
      <c r="AK12"/>
      <c r="AL12"/>
      <c r="AM12"/>
    </row>
    <row r="13" spans="1:48">
      <c r="A13" s="21">
        <v>44655</v>
      </c>
      <c r="B13" s="22">
        <v>791.46479999999997</v>
      </c>
      <c r="C13" s="27">
        <v>5.8135000000000003</v>
      </c>
      <c r="D13" s="23">
        <f t="shared" si="0"/>
        <v>797.27829999999994</v>
      </c>
      <c r="E13" s="24">
        <f t="shared" si="4"/>
        <v>-9.9999999974897905E-2</v>
      </c>
      <c r="F13" s="25">
        <f t="shared" si="5"/>
        <v>-0.70000000005165897</v>
      </c>
      <c r="G13" s="26">
        <f t="shared" si="6"/>
        <v>-9.9999999974897905E-2</v>
      </c>
      <c r="H13" s="6">
        <v>7.1227999999999998</v>
      </c>
      <c r="I13" s="35">
        <f t="shared" si="1"/>
        <v>798.58759999999995</v>
      </c>
      <c r="J13" s="24">
        <f t="shared" si="7"/>
        <v>-9.9999999974897905E-2</v>
      </c>
      <c r="K13" s="25">
        <f t="shared" si="8"/>
        <v>-0.70000000005165897</v>
      </c>
      <c r="L13" s="26">
        <f t="shared" si="9"/>
        <v>-9.9999999974897905E-2</v>
      </c>
      <c r="M13" s="6">
        <v>5.3422999999999998</v>
      </c>
      <c r="N13" s="35">
        <f t="shared" si="2"/>
        <v>796.80709999999999</v>
      </c>
      <c r="O13" s="24">
        <f t="shared" si="10"/>
        <v>0.30000000003838101</v>
      </c>
      <c r="P13" s="25">
        <f t="shared" si="11"/>
        <v>-0.29999999992469401</v>
      </c>
      <c r="Q13" s="26">
        <f t="shared" si="12"/>
        <v>0.30000000003838101</v>
      </c>
      <c r="R13" s="41"/>
      <c r="S13" s="21">
        <f t="shared" si="3"/>
        <v>44655</v>
      </c>
      <c r="T13" s="42">
        <v>8.9400999999999993</v>
      </c>
      <c r="U13" s="43">
        <f t="shared" si="13"/>
        <v>-0.50000000000061096</v>
      </c>
      <c r="V13" s="44">
        <f t="shared" si="14"/>
        <v>-1.4000000000002899</v>
      </c>
      <c r="W13" s="45">
        <f t="shared" si="15"/>
        <v>0.50000000000061096</v>
      </c>
      <c r="X13" s="29">
        <v>11.964600000000001</v>
      </c>
      <c r="Y13" s="43">
        <f t="shared" si="16"/>
        <v>-0.19999999999953399</v>
      </c>
      <c r="Z13" s="44">
        <f t="shared" si="17"/>
        <v>-1.39999999999851</v>
      </c>
      <c r="AA13" s="45">
        <f t="shared" si="18"/>
        <v>-0.19999999999953399</v>
      </c>
      <c r="AB13" s="49">
        <v>9.0794999999999995</v>
      </c>
      <c r="AC13" s="43">
        <f t="shared" si="19"/>
        <v>-9.99999999997669E-2</v>
      </c>
      <c r="AD13" s="44">
        <f t="shared" si="20"/>
        <v>-0.70000000000014495</v>
      </c>
      <c r="AE13" s="45">
        <f t="shared" si="21"/>
        <v>-9.99999999997669E-2</v>
      </c>
      <c r="AF13" s="50">
        <v>79619</v>
      </c>
      <c r="AG13" s="58">
        <f t="shared" si="22"/>
        <v>54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44656</v>
      </c>
      <c r="B14" s="22">
        <v>791.46479999999997</v>
      </c>
      <c r="C14" s="27">
        <v>5.8136000000000001</v>
      </c>
      <c r="D14" s="23">
        <f t="shared" si="0"/>
        <v>797.27840000000003</v>
      </c>
      <c r="E14" s="24">
        <f t="shared" si="4"/>
        <v>9.9999999974897905E-2</v>
      </c>
      <c r="F14" s="25">
        <f t="shared" si="5"/>
        <v>-0.60000000007676102</v>
      </c>
      <c r="G14" s="26">
        <f t="shared" si="6"/>
        <v>9.9999999974897905E-2</v>
      </c>
      <c r="H14" s="6">
        <v>7.1227</v>
      </c>
      <c r="I14" s="35">
        <f t="shared" si="1"/>
        <v>798.58749999999998</v>
      </c>
      <c r="J14" s="24">
        <f t="shared" si="7"/>
        <v>-9.9999999974897905E-2</v>
      </c>
      <c r="K14" s="25">
        <f t="shared" si="8"/>
        <v>-0.80000000002655702</v>
      </c>
      <c r="L14" s="26">
        <f t="shared" si="9"/>
        <v>-9.9999999974897905E-2</v>
      </c>
      <c r="M14" s="6">
        <v>5.3418000000000001</v>
      </c>
      <c r="N14" s="35">
        <f t="shared" si="2"/>
        <v>796.8066</v>
      </c>
      <c r="O14" s="24">
        <f t="shared" si="10"/>
        <v>-0.49999999998817701</v>
      </c>
      <c r="P14" s="25">
        <f t="shared" si="11"/>
        <v>-0.79999999991286996</v>
      </c>
      <c r="Q14" s="26">
        <f t="shared" si="12"/>
        <v>-0.49999999998817701</v>
      </c>
      <c r="R14" s="41"/>
      <c r="S14" s="21">
        <f t="shared" si="3"/>
        <v>44656</v>
      </c>
      <c r="T14" s="42">
        <v>8.9398999999999997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11.9648</v>
      </c>
      <c r="Y14" s="43">
        <f t="shared" si="16"/>
        <v>0.19999999999953399</v>
      </c>
      <c r="Z14" s="44">
        <f t="shared" si="17"/>
        <v>-1.1999999999989801</v>
      </c>
      <c r="AA14" s="45">
        <f t="shared" si="18"/>
        <v>0.19999999999953399</v>
      </c>
      <c r="AB14" s="49">
        <v>9.0795999999999992</v>
      </c>
      <c r="AC14" s="43">
        <f t="shared" si="19"/>
        <v>9.99999999997669E-2</v>
      </c>
      <c r="AD14" s="44">
        <f t="shared" si="20"/>
        <v>-0.60000000000037801</v>
      </c>
      <c r="AE14" s="45">
        <f t="shared" si="21"/>
        <v>9.99999999997669E-2</v>
      </c>
      <c r="AF14" s="50">
        <v>79625</v>
      </c>
      <c r="AG14" s="58">
        <f t="shared" si="22"/>
        <v>60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44657</v>
      </c>
      <c r="B15" s="22">
        <v>791.46479999999997</v>
      </c>
      <c r="C15" s="27">
        <v>5.8132999999999999</v>
      </c>
      <c r="D15" s="23">
        <f t="shared" si="0"/>
        <v>797.27809999999999</v>
      </c>
      <c r="E15" s="24">
        <f t="shared" si="4"/>
        <v>-0.29999999992469401</v>
      </c>
      <c r="F15" s="25">
        <f t="shared" si="5"/>
        <v>-0.90000000000145497</v>
      </c>
      <c r="G15" s="26">
        <f t="shared" si="6"/>
        <v>-0.29999999992469401</v>
      </c>
      <c r="H15" s="6">
        <v>7.1224999999999996</v>
      </c>
      <c r="I15" s="35">
        <f t="shared" si="1"/>
        <v>798.58730000000003</v>
      </c>
      <c r="J15" s="24">
        <f t="shared" si="7"/>
        <v>-0.20000000006348301</v>
      </c>
      <c r="K15" s="25">
        <f t="shared" si="8"/>
        <v>-1.00000000009004</v>
      </c>
      <c r="L15" s="26">
        <f t="shared" si="9"/>
        <v>-0.20000000006348301</v>
      </c>
      <c r="M15" s="6">
        <v>5.3417000000000003</v>
      </c>
      <c r="N15" s="35">
        <f t="shared" si="2"/>
        <v>796.80650000000003</v>
      </c>
      <c r="O15" s="24">
        <f t="shared" si="10"/>
        <v>-0.10000000008858501</v>
      </c>
      <c r="P15" s="25">
        <f t="shared" si="11"/>
        <v>-0.90000000000145497</v>
      </c>
      <c r="Q15" s="26">
        <f t="shared" si="12"/>
        <v>-0.10000000008858501</v>
      </c>
      <c r="R15" s="41"/>
      <c r="S15" s="21">
        <f t="shared" si="3"/>
        <v>44657</v>
      </c>
      <c r="T15" s="42">
        <v>8.9397000000000002</v>
      </c>
      <c r="U15" s="43">
        <f t="shared" si="13"/>
        <v>-0.19999999999953399</v>
      </c>
      <c r="V15" s="44">
        <f t="shared" si="14"/>
        <v>-1.7999999999993599</v>
      </c>
      <c r="W15" s="45">
        <f t="shared" si="15"/>
        <v>0.19999999999953399</v>
      </c>
      <c r="X15" s="29">
        <v>11.9642</v>
      </c>
      <c r="Y15" s="43">
        <f t="shared" si="16"/>
        <v>-0.60000000000037801</v>
      </c>
      <c r="Z15" s="44">
        <f t="shared" si="17"/>
        <v>-1.7999999999993599</v>
      </c>
      <c r="AA15" s="45">
        <f t="shared" si="18"/>
        <v>-0.60000000000037801</v>
      </c>
      <c r="AB15" s="49">
        <v>9.0792999999999999</v>
      </c>
      <c r="AC15" s="43">
        <f t="shared" si="19"/>
        <v>-0.29999999999930099</v>
      </c>
      <c r="AD15" s="44">
        <f t="shared" si="20"/>
        <v>-0.89999999999967895</v>
      </c>
      <c r="AE15" s="45">
        <f t="shared" si="21"/>
        <v>-0.29999999999930099</v>
      </c>
      <c r="AF15" s="50">
        <v>79631</v>
      </c>
      <c r="AG15" s="58">
        <f t="shared" si="22"/>
        <v>66</v>
      </c>
      <c r="AH15" s="61"/>
      <c r="AI15" s="60"/>
      <c r="AJ15"/>
      <c r="AK15"/>
      <c r="AL15"/>
      <c r="AM15"/>
    </row>
    <row r="16" spans="1:48">
      <c r="A16" s="21">
        <v>44658</v>
      </c>
      <c r="B16" s="22">
        <v>791.46479999999997</v>
      </c>
      <c r="C16" s="27">
        <v>5.8132000000000001</v>
      </c>
      <c r="D16" s="23">
        <f t="shared" si="0"/>
        <v>797.27800000000002</v>
      </c>
      <c r="E16" s="24">
        <f t="shared" si="4"/>
        <v>-9.9999999974897905E-2</v>
      </c>
      <c r="F16" s="25">
        <f t="shared" si="5"/>
        <v>-0.99999999997635303</v>
      </c>
      <c r="G16" s="26">
        <f t="shared" si="6"/>
        <v>-9.9999999974897905E-2</v>
      </c>
      <c r="H16" s="6">
        <v>7.1224999999999996</v>
      </c>
      <c r="I16" s="35">
        <f t="shared" si="1"/>
        <v>798.58730000000003</v>
      </c>
      <c r="J16" s="24">
        <f t="shared" si="7"/>
        <v>0</v>
      </c>
      <c r="K16" s="25">
        <f t="shared" si="8"/>
        <v>-1.00000000009004</v>
      </c>
      <c r="L16" s="26">
        <f t="shared" si="9"/>
        <v>0</v>
      </c>
      <c r="M16" s="6">
        <v>5.3419999999999996</v>
      </c>
      <c r="N16" s="35">
        <f t="shared" si="2"/>
        <v>796.80679999999995</v>
      </c>
      <c r="O16" s="24">
        <f t="shared" si="10"/>
        <v>0.30000000003838101</v>
      </c>
      <c r="P16" s="25">
        <f t="shared" si="11"/>
        <v>-0.59999999996307496</v>
      </c>
      <c r="Q16" s="26">
        <f t="shared" si="12"/>
        <v>0.30000000003838101</v>
      </c>
      <c r="R16" s="41"/>
      <c r="S16" s="21">
        <f t="shared" si="3"/>
        <v>44658</v>
      </c>
      <c r="T16" s="42">
        <v>8.94</v>
      </c>
      <c r="U16" s="43">
        <f t="shared" si="13"/>
        <v>0.29999999999930099</v>
      </c>
      <c r="V16" s="44">
        <f t="shared" si="14"/>
        <v>-1.50000000000006</v>
      </c>
      <c r="W16" s="45">
        <f t="shared" si="15"/>
        <v>-0.29999999999930099</v>
      </c>
      <c r="X16" s="29">
        <v>11.964</v>
      </c>
      <c r="Y16" s="43">
        <f t="shared" si="16"/>
        <v>-0.19999999999953399</v>
      </c>
      <c r="Z16" s="44">
        <f t="shared" si="17"/>
        <v>-1.99999999999889</v>
      </c>
      <c r="AA16" s="45">
        <f t="shared" si="18"/>
        <v>-0.19999999999953399</v>
      </c>
      <c r="AB16" s="49">
        <v>9.0792000000000002</v>
      </c>
      <c r="AC16" s="43">
        <f t="shared" si="19"/>
        <v>-9.99999999997669E-2</v>
      </c>
      <c r="AD16" s="44">
        <f t="shared" si="20"/>
        <v>-0.999999999999446</v>
      </c>
      <c r="AE16" s="45">
        <f t="shared" si="21"/>
        <v>-9.99999999997669E-2</v>
      </c>
      <c r="AF16" s="50">
        <v>79637</v>
      </c>
      <c r="AG16" s="58">
        <f t="shared" si="22"/>
        <v>72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44659</v>
      </c>
      <c r="B17" s="22">
        <v>791.46479999999997</v>
      </c>
      <c r="C17" s="27">
        <v>5.8133999999999997</v>
      </c>
      <c r="D17" s="23">
        <f t="shared" si="0"/>
        <v>797.27819999999997</v>
      </c>
      <c r="E17" s="24">
        <f t="shared" si="4"/>
        <v>0.199999999949796</v>
      </c>
      <c r="F17" s="25">
        <f t="shared" si="5"/>
        <v>-0.80000000002655702</v>
      </c>
      <c r="G17" s="26">
        <f t="shared" si="6"/>
        <v>0.199999999949796</v>
      </c>
      <c r="H17" s="6">
        <v>7.1223999999999998</v>
      </c>
      <c r="I17" s="35">
        <f t="shared" si="1"/>
        <v>798.58720000000005</v>
      </c>
      <c r="J17" s="24">
        <f t="shared" si="7"/>
        <v>-9.9999999974897905E-2</v>
      </c>
      <c r="K17" s="25">
        <f t="shared" si="8"/>
        <v>-1.1000000000649399</v>
      </c>
      <c r="L17" s="26">
        <f t="shared" si="9"/>
        <v>-9.9999999974897905E-2</v>
      </c>
      <c r="M17" s="6">
        <v>5.3414999999999999</v>
      </c>
      <c r="N17" s="35">
        <f t="shared" si="2"/>
        <v>796.80629999999996</v>
      </c>
      <c r="O17" s="24">
        <f t="shared" si="10"/>
        <v>-0.49999999998817701</v>
      </c>
      <c r="P17" s="25">
        <f t="shared" si="11"/>
        <v>-1.09999999995125</v>
      </c>
      <c r="Q17" s="26">
        <f t="shared" si="12"/>
        <v>-0.49999999998817701</v>
      </c>
      <c r="R17" s="41"/>
      <c r="S17" s="21">
        <f t="shared" si="3"/>
        <v>44659</v>
      </c>
      <c r="T17" s="42">
        <v>8.9392999999999994</v>
      </c>
      <c r="U17" s="43">
        <f t="shared" si="13"/>
        <v>-0.70000000000014495</v>
      </c>
      <c r="V17" s="44">
        <f t="shared" si="14"/>
        <v>-2.2000000000002</v>
      </c>
      <c r="W17" s="45">
        <f t="shared" si="15"/>
        <v>0.70000000000014495</v>
      </c>
      <c r="X17" s="29">
        <v>11.9641</v>
      </c>
      <c r="Y17" s="43">
        <f t="shared" si="16"/>
        <v>9.99999999997669E-2</v>
      </c>
      <c r="Z17" s="44">
        <f t="shared" si="17"/>
        <v>-1.8999999999991199</v>
      </c>
      <c r="AA17" s="45">
        <f t="shared" si="18"/>
        <v>9.99999999997669E-2</v>
      </c>
      <c r="AB17" s="49">
        <v>9.0790000000000006</v>
      </c>
      <c r="AC17" s="43">
        <f t="shared" si="19"/>
        <v>-0.19999999999953399</v>
      </c>
      <c r="AD17" s="44">
        <f t="shared" si="20"/>
        <v>-1.1999999999989801</v>
      </c>
      <c r="AE17" s="45">
        <f t="shared" si="21"/>
        <v>-0.19999999999953399</v>
      </c>
      <c r="AF17" s="50">
        <v>79643</v>
      </c>
      <c r="AG17" s="58">
        <f t="shared" si="22"/>
        <v>78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44660</v>
      </c>
      <c r="B18" s="22">
        <v>791.46479999999997</v>
      </c>
      <c r="C18" s="27">
        <v>5.8129999999999997</v>
      </c>
      <c r="D18" s="23">
        <f t="shared" si="0"/>
        <v>797.27779999999996</v>
      </c>
      <c r="E18" s="24">
        <f t="shared" si="4"/>
        <v>-0.40000000001327901</v>
      </c>
      <c r="F18" s="25">
        <f t="shared" si="5"/>
        <v>-1.2000000000398401</v>
      </c>
      <c r="G18" s="26">
        <f t="shared" si="6"/>
        <v>-0.40000000001327901</v>
      </c>
      <c r="H18" s="6">
        <v>7.1226000000000003</v>
      </c>
      <c r="I18" s="35">
        <f t="shared" si="1"/>
        <v>798.5874</v>
      </c>
      <c r="J18" s="24">
        <f t="shared" si="7"/>
        <v>0.20000000006348301</v>
      </c>
      <c r="K18" s="25">
        <f t="shared" si="8"/>
        <v>-0.90000000000145497</v>
      </c>
      <c r="L18" s="26">
        <f t="shared" si="9"/>
        <v>0.20000000006348301</v>
      </c>
      <c r="M18" s="6">
        <v>5.3414000000000001</v>
      </c>
      <c r="N18" s="35">
        <f t="shared" si="2"/>
        <v>796.80619999999999</v>
      </c>
      <c r="O18" s="24">
        <f t="shared" si="10"/>
        <v>-9.9999999974897905E-2</v>
      </c>
      <c r="P18" s="25">
        <f t="shared" si="11"/>
        <v>-1.1999999999261499</v>
      </c>
      <c r="Q18" s="26">
        <f t="shared" si="12"/>
        <v>-9.9999999974897905E-2</v>
      </c>
      <c r="R18" s="41"/>
      <c r="S18" s="21">
        <f t="shared" si="3"/>
        <v>44660</v>
      </c>
      <c r="T18" s="42">
        <v>8.9391000000000105</v>
      </c>
      <c r="U18" s="43">
        <f t="shared" si="13"/>
        <v>-0.19999999998887599</v>
      </c>
      <c r="V18" s="44">
        <f t="shared" si="14"/>
        <v>-2.3999999999890802</v>
      </c>
      <c r="W18" s="45">
        <f t="shared" si="15"/>
        <v>0.19999999998887599</v>
      </c>
      <c r="X18" s="29">
        <v>11.9636</v>
      </c>
      <c r="Y18" s="43">
        <f t="shared" si="16"/>
        <v>-0.50000000000061096</v>
      </c>
      <c r="Z18" s="44">
        <f t="shared" si="17"/>
        <v>-2.3999999999997401</v>
      </c>
      <c r="AA18" s="45">
        <f t="shared" si="18"/>
        <v>-0.50000000000061096</v>
      </c>
      <c r="AB18" s="49">
        <v>9.0790000000000006</v>
      </c>
      <c r="AC18" s="43">
        <f t="shared" si="19"/>
        <v>0</v>
      </c>
      <c r="AD18" s="44">
        <f t="shared" si="20"/>
        <v>-1.1999999999989801</v>
      </c>
      <c r="AE18" s="45">
        <f t="shared" si="21"/>
        <v>0</v>
      </c>
      <c r="AF18" s="50">
        <v>79646</v>
      </c>
      <c r="AG18" s="58">
        <f t="shared" si="22"/>
        <v>81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44661</v>
      </c>
      <c r="B19" s="22">
        <v>791.46479999999997</v>
      </c>
      <c r="C19" s="27">
        <v>5.8129</v>
      </c>
      <c r="D19" s="23">
        <f t="shared" si="0"/>
        <v>797.27769999999998</v>
      </c>
      <c r="E19" s="24">
        <f t="shared" si="4"/>
        <v>-9.9999999974897905E-2</v>
      </c>
      <c r="F19" s="25">
        <f t="shared" si="5"/>
        <v>-1.30000000001473</v>
      </c>
      <c r="G19" s="26">
        <f t="shared" si="6"/>
        <v>-9.9999999974897905E-2</v>
      </c>
      <c r="H19" s="6">
        <v>7.1222000000000003</v>
      </c>
      <c r="I19" s="35">
        <f t="shared" si="1"/>
        <v>798.58699999999999</v>
      </c>
      <c r="J19" s="24">
        <f t="shared" si="7"/>
        <v>-0.40000000001327901</v>
      </c>
      <c r="K19" s="25">
        <f t="shared" si="8"/>
        <v>-1.30000000001473</v>
      </c>
      <c r="L19" s="26">
        <f t="shared" si="9"/>
        <v>-0.40000000001327901</v>
      </c>
      <c r="M19" s="6">
        <v>5.3414999999999999</v>
      </c>
      <c r="N19" s="35">
        <f t="shared" si="2"/>
        <v>796.80629999999996</v>
      </c>
      <c r="O19" s="24">
        <f t="shared" si="10"/>
        <v>9.9999999974897905E-2</v>
      </c>
      <c r="P19" s="25">
        <f t="shared" si="11"/>
        <v>-1.09999999995125</v>
      </c>
      <c r="Q19" s="26">
        <f t="shared" si="12"/>
        <v>9.9999999974897905E-2</v>
      </c>
      <c r="R19" s="41"/>
      <c r="S19" s="21">
        <f t="shared" si="3"/>
        <v>44661</v>
      </c>
      <c r="T19" s="42">
        <v>8.9391999999999996</v>
      </c>
      <c r="U19" s="43">
        <f t="shared" si="13"/>
        <v>9.9999999989108801E-2</v>
      </c>
      <c r="V19" s="44">
        <f t="shared" si="14"/>
        <v>-2.2999999999999701</v>
      </c>
      <c r="W19" s="45">
        <f t="shared" si="15"/>
        <v>-9.9999999989108801E-2</v>
      </c>
      <c r="X19" s="29">
        <v>11.9634</v>
      </c>
      <c r="Y19" s="43">
        <f t="shared" si="16"/>
        <v>-0.19999999999953399</v>
      </c>
      <c r="Z19" s="44">
        <f t="shared" si="17"/>
        <v>-2.59999999999927</v>
      </c>
      <c r="AA19" s="45">
        <f t="shared" si="18"/>
        <v>-0.19999999999953399</v>
      </c>
      <c r="AB19" s="49">
        <v>9.0789000000000009</v>
      </c>
      <c r="AC19" s="43">
        <f t="shared" si="19"/>
        <v>-9.99999999997669E-2</v>
      </c>
      <c r="AD19" s="44">
        <f t="shared" si="20"/>
        <v>-1.2999999999987499</v>
      </c>
      <c r="AE19" s="45">
        <f t="shared" si="21"/>
        <v>-9.99999999997669E-2</v>
      </c>
      <c r="AF19" s="50">
        <v>79649</v>
      </c>
      <c r="AG19" s="58">
        <f t="shared" si="22"/>
        <v>84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44662</v>
      </c>
      <c r="B20" s="22">
        <v>791.46479999999997</v>
      </c>
      <c r="C20" s="27">
        <v>5.8129999999999997</v>
      </c>
      <c r="D20" s="23">
        <f t="shared" si="0"/>
        <v>797.27779999999996</v>
      </c>
      <c r="E20" s="24">
        <f t="shared" si="4"/>
        <v>9.9999999974897905E-2</v>
      </c>
      <c r="F20" s="25">
        <f t="shared" si="5"/>
        <v>-1.2000000000398401</v>
      </c>
      <c r="G20" s="26">
        <f t="shared" si="6"/>
        <v>9.9999999974897905E-2</v>
      </c>
      <c r="H20" s="6">
        <v>7.1220999999999997</v>
      </c>
      <c r="I20" s="35">
        <f t="shared" si="1"/>
        <v>798.58690000000001</v>
      </c>
      <c r="J20" s="24">
        <f t="shared" si="7"/>
        <v>-9.9999999974897905E-2</v>
      </c>
      <c r="K20" s="25">
        <f t="shared" si="8"/>
        <v>-1.39999999998963</v>
      </c>
      <c r="L20" s="26">
        <f t="shared" si="9"/>
        <v>-9.9999999974897905E-2</v>
      </c>
      <c r="M20" s="6">
        <v>5.3411999999999997</v>
      </c>
      <c r="N20" s="35">
        <f t="shared" si="2"/>
        <v>796.80600000000004</v>
      </c>
      <c r="O20" s="24">
        <f t="shared" si="10"/>
        <v>-0.30000000003838101</v>
      </c>
      <c r="P20" s="25">
        <f t="shared" si="11"/>
        <v>-1.39999999998963</v>
      </c>
      <c r="Q20" s="26">
        <f t="shared" si="12"/>
        <v>-0.30000000003838101</v>
      </c>
      <c r="R20" s="41"/>
      <c r="S20" s="21">
        <f t="shared" si="3"/>
        <v>44662</v>
      </c>
      <c r="T20" s="42">
        <v>8.9387000000000096</v>
      </c>
      <c r="U20" s="43">
        <f t="shared" si="13"/>
        <v>-0.49999999998995298</v>
      </c>
      <c r="V20" s="44">
        <f t="shared" si="14"/>
        <v>-2.7999999999899199</v>
      </c>
      <c r="W20" s="45">
        <f t="shared" si="15"/>
        <v>0.49999999998995298</v>
      </c>
      <c r="X20" s="29">
        <v>11.963200000000001</v>
      </c>
      <c r="Y20" s="43">
        <f t="shared" si="16"/>
        <v>-0.19999999999953399</v>
      </c>
      <c r="Z20" s="44">
        <f t="shared" si="17"/>
        <v>-2.7999999999987999</v>
      </c>
      <c r="AA20" s="45">
        <f t="shared" si="18"/>
        <v>-0.19999999999953399</v>
      </c>
      <c r="AB20" s="49">
        <v>9.0792000000000002</v>
      </c>
      <c r="AC20" s="43">
        <f t="shared" si="19"/>
        <v>0.29999999999930099</v>
      </c>
      <c r="AD20" s="44">
        <f t="shared" si="20"/>
        <v>-0.999999999999446</v>
      </c>
      <c r="AE20" s="45">
        <f t="shared" si="21"/>
        <v>0.29999999999930099</v>
      </c>
      <c r="AF20" s="50">
        <v>79652</v>
      </c>
      <c r="AG20" s="58">
        <f t="shared" si="22"/>
        <v>87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44664</v>
      </c>
      <c r="B21" s="22">
        <v>791.46479999999997</v>
      </c>
      <c r="C21" s="27">
        <v>5.8127000000000004</v>
      </c>
      <c r="D21" s="23">
        <f t="shared" si="0"/>
        <v>797.27750000000003</v>
      </c>
      <c r="E21" s="24">
        <f t="shared" si="4"/>
        <v>-0.30000000003838101</v>
      </c>
      <c r="F21" s="25">
        <f t="shared" si="5"/>
        <v>-1.5000000000782201</v>
      </c>
      <c r="G21" s="26">
        <f t="shared" si="6"/>
        <v>-0.15000000001919001</v>
      </c>
      <c r="H21" s="6">
        <v>7.1223000000000001</v>
      </c>
      <c r="I21" s="35">
        <f t="shared" si="1"/>
        <v>798.58709999999996</v>
      </c>
      <c r="J21" s="24">
        <f t="shared" si="7"/>
        <v>0.199999999949796</v>
      </c>
      <c r="K21" s="25">
        <f t="shared" si="8"/>
        <v>-1.2000000000398401</v>
      </c>
      <c r="L21" s="26">
        <f t="shared" si="9"/>
        <v>9.9999999974897905E-2</v>
      </c>
      <c r="M21" s="6">
        <v>5.3411</v>
      </c>
      <c r="N21" s="35">
        <f t="shared" si="2"/>
        <v>796.80589999999995</v>
      </c>
      <c r="O21" s="24">
        <f t="shared" si="10"/>
        <v>-9.9999999974897905E-2</v>
      </c>
      <c r="P21" s="25">
        <f t="shared" si="11"/>
        <v>-1.4999999999645299</v>
      </c>
      <c r="Q21" s="26">
        <f t="shared" si="12"/>
        <v>-4.9999999987449001E-2</v>
      </c>
      <c r="R21" s="41"/>
      <c r="S21" s="21">
        <f t="shared" si="3"/>
        <v>44664</v>
      </c>
      <c r="T21" s="42">
        <v>8.9385000000000101</v>
      </c>
      <c r="U21" s="43">
        <f t="shared" si="13"/>
        <v>-0.19999999999953399</v>
      </c>
      <c r="V21" s="44">
        <f t="shared" si="14"/>
        <v>-2.99999999998946</v>
      </c>
      <c r="W21" s="45">
        <f t="shared" si="15"/>
        <v>9.99999999997669E-2</v>
      </c>
      <c r="X21" s="29">
        <v>11.9633</v>
      </c>
      <c r="Y21" s="43">
        <f t="shared" si="16"/>
        <v>9.99999999997669E-2</v>
      </c>
      <c r="Z21" s="44">
        <f t="shared" si="17"/>
        <v>-2.6999999999990401</v>
      </c>
      <c r="AA21" s="45">
        <f t="shared" si="18"/>
        <v>4.9999999999883499E-2</v>
      </c>
      <c r="AB21" s="49">
        <v>9.0786999999999995</v>
      </c>
      <c r="AC21" s="43">
        <f t="shared" si="19"/>
        <v>-0.50000000000061096</v>
      </c>
      <c r="AD21" s="44">
        <f t="shared" si="20"/>
        <v>-1.50000000000006</v>
      </c>
      <c r="AE21" s="45">
        <f t="shared" si="21"/>
        <v>-0.25000000000030598</v>
      </c>
      <c r="AF21" s="50">
        <v>79655</v>
      </c>
      <c r="AG21" s="58">
        <f t="shared" si="22"/>
        <v>90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44666</v>
      </c>
      <c r="B22" s="22">
        <v>791.46479999999997</v>
      </c>
      <c r="C22" s="27">
        <v>5.8125999999999998</v>
      </c>
      <c r="D22" s="23">
        <f t="shared" si="0"/>
        <v>797.27739999999994</v>
      </c>
      <c r="E22" s="24">
        <f t="shared" si="4"/>
        <v>-9.9999999974897905E-2</v>
      </c>
      <c r="F22" s="25">
        <f t="shared" si="5"/>
        <v>-1.60000000005311</v>
      </c>
      <c r="G22" s="26">
        <f t="shared" si="6"/>
        <v>-4.9999999987449001E-2</v>
      </c>
      <c r="H22" s="6">
        <v>7.1219000000000001</v>
      </c>
      <c r="I22" s="35">
        <f t="shared" si="1"/>
        <v>798.58669999999995</v>
      </c>
      <c r="J22" s="24">
        <f t="shared" si="7"/>
        <v>-0.40000000001327901</v>
      </c>
      <c r="K22" s="25">
        <f t="shared" si="8"/>
        <v>-1.60000000005311</v>
      </c>
      <c r="L22" s="26">
        <f t="shared" si="9"/>
        <v>-0.20000000000663901</v>
      </c>
      <c r="M22" s="6">
        <v>5.3413000000000004</v>
      </c>
      <c r="N22" s="35">
        <f t="shared" si="2"/>
        <v>796.80610000000001</v>
      </c>
      <c r="O22" s="24">
        <f t="shared" si="10"/>
        <v>0.20000000006348301</v>
      </c>
      <c r="P22" s="25">
        <f t="shared" si="11"/>
        <v>-1.2999999999010501</v>
      </c>
      <c r="Q22" s="26">
        <f t="shared" si="12"/>
        <v>0.100000000031741</v>
      </c>
      <c r="R22" s="41"/>
      <c r="S22" s="21">
        <f t="shared" si="3"/>
        <v>44666</v>
      </c>
      <c r="T22" s="42">
        <v>8.9385999999999992</v>
      </c>
      <c r="U22" s="43">
        <f t="shared" si="13"/>
        <v>9.9999999989108801E-2</v>
      </c>
      <c r="V22" s="44">
        <f t="shared" si="14"/>
        <v>-2.9000000000003499</v>
      </c>
      <c r="W22" s="45">
        <f t="shared" si="15"/>
        <v>-4.99999999945544E-2</v>
      </c>
      <c r="X22" s="29">
        <v>11.9628</v>
      </c>
      <c r="Y22" s="43">
        <f t="shared" si="16"/>
        <v>-0.50000000000061096</v>
      </c>
      <c r="Z22" s="44">
        <f t="shared" si="17"/>
        <v>-3.1999999999996498</v>
      </c>
      <c r="AA22" s="45">
        <f t="shared" si="18"/>
        <v>-0.25000000000030598</v>
      </c>
      <c r="AB22" s="49">
        <v>9.0785999999999998</v>
      </c>
      <c r="AC22" s="43">
        <f t="shared" si="19"/>
        <v>-9.99999999997669E-2</v>
      </c>
      <c r="AD22" s="44">
        <f t="shared" si="20"/>
        <v>-1.59999999999982</v>
      </c>
      <c r="AE22" s="45">
        <f t="shared" si="21"/>
        <v>-4.9999999999883499E-2</v>
      </c>
      <c r="AF22" s="50">
        <v>79658</v>
      </c>
      <c r="AG22" s="58">
        <f t="shared" si="22"/>
        <v>93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44668</v>
      </c>
      <c r="B23" s="22">
        <v>791.46479999999997</v>
      </c>
      <c r="C23" s="27">
        <v>5.8124000000000002</v>
      </c>
      <c r="D23" s="23">
        <f t="shared" si="0"/>
        <v>797.27719999999999</v>
      </c>
      <c r="E23" s="24">
        <f t="shared" si="4"/>
        <v>-0.199999999949796</v>
      </c>
      <c r="F23" s="25">
        <f t="shared" si="5"/>
        <v>-1.8000000000029099</v>
      </c>
      <c r="G23" s="26">
        <f t="shared" si="6"/>
        <v>-9.9999999974897905E-2</v>
      </c>
      <c r="H23" s="6">
        <v>7.1218000000000004</v>
      </c>
      <c r="I23" s="35">
        <f t="shared" si="1"/>
        <v>798.58659999999998</v>
      </c>
      <c r="J23" s="24">
        <f t="shared" si="7"/>
        <v>-9.9999999974897905E-2</v>
      </c>
      <c r="K23" s="25">
        <f t="shared" si="8"/>
        <v>-1.70000000002801</v>
      </c>
      <c r="L23" s="26">
        <f t="shared" si="9"/>
        <v>-4.9999999987449001E-2</v>
      </c>
      <c r="M23" s="6">
        <v>5.3409000000000004</v>
      </c>
      <c r="N23" s="35">
        <f t="shared" si="2"/>
        <v>796.8057</v>
      </c>
      <c r="O23" s="24">
        <f t="shared" si="10"/>
        <v>-0.40000000001327901</v>
      </c>
      <c r="P23" s="25">
        <f t="shared" si="11"/>
        <v>-1.69999999991433</v>
      </c>
      <c r="Q23" s="26">
        <f t="shared" si="12"/>
        <v>-0.20000000000663901</v>
      </c>
      <c r="R23" s="41"/>
      <c r="S23" s="21">
        <f t="shared" si="3"/>
        <v>44668</v>
      </c>
      <c r="T23" s="42">
        <v>8.9387000000000008</v>
      </c>
      <c r="U23" s="43">
        <f t="shared" si="13"/>
        <v>0.10000000000154299</v>
      </c>
      <c r="V23" s="44">
        <f t="shared" si="14"/>
        <v>-2.7999999999987999</v>
      </c>
      <c r="W23" s="45">
        <f t="shared" si="15"/>
        <v>-5.0000000000771601E-2</v>
      </c>
      <c r="X23" s="29">
        <v>11.9626</v>
      </c>
      <c r="Y23" s="43">
        <f t="shared" si="16"/>
        <v>-0.19999999999953399</v>
      </c>
      <c r="Z23" s="44">
        <f t="shared" si="17"/>
        <v>-3.3999999999991801</v>
      </c>
      <c r="AA23" s="45">
        <f t="shared" si="18"/>
        <v>-9.99999999997669E-2</v>
      </c>
      <c r="AB23" s="49">
        <v>9.0785999999999998</v>
      </c>
      <c r="AC23" s="43">
        <f t="shared" si="19"/>
        <v>0</v>
      </c>
      <c r="AD23" s="44">
        <f t="shared" si="20"/>
        <v>-1.59999999999982</v>
      </c>
      <c r="AE23" s="45">
        <f t="shared" si="21"/>
        <v>0</v>
      </c>
      <c r="AF23" s="50">
        <v>79661</v>
      </c>
      <c r="AG23" s="58">
        <f t="shared" si="22"/>
        <v>96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44670</v>
      </c>
      <c r="B24" s="22">
        <v>791.46479999999997</v>
      </c>
      <c r="C24" s="27">
        <v>5.8124000000000002</v>
      </c>
      <c r="D24" s="23">
        <f t="shared" si="0"/>
        <v>797.27719999999999</v>
      </c>
      <c r="E24" s="24">
        <f t="shared" si="4"/>
        <v>0</v>
      </c>
      <c r="F24" s="25">
        <f t="shared" si="5"/>
        <v>-1.8000000000029099</v>
      </c>
      <c r="G24" s="26">
        <f t="shared" si="6"/>
        <v>0</v>
      </c>
      <c r="H24" s="6">
        <v>7.1215999999999999</v>
      </c>
      <c r="I24" s="35">
        <f t="shared" si="1"/>
        <v>798.58640000000003</v>
      </c>
      <c r="J24" s="24">
        <f t="shared" si="7"/>
        <v>-0.20000000006348301</v>
      </c>
      <c r="K24" s="25">
        <f t="shared" si="8"/>
        <v>-1.9000000000915001</v>
      </c>
      <c r="L24" s="26">
        <f t="shared" si="9"/>
        <v>-0.100000000031741</v>
      </c>
      <c r="M24" s="6">
        <v>5.3407999999999998</v>
      </c>
      <c r="N24" s="35">
        <f t="shared" si="2"/>
        <v>796.80560000000003</v>
      </c>
      <c r="O24" s="24">
        <f t="shared" si="10"/>
        <v>-0.10000000008858501</v>
      </c>
      <c r="P24" s="25">
        <f t="shared" si="11"/>
        <v>-1.8000000000029099</v>
      </c>
      <c r="Q24" s="26">
        <f t="shared" si="12"/>
        <v>-5.0000000044292399E-2</v>
      </c>
      <c r="R24" s="41"/>
      <c r="S24" s="21">
        <f t="shared" si="3"/>
        <v>44670</v>
      </c>
      <c r="T24" s="42">
        <v>8.9389000000000003</v>
      </c>
      <c r="U24" s="43">
        <f t="shared" si="13"/>
        <v>0.19999999999953399</v>
      </c>
      <c r="V24" s="44">
        <f t="shared" si="14"/>
        <v>-2.59999999999927</v>
      </c>
      <c r="W24" s="45">
        <f t="shared" si="15"/>
        <v>-9.99999999997669E-2</v>
      </c>
      <c r="X24" s="29">
        <v>11.9625</v>
      </c>
      <c r="Y24" s="43">
        <f t="shared" si="16"/>
        <v>-9.99999999997669E-2</v>
      </c>
      <c r="Z24" s="44">
        <f t="shared" si="17"/>
        <v>-3.4999999999989502</v>
      </c>
      <c r="AA24" s="45">
        <f t="shared" si="18"/>
        <v>-4.9999999999883499E-2</v>
      </c>
      <c r="AB24" s="49">
        <v>9.0784000000000002</v>
      </c>
      <c r="AC24" s="43">
        <f t="shared" si="19"/>
        <v>-0.19999999999953399</v>
      </c>
      <c r="AD24" s="44">
        <f t="shared" si="20"/>
        <v>-1.7999999999993599</v>
      </c>
      <c r="AE24" s="45">
        <f t="shared" si="21"/>
        <v>-9.99999999997669E-2</v>
      </c>
      <c r="AF24" s="50">
        <v>79664</v>
      </c>
      <c r="AG24" s="58">
        <f t="shared" si="22"/>
        <v>99</v>
      </c>
      <c r="AH24" s="61"/>
      <c r="AI24" s="52"/>
      <c r="AJ24" s="52"/>
      <c r="AK24" s="52"/>
      <c r="AL24" s="52"/>
      <c r="AM24" s="52"/>
    </row>
    <row r="25" spans="1:48">
      <c r="A25" s="21">
        <v>44672</v>
      </c>
      <c r="B25" s="22">
        <v>791.46479999999997</v>
      </c>
      <c r="C25" s="27">
        <v>5.8121999999999998</v>
      </c>
      <c r="D25" s="23">
        <f t="shared" si="0"/>
        <v>797.27700000000004</v>
      </c>
      <c r="E25" s="24">
        <f t="shared" si="4"/>
        <v>-0.20000000006348301</v>
      </c>
      <c r="F25" s="25">
        <f t="shared" si="5"/>
        <v>-2.00000000006639</v>
      </c>
      <c r="G25" s="26">
        <f t="shared" si="6"/>
        <v>-0.100000000031741</v>
      </c>
      <c r="H25" s="6">
        <v>7.1212999999999997</v>
      </c>
      <c r="I25" s="35">
        <f t="shared" si="1"/>
        <v>798.58609999999999</v>
      </c>
      <c r="J25" s="24">
        <f t="shared" si="7"/>
        <v>-0.29999999992469401</v>
      </c>
      <c r="K25" s="25">
        <f t="shared" si="8"/>
        <v>-2.2000000000161899</v>
      </c>
      <c r="L25" s="26">
        <f t="shared" si="9"/>
        <v>-0.149999999962347</v>
      </c>
      <c r="M25" s="6">
        <v>5.3407</v>
      </c>
      <c r="N25" s="35">
        <f t="shared" si="2"/>
        <v>796.80550000000005</v>
      </c>
      <c r="O25" s="24">
        <f t="shared" si="10"/>
        <v>-9.9999999974897905E-2</v>
      </c>
      <c r="P25" s="25">
        <f t="shared" si="11"/>
        <v>-1.8999999999778101</v>
      </c>
      <c r="Q25" s="26">
        <f t="shared" si="12"/>
        <v>-4.9999999987449001E-2</v>
      </c>
      <c r="R25" s="41"/>
      <c r="S25" s="21">
        <f t="shared" si="3"/>
        <v>44672</v>
      </c>
      <c r="T25" s="42">
        <v>8.9390999999999998</v>
      </c>
      <c r="U25" s="43">
        <f t="shared" si="13"/>
        <v>0.19999999999953399</v>
      </c>
      <c r="V25" s="44">
        <f t="shared" si="14"/>
        <v>-2.3999999999997401</v>
      </c>
      <c r="W25" s="45">
        <f t="shared" si="15"/>
        <v>-9.99999999997669E-2</v>
      </c>
      <c r="X25" s="29">
        <v>11.962400000000001</v>
      </c>
      <c r="Y25" s="43">
        <f t="shared" si="16"/>
        <v>-9.99999999997669E-2</v>
      </c>
      <c r="Z25" s="44">
        <f t="shared" si="17"/>
        <v>-3.5999999999987198</v>
      </c>
      <c r="AA25" s="45">
        <f t="shared" si="18"/>
        <v>-4.9999999999883499E-2</v>
      </c>
      <c r="AB25" s="49">
        <v>9.0782000000000007</v>
      </c>
      <c r="AC25" s="43">
        <f t="shared" si="19"/>
        <v>-0.19999999999953399</v>
      </c>
      <c r="AD25" s="44">
        <f t="shared" si="20"/>
        <v>-1.99999999999889</v>
      </c>
      <c r="AE25" s="45">
        <f t="shared" si="21"/>
        <v>-9.99999999997669E-2</v>
      </c>
      <c r="AF25" s="50">
        <v>79667</v>
      </c>
      <c r="AG25" s="58">
        <f t="shared" si="22"/>
        <v>102</v>
      </c>
      <c r="AH25" s="61"/>
      <c r="AI25" s="60"/>
      <c r="AJ25"/>
      <c r="AK25"/>
      <c r="AL25"/>
      <c r="AM25"/>
    </row>
    <row r="26" spans="1:48">
      <c r="A26" s="21">
        <v>44674</v>
      </c>
      <c r="B26" s="22">
        <v>791.46479999999997</v>
      </c>
      <c r="C26" s="27">
        <v>5.8122999999999996</v>
      </c>
      <c r="D26" s="23">
        <f t="shared" si="0"/>
        <v>797.27710000000002</v>
      </c>
      <c r="E26" s="24">
        <f t="shared" ref="E26:E27" si="23">(D26-D25)*1000</f>
        <v>0.10000000008858501</v>
      </c>
      <c r="F26" s="25">
        <f t="shared" ref="F26:F27" si="24">F25+E26</f>
        <v>-1.8999999999778101</v>
      </c>
      <c r="G26" s="26">
        <f t="shared" ref="G26:G27" si="25">E26/(A26-A25)</f>
        <v>5.0000000044292399E-2</v>
      </c>
      <c r="H26" s="6">
        <v>7.1215000000000002</v>
      </c>
      <c r="I26" s="35">
        <f t="shared" si="1"/>
        <v>798.58630000000005</v>
      </c>
      <c r="J26" s="24">
        <f t="shared" ref="J26:J27" si="26">(I26-I25)*1000</f>
        <v>0.199999999949796</v>
      </c>
      <c r="K26" s="25">
        <f t="shared" ref="K26:K27" si="27">K25+J26</f>
        <v>-2.00000000006639</v>
      </c>
      <c r="L26" s="26">
        <f t="shared" ref="L26:L27" si="28">J26/(A26-A25)</f>
        <v>9.9999999974897905E-2</v>
      </c>
      <c r="M26" s="6">
        <v>5.3403999999999998</v>
      </c>
      <c r="N26" s="35">
        <f t="shared" si="2"/>
        <v>796.80520000000001</v>
      </c>
      <c r="O26" s="24">
        <f t="shared" ref="O26:O27" si="29">(N26-N25)*1000</f>
        <v>-0.29999999992469401</v>
      </c>
      <c r="P26" s="25">
        <f t="shared" ref="P26:P27" si="30">P25+O26</f>
        <v>-2.1999999999024999</v>
      </c>
      <c r="Q26" s="26">
        <f t="shared" ref="Q26:Q27" si="31">O26/(A26-A25)</f>
        <v>-0.149999999962347</v>
      </c>
      <c r="R26" s="41"/>
      <c r="S26" s="21">
        <f t="shared" si="3"/>
        <v>44674</v>
      </c>
      <c r="T26" s="42">
        <v>8.9391999999999996</v>
      </c>
      <c r="U26" s="43">
        <f t="shared" ref="U26:U27" si="32">(T26-T25)*1000</f>
        <v>9.99999999997669E-2</v>
      </c>
      <c r="V26" s="44">
        <f t="shared" ref="V26:V27" si="33">V25+U26</f>
        <v>-2.2999999999999701</v>
      </c>
      <c r="W26" s="45">
        <f t="shared" ref="W26:W27" si="34">U26/(S25-S26)</f>
        <v>-4.9999999999883499E-2</v>
      </c>
      <c r="X26" s="29">
        <v>11.9621</v>
      </c>
      <c r="Y26" s="43">
        <f t="shared" ref="Y26:Y27" si="35">(X26-X25)*1000</f>
        <v>-0.30000000000107702</v>
      </c>
      <c r="Z26" s="44">
        <f t="shared" ref="Z26:Z27" si="36">Z25+Y26</f>
        <v>-3.8999999999997899</v>
      </c>
      <c r="AA26" s="45">
        <f t="shared" ref="AA26:AA27" si="37">Y26/(S26-S25)</f>
        <v>-0.15000000000053901</v>
      </c>
      <c r="AB26" s="49">
        <v>9.0783000000000005</v>
      </c>
      <c r="AC26" s="43">
        <f t="shared" ref="AC26:AC27" si="38">(AB26-AB25)*1000</f>
        <v>9.99999999997669E-2</v>
      </c>
      <c r="AD26" s="44">
        <f t="shared" ref="AD26:AD27" si="39">AD25+AC26</f>
        <v>-1.8999999999991199</v>
      </c>
      <c r="AE26" s="45">
        <f t="shared" ref="AE26:AE27" si="40">AC26/(S26-S25)</f>
        <v>4.9999999999883499E-2</v>
      </c>
      <c r="AF26" s="50">
        <v>79670</v>
      </c>
      <c r="AG26" s="58">
        <f t="shared" si="22"/>
        <v>105</v>
      </c>
      <c r="AH26" s="61"/>
      <c r="AI26" s="60"/>
      <c r="AJ26"/>
      <c r="AK26"/>
      <c r="AL26"/>
      <c r="AM26"/>
    </row>
    <row r="27" spans="1:48">
      <c r="A27" s="21">
        <v>44676</v>
      </c>
      <c r="B27" s="22">
        <v>791.46479999999997</v>
      </c>
      <c r="C27" s="27">
        <v>5.8121</v>
      </c>
      <c r="D27" s="23">
        <f t="shared" si="0"/>
        <v>797.27689999999996</v>
      </c>
      <c r="E27" s="24">
        <f t="shared" si="23"/>
        <v>-0.20000000006348301</v>
      </c>
      <c r="F27" s="25">
        <f t="shared" si="24"/>
        <v>-2.1000000000412902</v>
      </c>
      <c r="G27" s="26">
        <f t="shared" si="25"/>
        <v>-0.100000000031741</v>
      </c>
      <c r="H27" s="6">
        <v>7.1212999999999997</v>
      </c>
      <c r="I27" s="35">
        <f t="shared" si="1"/>
        <v>798.58609999999999</v>
      </c>
      <c r="J27" s="24">
        <f t="shared" si="26"/>
        <v>-0.199999999949796</v>
      </c>
      <c r="K27" s="25">
        <f t="shared" si="27"/>
        <v>-2.2000000000161899</v>
      </c>
      <c r="L27" s="26">
        <f t="shared" si="28"/>
        <v>-9.9999999974897905E-2</v>
      </c>
      <c r="M27" s="6">
        <v>5.3406000000000002</v>
      </c>
      <c r="N27" s="35">
        <f t="shared" si="2"/>
        <v>796.80539999999996</v>
      </c>
      <c r="O27" s="24">
        <f t="shared" si="29"/>
        <v>0.199999999949796</v>
      </c>
      <c r="P27" s="25">
        <f t="shared" si="30"/>
        <v>-1.9999999999527101</v>
      </c>
      <c r="Q27" s="26">
        <f t="shared" si="31"/>
        <v>9.9999999974897905E-2</v>
      </c>
      <c r="R27" s="41"/>
      <c r="S27" s="21">
        <f t="shared" si="3"/>
        <v>44676</v>
      </c>
      <c r="T27" s="42">
        <v>8.9392999999999994</v>
      </c>
      <c r="U27" s="43">
        <f t="shared" si="32"/>
        <v>9.99999999997669E-2</v>
      </c>
      <c r="V27" s="44">
        <f t="shared" si="33"/>
        <v>-2.2000000000002</v>
      </c>
      <c r="W27" s="45">
        <f t="shared" si="34"/>
        <v>-4.9999999999883499E-2</v>
      </c>
      <c r="X27" s="29">
        <v>11.962300000000001</v>
      </c>
      <c r="Y27" s="43">
        <f t="shared" si="35"/>
        <v>0.20000000000130999</v>
      </c>
      <c r="Z27" s="44">
        <f t="shared" si="36"/>
        <v>-3.6999999999984801</v>
      </c>
      <c r="AA27" s="45">
        <f t="shared" si="37"/>
        <v>0.100000000000655</v>
      </c>
      <c r="AB27" s="49">
        <v>9.0779999999999994</v>
      </c>
      <c r="AC27" s="43">
        <f t="shared" si="38"/>
        <v>-0.30000000000107702</v>
      </c>
      <c r="AD27" s="44">
        <f t="shared" si="39"/>
        <v>-2.2000000000002</v>
      </c>
      <c r="AE27" s="45">
        <f t="shared" si="40"/>
        <v>-0.15000000000053901</v>
      </c>
      <c r="AF27" s="50">
        <v>79672</v>
      </c>
      <c r="AG27" s="58">
        <f t="shared" si="22"/>
        <v>107</v>
      </c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F27-F24</f>
        <v>-0.30000000003838101</v>
      </c>
      <c r="F28" s="33">
        <f>K27-K24</f>
        <v>-0.29999999992469401</v>
      </c>
      <c r="G28" s="33">
        <f>P27-P24</f>
        <v>-0.199999999949796</v>
      </c>
      <c r="H28" s="33">
        <f>F27</f>
        <v>-2.1000000000412902</v>
      </c>
      <c r="I28" s="66">
        <f>K27</f>
        <v>-2.2000000000161899</v>
      </c>
      <c r="J28" s="65">
        <f>P27</f>
        <v>-1.9999999999527101</v>
      </c>
      <c r="K28" s="33">
        <f>(K27-K24)/6</f>
        <v>-4.9999999987449001E-2</v>
      </c>
      <c r="L28" s="26"/>
      <c r="N28" s="35"/>
      <c r="O28" s="24"/>
      <c r="P28" s="25"/>
      <c r="Q28" s="26"/>
      <c r="R28" s="41"/>
      <c r="S28" s="21"/>
      <c r="T28" s="42"/>
      <c r="U28" s="65">
        <f>V27-V24</f>
        <v>0.39999999999906799</v>
      </c>
      <c r="V28" s="33">
        <f>Z27-Z24</f>
        <v>-0.19999999999953399</v>
      </c>
      <c r="W28" s="33">
        <f>AD27-AD24</f>
        <v>-0.40000000000084401</v>
      </c>
      <c r="X28" s="33">
        <f>V27</f>
        <v>-2.2000000000002</v>
      </c>
      <c r="Y28" s="65">
        <f>Z27</f>
        <v>-3.6999999999984801</v>
      </c>
      <c r="Z28" s="33">
        <f>AD27</f>
        <v>-2.2000000000002</v>
      </c>
      <c r="AA28" s="33">
        <f>(Z27-Z24)/6</f>
        <v>-3.3333333333255603E-2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4"/>
  <sheetViews>
    <sheetView topLeftCell="Q27" workbookViewId="0">
      <selection activeCell="U29" sqref="U29:AA2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49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44655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44655</v>
      </c>
      <c r="B6" s="22">
        <v>791.46479999999997</v>
      </c>
      <c r="C6" s="27">
        <v>5.1473000000000004</v>
      </c>
      <c r="D6" s="23">
        <f t="shared" ref="D6:D21" si="0">C6+B6</f>
        <v>796.61210000000005</v>
      </c>
      <c r="E6" s="24">
        <v>0</v>
      </c>
      <c r="F6" s="25">
        <v>0</v>
      </c>
      <c r="G6" s="26">
        <v>0</v>
      </c>
      <c r="H6" s="6">
        <v>7.0103</v>
      </c>
      <c r="I6" s="35">
        <f t="shared" ref="I6:I21" si="1">H6+B6</f>
        <v>798.4751</v>
      </c>
      <c r="J6" s="24">
        <v>0</v>
      </c>
      <c r="K6" s="25">
        <v>0</v>
      </c>
      <c r="L6" s="26">
        <v>0</v>
      </c>
      <c r="M6" s="6">
        <v>5.1345000000000001</v>
      </c>
      <c r="N6" s="35">
        <f t="shared" ref="N6:N21" si="2">M6+B6</f>
        <v>796.59929999999997</v>
      </c>
      <c r="O6" s="24">
        <v>0</v>
      </c>
      <c r="P6" s="25">
        <v>0</v>
      </c>
      <c r="Q6" s="26">
        <v>0</v>
      </c>
      <c r="R6" s="41"/>
      <c r="S6" s="21">
        <f t="shared" ref="S6:S21" si="3">A6</f>
        <v>44655</v>
      </c>
      <c r="T6" s="42">
        <v>5.3434999999999997</v>
      </c>
      <c r="U6" s="43">
        <v>0</v>
      </c>
      <c r="V6" s="44">
        <v>0</v>
      </c>
      <c r="W6" s="45">
        <f>U6/(S6-S11)</f>
        <v>0</v>
      </c>
      <c r="X6" s="29">
        <v>11.8287</v>
      </c>
      <c r="Y6" s="43">
        <v>0</v>
      </c>
      <c r="Z6" s="44">
        <v>0</v>
      </c>
      <c r="AA6" s="45">
        <v>0</v>
      </c>
      <c r="AB6" s="49">
        <v>11.270200000000001</v>
      </c>
      <c r="AC6" s="43">
        <v>0</v>
      </c>
      <c r="AD6" s="44">
        <v>0</v>
      </c>
      <c r="AE6" s="45">
        <v>0</v>
      </c>
      <c r="AF6" s="50">
        <v>79600</v>
      </c>
      <c r="AG6" s="58">
        <f>AF6-79593</f>
        <v>7</v>
      </c>
      <c r="AH6" s="59"/>
      <c r="AI6" s="60"/>
      <c r="AJ6" s="61"/>
      <c r="AK6" s="62"/>
      <c r="AL6" s="52"/>
      <c r="AM6" s="52"/>
    </row>
    <row r="7" spans="1:48">
      <c r="A7" s="21">
        <v>44656</v>
      </c>
      <c r="B7" s="22">
        <v>791.46479999999997</v>
      </c>
      <c r="C7" s="27">
        <v>5.1471999999999998</v>
      </c>
      <c r="D7" s="23">
        <f t="shared" si="0"/>
        <v>796.61199999999997</v>
      </c>
      <c r="E7" s="24">
        <f t="shared" ref="E7:E21" si="4">(D7-D6)*1000</f>
        <v>-9.9999999974897905E-2</v>
      </c>
      <c r="F7" s="25">
        <f t="shared" ref="F7:F21" si="5">F6+E7</f>
        <v>-9.9999999974897905E-2</v>
      </c>
      <c r="G7" s="26">
        <f t="shared" ref="G7:G21" si="6">E7/(A7-A6)</f>
        <v>-9.9999999974897905E-2</v>
      </c>
      <c r="H7" s="6">
        <v>7.0103999999999997</v>
      </c>
      <c r="I7" s="35">
        <f t="shared" si="1"/>
        <v>798.47519999999997</v>
      </c>
      <c r="J7" s="24">
        <f t="shared" ref="J7:J21" si="7">(I7-I6)*1000</f>
        <v>9.9999999974897905E-2</v>
      </c>
      <c r="K7" s="25">
        <f t="shared" ref="K7:K21" si="8">K6+J7</f>
        <v>9.9999999974897905E-2</v>
      </c>
      <c r="L7" s="26">
        <f t="shared" ref="L7:L21" si="9">J7/(A7-A6)</f>
        <v>9.9999999974897905E-2</v>
      </c>
      <c r="M7" s="6">
        <v>5.1342999999999996</v>
      </c>
      <c r="N7" s="35">
        <f t="shared" si="2"/>
        <v>796.59910000000002</v>
      </c>
      <c r="O7" s="24">
        <f t="shared" ref="O7:O21" si="10">(N7-N6)*1000</f>
        <v>-0.199999999949796</v>
      </c>
      <c r="P7" s="25">
        <f t="shared" ref="P7:P21" si="11">P6+O7</f>
        <v>-0.199999999949796</v>
      </c>
      <c r="Q7" s="26">
        <f t="shared" ref="Q7:Q21" si="12">O7/(A7-A6)</f>
        <v>-0.199999999949796</v>
      </c>
      <c r="R7" s="41"/>
      <c r="S7" s="21">
        <f t="shared" si="3"/>
        <v>44656</v>
      </c>
      <c r="T7" s="42">
        <v>5.3433000000000002</v>
      </c>
      <c r="U7" s="43">
        <f t="shared" ref="U7:U21" si="13">(T7-T6)*1000</f>
        <v>-0.19999999999953399</v>
      </c>
      <c r="V7" s="44">
        <f t="shared" ref="V7:V21" si="14">V6+U7</f>
        <v>-0.19999999999953399</v>
      </c>
      <c r="W7" s="45">
        <f t="shared" ref="W7:W21" si="15">U7/(S6-S7)</f>
        <v>0.19999999999953399</v>
      </c>
      <c r="X7" s="29">
        <v>11.8285</v>
      </c>
      <c r="Y7" s="43">
        <f t="shared" ref="Y7:Y21" si="16">(X7-X6)*1000</f>
        <v>-0.19999999999953399</v>
      </c>
      <c r="Z7" s="44">
        <f t="shared" ref="Z7:Z21" si="17">Z6+Y7</f>
        <v>-0.19999999999953399</v>
      </c>
      <c r="AA7" s="45">
        <f t="shared" ref="AA7:AA21" si="18">Y7/(S7-S6)</f>
        <v>-0.19999999999953399</v>
      </c>
      <c r="AB7" s="49">
        <v>11.27</v>
      </c>
      <c r="AC7" s="43">
        <f t="shared" ref="AC7:AC21" si="19">(AB7-AB6)*1000</f>
        <v>-0.20000000000130999</v>
      </c>
      <c r="AD7" s="44">
        <f t="shared" ref="AD7:AD21" si="20">AD6+AC7</f>
        <v>-0.20000000000130999</v>
      </c>
      <c r="AE7" s="45">
        <f t="shared" ref="AE7:AE21" si="21">AC7/(S7-S6)</f>
        <v>-0.20000000000130999</v>
      </c>
      <c r="AF7" s="50">
        <v>79603</v>
      </c>
      <c r="AG7" s="58">
        <f t="shared" ref="AG7:AG21" si="22">AF7-79593</f>
        <v>10</v>
      </c>
      <c r="AH7" s="59"/>
      <c r="AI7" s="60"/>
      <c r="AJ7" s="61"/>
      <c r="AK7" s="62"/>
      <c r="AL7" s="52"/>
      <c r="AM7" s="52"/>
    </row>
    <row r="8" spans="1:48">
      <c r="A8" s="21">
        <v>44657</v>
      </c>
      <c r="B8" s="22">
        <v>791.46479999999997</v>
      </c>
      <c r="C8" s="27">
        <v>5.1470000000000002</v>
      </c>
      <c r="D8" s="23">
        <f t="shared" si="0"/>
        <v>796.61180000000002</v>
      </c>
      <c r="E8" s="24">
        <f t="shared" si="4"/>
        <v>-0.199999999949796</v>
      </c>
      <c r="F8" s="25">
        <f t="shared" si="5"/>
        <v>-0.29999999992469401</v>
      </c>
      <c r="G8" s="26">
        <f t="shared" si="6"/>
        <v>-0.199999999949796</v>
      </c>
      <c r="H8" s="6">
        <v>7.0103</v>
      </c>
      <c r="I8" s="35">
        <f t="shared" si="1"/>
        <v>798.4751</v>
      </c>
      <c r="J8" s="24">
        <f t="shared" si="7"/>
        <v>-9.9999999974897905E-2</v>
      </c>
      <c r="K8" s="25">
        <f t="shared" si="8"/>
        <v>0</v>
      </c>
      <c r="L8" s="26">
        <f t="shared" si="9"/>
        <v>-9.9999999974897905E-2</v>
      </c>
      <c r="M8" s="6">
        <v>5.1341000000000001</v>
      </c>
      <c r="N8" s="35">
        <f t="shared" si="2"/>
        <v>796.59889999999996</v>
      </c>
      <c r="O8" s="24">
        <f t="shared" si="10"/>
        <v>-0.20000000006348301</v>
      </c>
      <c r="P8" s="25">
        <f t="shared" si="11"/>
        <v>-0.40000000001327901</v>
      </c>
      <c r="Q8" s="26">
        <f t="shared" si="12"/>
        <v>-0.20000000006348301</v>
      </c>
      <c r="R8" s="41"/>
      <c r="S8" s="21">
        <f t="shared" si="3"/>
        <v>44657</v>
      </c>
      <c r="T8" s="42">
        <v>5.3432000000000004</v>
      </c>
      <c r="U8" s="43">
        <f t="shared" si="13"/>
        <v>-9.99999999997669E-2</v>
      </c>
      <c r="V8" s="44">
        <f t="shared" si="14"/>
        <v>-0.29999999999930099</v>
      </c>
      <c r="W8" s="45">
        <f t="shared" si="15"/>
        <v>9.99999999997669E-2</v>
      </c>
      <c r="X8" s="29">
        <v>11.8283</v>
      </c>
      <c r="Y8" s="43">
        <f t="shared" si="16"/>
        <v>-0.19999999999953399</v>
      </c>
      <c r="Z8" s="44">
        <f t="shared" si="17"/>
        <v>-0.39999999999906799</v>
      </c>
      <c r="AA8" s="45">
        <f t="shared" si="18"/>
        <v>-0.19999999999953399</v>
      </c>
      <c r="AB8" s="49">
        <v>11.270099999999999</v>
      </c>
      <c r="AC8" s="43">
        <f t="shared" si="19"/>
        <v>9.99999999997669E-2</v>
      </c>
      <c r="AD8" s="44">
        <f t="shared" si="20"/>
        <v>-0.10000000000154299</v>
      </c>
      <c r="AE8" s="45">
        <f t="shared" si="21"/>
        <v>9.99999999997669E-2</v>
      </c>
      <c r="AF8" s="50">
        <v>79606</v>
      </c>
      <c r="AG8" s="58">
        <f t="shared" si="22"/>
        <v>13</v>
      </c>
      <c r="AH8" s="59"/>
      <c r="AI8" s="60"/>
      <c r="AJ8" s="61"/>
      <c r="AK8" s="62"/>
      <c r="AL8" s="52"/>
      <c r="AM8" s="52"/>
    </row>
    <row r="9" spans="1:48">
      <c r="A9" s="21">
        <v>44658</v>
      </c>
      <c r="B9" s="22">
        <v>791.46479999999997</v>
      </c>
      <c r="C9" s="27">
        <v>5.1471</v>
      </c>
      <c r="D9" s="23">
        <f t="shared" si="0"/>
        <v>796.61189999999999</v>
      </c>
      <c r="E9" s="24">
        <f t="shared" si="4"/>
        <v>9.9999999974897905E-2</v>
      </c>
      <c r="F9" s="25">
        <f t="shared" si="5"/>
        <v>-0.199999999949796</v>
      </c>
      <c r="G9" s="26">
        <f t="shared" si="6"/>
        <v>9.9999999974897905E-2</v>
      </c>
      <c r="H9" s="6">
        <v>7.0103999999999997</v>
      </c>
      <c r="I9" s="35">
        <f t="shared" si="1"/>
        <v>798.47519999999997</v>
      </c>
      <c r="J9" s="24">
        <f t="shared" si="7"/>
        <v>9.9999999974897905E-2</v>
      </c>
      <c r="K9" s="25">
        <f t="shared" si="8"/>
        <v>9.9999999974897905E-2</v>
      </c>
      <c r="L9" s="26">
        <f t="shared" si="9"/>
        <v>9.9999999974897905E-2</v>
      </c>
      <c r="M9" s="6">
        <v>5.1341999999999999</v>
      </c>
      <c r="N9" s="35">
        <f t="shared" si="2"/>
        <v>796.59900000000005</v>
      </c>
      <c r="O9" s="24">
        <f t="shared" si="10"/>
        <v>9.9999999974897905E-2</v>
      </c>
      <c r="P9" s="25">
        <f t="shared" si="11"/>
        <v>-0.30000000003838101</v>
      </c>
      <c r="Q9" s="26">
        <f t="shared" si="12"/>
        <v>9.9999999974897905E-2</v>
      </c>
      <c r="R9" s="41"/>
      <c r="S9" s="21">
        <f t="shared" si="3"/>
        <v>44658</v>
      </c>
      <c r="T9" s="42">
        <v>5.3433000000000002</v>
      </c>
      <c r="U9" s="43">
        <f t="shared" si="13"/>
        <v>9.99999999997669E-2</v>
      </c>
      <c r="V9" s="44">
        <f t="shared" si="14"/>
        <v>-0.19999999999953399</v>
      </c>
      <c r="W9" s="45">
        <f t="shared" si="15"/>
        <v>-9.99999999997669E-2</v>
      </c>
      <c r="X9" s="29">
        <v>11.8286</v>
      </c>
      <c r="Y9" s="43">
        <f t="shared" si="16"/>
        <v>0.29999999999930099</v>
      </c>
      <c r="Z9" s="44">
        <f t="shared" si="17"/>
        <v>-9.99999999997669E-2</v>
      </c>
      <c r="AA9" s="45">
        <f t="shared" si="18"/>
        <v>0.29999999999930099</v>
      </c>
      <c r="AB9" s="49">
        <v>11.269600000000001</v>
      </c>
      <c r="AC9" s="43">
        <f t="shared" si="19"/>
        <v>-0.49999999999883499</v>
      </c>
      <c r="AD9" s="44">
        <f t="shared" si="20"/>
        <v>-0.60000000000037801</v>
      </c>
      <c r="AE9" s="45">
        <f t="shared" si="21"/>
        <v>-0.49999999999883499</v>
      </c>
      <c r="AF9" s="50">
        <v>79609</v>
      </c>
      <c r="AG9" s="58">
        <f t="shared" si="22"/>
        <v>16</v>
      </c>
      <c r="AH9" s="59"/>
      <c r="AI9" s="60"/>
      <c r="AJ9" s="61"/>
      <c r="AK9" s="62"/>
      <c r="AL9" s="52"/>
      <c r="AM9" s="52"/>
    </row>
    <row r="10" spans="1:48">
      <c r="A10" s="21">
        <v>44659</v>
      </c>
      <c r="B10" s="22">
        <v>791.46479999999997</v>
      </c>
      <c r="C10" s="27">
        <v>5.1466000000000003</v>
      </c>
      <c r="D10" s="23">
        <f t="shared" si="0"/>
        <v>796.6114</v>
      </c>
      <c r="E10" s="24">
        <f t="shared" si="4"/>
        <v>-0.49999999998817701</v>
      </c>
      <c r="F10" s="25">
        <f t="shared" si="5"/>
        <v>-0.69999999993797202</v>
      </c>
      <c r="G10" s="26">
        <f t="shared" si="6"/>
        <v>-0.49999999998817701</v>
      </c>
      <c r="H10" s="6">
        <v>7.0101000000000004</v>
      </c>
      <c r="I10" s="35">
        <f t="shared" si="1"/>
        <v>798.47490000000005</v>
      </c>
      <c r="J10" s="24">
        <f t="shared" si="7"/>
        <v>-0.30000000003838101</v>
      </c>
      <c r="K10" s="25">
        <f t="shared" si="8"/>
        <v>-0.20000000006348301</v>
      </c>
      <c r="L10" s="26">
        <f t="shared" si="9"/>
        <v>-0.30000000003838101</v>
      </c>
      <c r="M10" s="6">
        <v>5.1337000000000002</v>
      </c>
      <c r="N10" s="35">
        <f t="shared" si="2"/>
        <v>796.59849999999994</v>
      </c>
      <c r="O10" s="24">
        <f t="shared" si="10"/>
        <v>-0.49999999998817701</v>
      </c>
      <c r="P10" s="25">
        <f t="shared" si="11"/>
        <v>-0.80000000002655702</v>
      </c>
      <c r="Q10" s="26">
        <f t="shared" si="12"/>
        <v>-0.49999999998817701</v>
      </c>
      <c r="R10" s="41"/>
      <c r="S10" s="21">
        <f t="shared" si="3"/>
        <v>44659</v>
      </c>
      <c r="T10" s="42">
        <v>5.343</v>
      </c>
      <c r="U10" s="43">
        <f t="shared" si="13"/>
        <v>-0.300000000000189</v>
      </c>
      <c r="V10" s="44">
        <f t="shared" si="14"/>
        <v>-0.499999999999723</v>
      </c>
      <c r="W10" s="45">
        <f t="shared" si="15"/>
        <v>0.300000000000189</v>
      </c>
      <c r="X10" s="29">
        <v>11.8284</v>
      </c>
      <c r="Y10" s="43">
        <f t="shared" si="16"/>
        <v>-0.19999999999953399</v>
      </c>
      <c r="Z10" s="44">
        <f t="shared" si="17"/>
        <v>-0.29999999999930099</v>
      </c>
      <c r="AA10" s="45">
        <f t="shared" si="18"/>
        <v>-0.19999999999953399</v>
      </c>
      <c r="AB10" s="49">
        <v>11.269399999999999</v>
      </c>
      <c r="AC10" s="43">
        <f t="shared" si="19"/>
        <v>-0.20000000000130999</v>
      </c>
      <c r="AD10" s="44">
        <f t="shared" si="20"/>
        <v>-0.80000000000168803</v>
      </c>
      <c r="AE10" s="45">
        <f t="shared" si="21"/>
        <v>-0.20000000000130999</v>
      </c>
      <c r="AF10" s="50">
        <v>79612</v>
      </c>
      <c r="AG10" s="58">
        <f t="shared" si="22"/>
        <v>19</v>
      </c>
      <c r="AH10" s="59"/>
      <c r="AI10" s="60"/>
      <c r="AJ10" s="61"/>
      <c r="AK10" s="62"/>
      <c r="AL10" s="52"/>
      <c r="AM10" s="52"/>
    </row>
    <row r="11" spans="1:48">
      <c r="A11" s="21">
        <v>44660</v>
      </c>
      <c r="B11" s="22">
        <v>791.46479999999997</v>
      </c>
      <c r="C11" s="27">
        <v>5.1463999999999999</v>
      </c>
      <c r="D11" s="23">
        <f t="shared" si="0"/>
        <v>796.61120000000005</v>
      </c>
      <c r="E11" s="24">
        <f t="shared" si="4"/>
        <v>-0.20000000006348301</v>
      </c>
      <c r="F11" s="25">
        <f t="shared" si="5"/>
        <v>-0.90000000000145497</v>
      </c>
      <c r="G11" s="26">
        <f t="shared" si="6"/>
        <v>-0.20000000006348301</v>
      </c>
      <c r="H11" s="6">
        <v>7.01</v>
      </c>
      <c r="I11" s="35">
        <f t="shared" si="1"/>
        <v>798.47479999999996</v>
      </c>
      <c r="J11" s="24">
        <f t="shared" si="7"/>
        <v>-9.9999999974897905E-2</v>
      </c>
      <c r="K11" s="25">
        <f t="shared" si="8"/>
        <v>-0.30000000003838101</v>
      </c>
      <c r="L11" s="26">
        <f t="shared" si="9"/>
        <v>-9.9999999974897905E-2</v>
      </c>
      <c r="M11" s="6">
        <v>5.1334999999999997</v>
      </c>
      <c r="N11" s="35">
        <f t="shared" si="2"/>
        <v>796.59829999999999</v>
      </c>
      <c r="O11" s="24">
        <f t="shared" si="10"/>
        <v>-0.199999999949796</v>
      </c>
      <c r="P11" s="25">
        <f t="shared" si="11"/>
        <v>-0.99999999997635303</v>
      </c>
      <c r="Q11" s="26">
        <f t="shared" si="12"/>
        <v>-0.199999999949796</v>
      </c>
      <c r="R11" s="41"/>
      <c r="S11" s="21">
        <f t="shared" si="3"/>
        <v>44660</v>
      </c>
      <c r="T11" s="42">
        <v>5.3429000000000002</v>
      </c>
      <c r="U11" s="43">
        <f t="shared" si="13"/>
        <v>-9.99999999997669E-2</v>
      </c>
      <c r="V11" s="44">
        <f t="shared" si="14"/>
        <v>-0.59999999999949005</v>
      </c>
      <c r="W11" s="45">
        <f t="shared" si="15"/>
        <v>9.99999999997669E-2</v>
      </c>
      <c r="X11" s="29">
        <v>11.828200000000001</v>
      </c>
      <c r="Y11" s="43">
        <f t="shared" si="16"/>
        <v>-0.19999999999953399</v>
      </c>
      <c r="Z11" s="44">
        <f t="shared" si="17"/>
        <v>-0.49999999999883499</v>
      </c>
      <c r="AA11" s="45">
        <f t="shared" si="18"/>
        <v>-0.19999999999953399</v>
      </c>
      <c r="AB11" s="49">
        <v>11.269500000000001</v>
      </c>
      <c r="AC11" s="43">
        <f t="shared" si="19"/>
        <v>0.10000000000154299</v>
      </c>
      <c r="AD11" s="44">
        <f t="shared" si="20"/>
        <v>-0.70000000000014495</v>
      </c>
      <c r="AE11" s="45">
        <f t="shared" si="21"/>
        <v>0.10000000000154299</v>
      </c>
      <c r="AF11" s="50">
        <v>79615</v>
      </c>
      <c r="AG11" s="58">
        <f t="shared" si="22"/>
        <v>22</v>
      </c>
      <c r="AH11" s="59"/>
      <c r="AI11" s="60"/>
      <c r="AJ11" s="52"/>
      <c r="AK11" s="52"/>
      <c r="AL11" s="52"/>
      <c r="AM11" s="52"/>
    </row>
    <row r="12" spans="1:48">
      <c r="A12" s="21">
        <v>44661</v>
      </c>
      <c r="B12" s="22">
        <v>791.46479999999997</v>
      </c>
      <c r="C12" s="27">
        <v>5.1464999999999996</v>
      </c>
      <c r="D12" s="23">
        <f t="shared" si="0"/>
        <v>796.61130000000003</v>
      </c>
      <c r="E12" s="24">
        <f t="shared" si="4"/>
        <v>9.9999999974897905E-2</v>
      </c>
      <c r="F12" s="25">
        <f t="shared" si="5"/>
        <v>-0.80000000002655702</v>
      </c>
      <c r="G12" s="26">
        <f t="shared" si="6"/>
        <v>9.9999999974897905E-2</v>
      </c>
      <c r="H12" s="6">
        <v>7.0099</v>
      </c>
      <c r="I12" s="35">
        <f t="shared" si="1"/>
        <v>798.47469999999998</v>
      </c>
      <c r="J12" s="24">
        <f t="shared" si="7"/>
        <v>-9.9999999974897905E-2</v>
      </c>
      <c r="K12" s="25">
        <f t="shared" si="8"/>
        <v>-0.40000000001327901</v>
      </c>
      <c r="L12" s="26">
        <f t="shared" si="9"/>
        <v>-9.9999999974897905E-2</v>
      </c>
      <c r="M12" s="6">
        <v>5.1333000000000002</v>
      </c>
      <c r="N12" s="35">
        <f t="shared" si="2"/>
        <v>796.59810000000004</v>
      </c>
      <c r="O12" s="24">
        <f t="shared" si="10"/>
        <v>-0.20000000006348301</v>
      </c>
      <c r="P12" s="25">
        <f t="shared" si="11"/>
        <v>-1.2000000000398401</v>
      </c>
      <c r="Q12" s="26">
        <f t="shared" si="12"/>
        <v>-0.20000000006348301</v>
      </c>
      <c r="R12" s="41"/>
      <c r="S12" s="21">
        <f t="shared" si="3"/>
        <v>44661</v>
      </c>
      <c r="T12" s="42">
        <v>5.343</v>
      </c>
      <c r="U12" s="43">
        <f t="shared" si="13"/>
        <v>9.99999999997669E-2</v>
      </c>
      <c r="V12" s="44">
        <f t="shared" si="14"/>
        <v>-0.499999999999723</v>
      </c>
      <c r="W12" s="45">
        <f t="shared" si="15"/>
        <v>-9.99999999997669E-2</v>
      </c>
      <c r="X12" s="29">
        <v>11.8283</v>
      </c>
      <c r="Y12" s="43">
        <f t="shared" si="16"/>
        <v>9.99999999997669E-2</v>
      </c>
      <c r="Z12" s="44">
        <f t="shared" si="17"/>
        <v>-0.39999999999906799</v>
      </c>
      <c r="AA12" s="45">
        <f t="shared" si="18"/>
        <v>9.99999999997669E-2</v>
      </c>
      <c r="AB12" s="49">
        <v>11.269</v>
      </c>
      <c r="AC12" s="43">
        <f t="shared" si="19"/>
        <v>-0.50000000000061096</v>
      </c>
      <c r="AD12" s="44">
        <f t="shared" si="20"/>
        <v>-1.20000000000076</v>
      </c>
      <c r="AE12" s="45">
        <f t="shared" si="21"/>
        <v>-0.50000000000061096</v>
      </c>
      <c r="AF12" s="50">
        <v>79618</v>
      </c>
      <c r="AG12" s="58">
        <f t="shared" si="22"/>
        <v>25</v>
      </c>
      <c r="AH12" s="61"/>
      <c r="AI12" s="60"/>
      <c r="AJ12"/>
      <c r="AK12"/>
      <c r="AL12"/>
      <c r="AM12"/>
    </row>
    <row r="13" spans="1:48">
      <c r="A13" s="21">
        <v>44662</v>
      </c>
      <c r="B13" s="22">
        <v>791.46479999999997</v>
      </c>
      <c r="C13" s="27">
        <v>5.1459999999999999</v>
      </c>
      <c r="D13" s="23">
        <f t="shared" si="0"/>
        <v>796.61080000000004</v>
      </c>
      <c r="E13" s="24">
        <f t="shared" si="4"/>
        <v>-0.49999999998817701</v>
      </c>
      <c r="F13" s="25">
        <f t="shared" si="5"/>
        <v>-1.30000000001473</v>
      </c>
      <c r="G13" s="26">
        <f t="shared" si="6"/>
        <v>-0.49999999998817701</v>
      </c>
      <c r="H13" s="6">
        <v>7.01</v>
      </c>
      <c r="I13" s="35">
        <f t="shared" si="1"/>
        <v>798.47479999999996</v>
      </c>
      <c r="J13" s="24">
        <f t="shared" si="7"/>
        <v>9.9999999974897905E-2</v>
      </c>
      <c r="K13" s="25">
        <f t="shared" si="8"/>
        <v>-0.30000000003838101</v>
      </c>
      <c r="L13" s="26">
        <f t="shared" si="9"/>
        <v>9.9999999974897905E-2</v>
      </c>
      <c r="M13" s="6">
        <v>5.1334999999999997</v>
      </c>
      <c r="N13" s="35">
        <f t="shared" si="2"/>
        <v>796.59829999999999</v>
      </c>
      <c r="O13" s="24">
        <f t="shared" si="10"/>
        <v>0.20000000006348301</v>
      </c>
      <c r="P13" s="25">
        <f t="shared" si="11"/>
        <v>-0.99999999997635303</v>
      </c>
      <c r="Q13" s="26">
        <f t="shared" si="12"/>
        <v>0.20000000006348301</v>
      </c>
      <c r="R13" s="41"/>
      <c r="S13" s="21">
        <f t="shared" si="3"/>
        <v>44662</v>
      </c>
      <c r="T13" s="42">
        <v>5.3426999999999998</v>
      </c>
      <c r="U13" s="43">
        <f t="shared" si="13"/>
        <v>-0.300000000000189</v>
      </c>
      <c r="V13" s="44">
        <f t="shared" si="14"/>
        <v>-0.799999999999912</v>
      </c>
      <c r="W13" s="45">
        <f t="shared" si="15"/>
        <v>0.300000000000189</v>
      </c>
      <c r="X13" s="29">
        <v>11.8278</v>
      </c>
      <c r="Y13" s="43">
        <f t="shared" si="16"/>
        <v>-0.50000000000061096</v>
      </c>
      <c r="Z13" s="44">
        <f t="shared" si="17"/>
        <v>-0.89999999999967895</v>
      </c>
      <c r="AA13" s="45">
        <f t="shared" si="18"/>
        <v>-0.50000000000061096</v>
      </c>
      <c r="AB13" s="49">
        <v>11.268800000000001</v>
      </c>
      <c r="AC13" s="43">
        <f t="shared" si="19"/>
        <v>-0.19999999999953399</v>
      </c>
      <c r="AD13" s="44">
        <f t="shared" si="20"/>
        <v>-1.4000000000002899</v>
      </c>
      <c r="AE13" s="45">
        <f t="shared" si="21"/>
        <v>-0.19999999999953399</v>
      </c>
      <c r="AF13" s="50">
        <v>79621</v>
      </c>
      <c r="AG13" s="58">
        <f t="shared" si="22"/>
        <v>28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44663</v>
      </c>
      <c r="B14" s="22">
        <v>791.46479999999997</v>
      </c>
      <c r="C14" s="27">
        <v>5.1458000000000004</v>
      </c>
      <c r="D14" s="23">
        <f t="shared" si="0"/>
        <v>796.61059999999998</v>
      </c>
      <c r="E14" s="24">
        <f t="shared" si="4"/>
        <v>-0.199999999949796</v>
      </c>
      <c r="F14" s="25">
        <f t="shared" si="5"/>
        <v>-1.4999999999645299</v>
      </c>
      <c r="G14" s="26">
        <f t="shared" si="6"/>
        <v>-0.199999999949796</v>
      </c>
      <c r="H14" s="6">
        <v>7.0096999999999996</v>
      </c>
      <c r="I14" s="35">
        <f t="shared" si="1"/>
        <v>798.47450000000003</v>
      </c>
      <c r="J14" s="24">
        <f t="shared" si="7"/>
        <v>-0.30000000003838101</v>
      </c>
      <c r="K14" s="25">
        <f t="shared" si="8"/>
        <v>-0.60000000007676102</v>
      </c>
      <c r="L14" s="26">
        <f t="shared" si="9"/>
        <v>-0.30000000003838101</v>
      </c>
      <c r="M14" s="6">
        <v>5.1329000000000002</v>
      </c>
      <c r="N14" s="35">
        <f t="shared" si="2"/>
        <v>796.59770000000003</v>
      </c>
      <c r="O14" s="24">
        <f t="shared" si="10"/>
        <v>-0.60000000007676102</v>
      </c>
      <c r="P14" s="25">
        <f t="shared" si="11"/>
        <v>-1.60000000005311</v>
      </c>
      <c r="Q14" s="26">
        <f t="shared" si="12"/>
        <v>-0.60000000007676102</v>
      </c>
      <c r="R14" s="41"/>
      <c r="S14" s="21">
        <f t="shared" si="3"/>
        <v>44663</v>
      </c>
      <c r="T14" s="42">
        <v>5.3426</v>
      </c>
      <c r="U14" s="43">
        <f t="shared" si="13"/>
        <v>-9.99999999997669E-2</v>
      </c>
      <c r="V14" s="44">
        <f t="shared" si="14"/>
        <v>-0.89999999999967895</v>
      </c>
      <c r="W14" s="45">
        <f t="shared" si="15"/>
        <v>9.99999999997669E-2</v>
      </c>
      <c r="X14" s="29">
        <v>11.8276</v>
      </c>
      <c r="Y14" s="43">
        <f t="shared" si="16"/>
        <v>-0.19999999999953399</v>
      </c>
      <c r="Z14" s="44">
        <f t="shared" si="17"/>
        <v>-1.0999999999992101</v>
      </c>
      <c r="AA14" s="45">
        <f t="shared" si="18"/>
        <v>-0.19999999999953399</v>
      </c>
      <c r="AB14" s="49">
        <v>11.268800000000001</v>
      </c>
      <c r="AC14" s="43">
        <f t="shared" si="19"/>
        <v>0</v>
      </c>
      <c r="AD14" s="44">
        <f t="shared" si="20"/>
        <v>-1.4000000000002899</v>
      </c>
      <c r="AE14" s="45">
        <f t="shared" si="21"/>
        <v>0</v>
      </c>
      <c r="AF14" s="50">
        <v>79624</v>
      </c>
      <c r="AG14" s="58">
        <f t="shared" si="22"/>
        <v>31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44664</v>
      </c>
      <c r="B15" s="22">
        <v>791.46479999999997</v>
      </c>
      <c r="C15" s="27">
        <v>5.1456</v>
      </c>
      <c r="D15" s="23">
        <f t="shared" si="0"/>
        <v>796.61040000000003</v>
      </c>
      <c r="E15" s="24">
        <f t="shared" si="4"/>
        <v>-0.20000000006348301</v>
      </c>
      <c r="F15" s="25">
        <f t="shared" si="5"/>
        <v>-1.70000000002801</v>
      </c>
      <c r="G15" s="26">
        <f t="shared" si="6"/>
        <v>-0.20000000006348301</v>
      </c>
      <c r="H15" s="6">
        <v>7.0095999999999998</v>
      </c>
      <c r="I15" s="35">
        <f t="shared" si="1"/>
        <v>798.47439999999995</v>
      </c>
      <c r="J15" s="24">
        <f t="shared" si="7"/>
        <v>-9.9999999974897905E-2</v>
      </c>
      <c r="K15" s="25">
        <f t="shared" si="8"/>
        <v>-0.70000000005165897</v>
      </c>
      <c r="L15" s="26">
        <f t="shared" si="9"/>
        <v>-9.9999999974897905E-2</v>
      </c>
      <c r="M15" s="6">
        <v>5.1326999999999998</v>
      </c>
      <c r="N15" s="35">
        <f t="shared" si="2"/>
        <v>796.59749999999997</v>
      </c>
      <c r="O15" s="24">
        <f t="shared" si="10"/>
        <v>-0.199999999949796</v>
      </c>
      <c r="P15" s="25">
        <f t="shared" si="11"/>
        <v>-1.8000000000029099</v>
      </c>
      <c r="Q15" s="26">
        <f t="shared" si="12"/>
        <v>-0.199999999949796</v>
      </c>
      <c r="R15" s="41"/>
      <c r="S15" s="21">
        <f t="shared" si="3"/>
        <v>44664</v>
      </c>
      <c r="T15" s="42">
        <v>5.3425000000000002</v>
      </c>
      <c r="U15" s="43">
        <f t="shared" si="13"/>
        <v>-9.99999999997669E-2</v>
      </c>
      <c r="V15" s="44">
        <f t="shared" si="14"/>
        <v>-0.999999999999446</v>
      </c>
      <c r="W15" s="45">
        <f t="shared" si="15"/>
        <v>9.99999999997669E-2</v>
      </c>
      <c r="X15" s="29">
        <v>11.827400000000001</v>
      </c>
      <c r="Y15" s="43">
        <f t="shared" si="16"/>
        <v>-0.19999999999953399</v>
      </c>
      <c r="Z15" s="44">
        <f t="shared" si="17"/>
        <v>-1.2999999999987499</v>
      </c>
      <c r="AA15" s="45">
        <f t="shared" si="18"/>
        <v>-0.19999999999953399</v>
      </c>
      <c r="AB15" s="49">
        <v>11.2684</v>
      </c>
      <c r="AC15" s="43">
        <f t="shared" si="19"/>
        <v>-0.40000000000084401</v>
      </c>
      <c r="AD15" s="44">
        <f t="shared" si="20"/>
        <v>-1.80000000000113</v>
      </c>
      <c r="AE15" s="45">
        <f t="shared" si="21"/>
        <v>-0.40000000000084401</v>
      </c>
      <c r="AF15" s="50">
        <v>79627</v>
      </c>
      <c r="AG15" s="58">
        <f t="shared" si="22"/>
        <v>34</v>
      </c>
      <c r="AH15" s="61"/>
      <c r="AI15" s="60"/>
      <c r="AJ15"/>
      <c r="AK15"/>
      <c r="AL15"/>
      <c r="AM15"/>
    </row>
    <row r="16" spans="1:48">
      <c r="A16" s="21">
        <v>44665</v>
      </c>
      <c r="B16" s="22">
        <v>791.46479999999997</v>
      </c>
      <c r="C16" s="27">
        <v>5.1459999999999999</v>
      </c>
      <c r="D16" s="23">
        <f t="shared" si="0"/>
        <v>796.61080000000004</v>
      </c>
      <c r="E16" s="24">
        <f t="shared" si="4"/>
        <v>0.40000000001327901</v>
      </c>
      <c r="F16" s="25">
        <f t="shared" si="5"/>
        <v>-1.30000000001473</v>
      </c>
      <c r="G16" s="26">
        <f t="shared" si="6"/>
        <v>0.40000000001327901</v>
      </c>
      <c r="H16" s="6">
        <v>7.0094000000000003</v>
      </c>
      <c r="I16" s="35">
        <f t="shared" si="1"/>
        <v>798.4742</v>
      </c>
      <c r="J16" s="24">
        <f t="shared" si="7"/>
        <v>-0.199999999949796</v>
      </c>
      <c r="K16" s="25">
        <f t="shared" si="8"/>
        <v>-0.90000000000145497</v>
      </c>
      <c r="L16" s="26">
        <f t="shared" si="9"/>
        <v>-0.199999999949796</v>
      </c>
      <c r="M16" s="6">
        <v>5.1325000000000003</v>
      </c>
      <c r="N16" s="35">
        <f t="shared" si="2"/>
        <v>796.59730000000002</v>
      </c>
      <c r="O16" s="24">
        <f t="shared" si="10"/>
        <v>-0.199999999949796</v>
      </c>
      <c r="P16" s="25">
        <f t="shared" si="11"/>
        <v>-1.9999999999527101</v>
      </c>
      <c r="Q16" s="26">
        <f t="shared" si="12"/>
        <v>-0.199999999949796</v>
      </c>
      <c r="R16" s="41"/>
      <c r="S16" s="21">
        <f t="shared" si="3"/>
        <v>44665</v>
      </c>
      <c r="T16" s="42">
        <v>5.3419999999999996</v>
      </c>
      <c r="U16" s="43">
        <f t="shared" si="13"/>
        <v>-0.50000000000061096</v>
      </c>
      <c r="V16" s="44">
        <f t="shared" si="14"/>
        <v>-1.50000000000006</v>
      </c>
      <c r="W16" s="45">
        <f t="shared" si="15"/>
        <v>0.50000000000061096</v>
      </c>
      <c r="X16" s="29">
        <v>11.8276</v>
      </c>
      <c r="Y16" s="43">
        <f t="shared" si="16"/>
        <v>0.19999999999953399</v>
      </c>
      <c r="Z16" s="44">
        <f t="shared" si="17"/>
        <v>-1.0999999999992101</v>
      </c>
      <c r="AA16" s="45">
        <f t="shared" si="18"/>
        <v>0.19999999999953399</v>
      </c>
      <c r="AB16" s="49">
        <v>11.2682</v>
      </c>
      <c r="AC16" s="43">
        <f t="shared" si="19"/>
        <v>-0.19999999999953399</v>
      </c>
      <c r="AD16" s="44">
        <f t="shared" si="20"/>
        <v>-2.0000000000006701</v>
      </c>
      <c r="AE16" s="45">
        <f t="shared" si="21"/>
        <v>-0.19999999999953399</v>
      </c>
      <c r="AF16" s="50">
        <v>79633</v>
      </c>
      <c r="AG16" s="58">
        <f t="shared" si="22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44666</v>
      </c>
      <c r="B17" s="22">
        <v>791.46479999999997</v>
      </c>
      <c r="C17" s="27">
        <v>5.1452</v>
      </c>
      <c r="D17" s="23">
        <f t="shared" si="0"/>
        <v>796.61</v>
      </c>
      <c r="E17" s="24">
        <f t="shared" si="4"/>
        <v>-0.79999999991286996</v>
      </c>
      <c r="F17" s="25">
        <f t="shared" si="5"/>
        <v>-2.0999999999275998</v>
      </c>
      <c r="G17" s="26">
        <f t="shared" si="6"/>
        <v>-0.79999999991286996</v>
      </c>
      <c r="H17" s="6">
        <v>7.0094000000000003</v>
      </c>
      <c r="I17" s="35">
        <f t="shared" si="1"/>
        <v>798.4742</v>
      </c>
      <c r="J17" s="24">
        <f t="shared" si="7"/>
        <v>0</v>
      </c>
      <c r="K17" s="25">
        <f t="shared" si="8"/>
        <v>-0.90000000000145497</v>
      </c>
      <c r="L17" s="26">
        <f t="shared" si="9"/>
        <v>0</v>
      </c>
      <c r="M17" s="6">
        <v>5.133</v>
      </c>
      <c r="N17" s="35">
        <f t="shared" si="2"/>
        <v>796.59780000000001</v>
      </c>
      <c r="O17" s="24">
        <f t="shared" si="10"/>
        <v>0.49999999998817701</v>
      </c>
      <c r="P17" s="25">
        <f t="shared" si="11"/>
        <v>-1.4999999999645299</v>
      </c>
      <c r="Q17" s="26">
        <f t="shared" si="12"/>
        <v>0.49999999998817701</v>
      </c>
      <c r="R17" s="41"/>
      <c r="S17" s="21">
        <f t="shared" si="3"/>
        <v>44666</v>
      </c>
      <c r="T17" s="42">
        <v>5.3422999999999998</v>
      </c>
      <c r="U17" s="43">
        <f t="shared" si="13"/>
        <v>0.300000000000189</v>
      </c>
      <c r="V17" s="44">
        <f t="shared" si="14"/>
        <v>-1.1999999999998701</v>
      </c>
      <c r="W17" s="45">
        <f t="shared" si="15"/>
        <v>-0.300000000000189</v>
      </c>
      <c r="X17" s="29">
        <v>11.827</v>
      </c>
      <c r="Y17" s="43">
        <f t="shared" si="16"/>
        <v>-0.60000000000037801</v>
      </c>
      <c r="Z17" s="44">
        <f t="shared" si="17"/>
        <v>-1.6999999999995901</v>
      </c>
      <c r="AA17" s="45">
        <f t="shared" si="18"/>
        <v>-0.60000000000037801</v>
      </c>
      <c r="AB17" s="49">
        <v>11.2684</v>
      </c>
      <c r="AC17" s="43">
        <f t="shared" si="19"/>
        <v>0.19999999999953399</v>
      </c>
      <c r="AD17" s="44">
        <f t="shared" si="20"/>
        <v>-1.80000000000113</v>
      </c>
      <c r="AE17" s="45">
        <f t="shared" si="21"/>
        <v>0.19999999999953399</v>
      </c>
      <c r="AF17" s="50">
        <v>79639</v>
      </c>
      <c r="AG17" s="58">
        <f t="shared" si="22"/>
        <v>46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44667</v>
      </c>
      <c r="B18" s="22">
        <v>791.46479999999997</v>
      </c>
      <c r="C18" s="27">
        <v>5.1449999999999996</v>
      </c>
      <c r="D18" s="23">
        <f t="shared" si="0"/>
        <v>796.60979999999995</v>
      </c>
      <c r="E18" s="24">
        <f t="shared" si="4"/>
        <v>-0.20000000006348301</v>
      </c>
      <c r="F18" s="25">
        <f t="shared" si="5"/>
        <v>-2.2999999999910901</v>
      </c>
      <c r="G18" s="26">
        <f t="shared" si="6"/>
        <v>-0.20000000006348301</v>
      </c>
      <c r="H18" s="6">
        <v>7.0092999999999996</v>
      </c>
      <c r="I18" s="35">
        <f t="shared" si="1"/>
        <v>798.47410000000002</v>
      </c>
      <c r="J18" s="24">
        <f t="shared" si="7"/>
        <v>-9.9999999974897905E-2</v>
      </c>
      <c r="K18" s="25">
        <f t="shared" si="8"/>
        <v>-0.99999999997635303</v>
      </c>
      <c r="L18" s="26">
        <f t="shared" si="9"/>
        <v>-9.9999999974897905E-2</v>
      </c>
      <c r="M18" s="6">
        <v>5.1320999999999897</v>
      </c>
      <c r="N18" s="35">
        <f t="shared" si="2"/>
        <v>796.59690000000001</v>
      </c>
      <c r="O18" s="24">
        <f t="shared" si="10"/>
        <v>-0.90000000000145497</v>
      </c>
      <c r="P18" s="25">
        <f t="shared" si="11"/>
        <v>-2.39999999996598</v>
      </c>
      <c r="Q18" s="26">
        <f t="shared" si="12"/>
        <v>-0.90000000000145497</v>
      </c>
      <c r="R18" s="41"/>
      <c r="S18" s="21">
        <f t="shared" si="3"/>
        <v>44667</v>
      </c>
      <c r="T18" s="42">
        <v>5.3422000000000001</v>
      </c>
      <c r="U18" s="43">
        <f t="shared" si="13"/>
        <v>-9.99999999997669E-2</v>
      </c>
      <c r="V18" s="44">
        <f t="shared" si="14"/>
        <v>-1.2999999999996299</v>
      </c>
      <c r="W18" s="45">
        <f t="shared" si="15"/>
        <v>9.99999999997669E-2</v>
      </c>
      <c r="X18" s="29">
        <v>11.8268</v>
      </c>
      <c r="Y18" s="43">
        <f t="shared" si="16"/>
        <v>-0.19999999999953399</v>
      </c>
      <c r="Z18" s="44">
        <f t="shared" si="17"/>
        <v>-1.8999999999991199</v>
      </c>
      <c r="AA18" s="45">
        <f t="shared" si="18"/>
        <v>-0.19999999999953399</v>
      </c>
      <c r="AB18" s="49">
        <v>11.267799999999999</v>
      </c>
      <c r="AC18" s="43">
        <f t="shared" si="19"/>
        <v>-0.60000000000037801</v>
      </c>
      <c r="AD18" s="44">
        <f t="shared" si="20"/>
        <v>-2.4000000000015098</v>
      </c>
      <c r="AE18" s="45">
        <f t="shared" si="21"/>
        <v>-0.60000000000037801</v>
      </c>
      <c r="AF18" s="50">
        <v>79645</v>
      </c>
      <c r="AG18" s="58">
        <f t="shared" si="22"/>
        <v>52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44668</v>
      </c>
      <c r="B19" s="22">
        <v>791.46479999999997</v>
      </c>
      <c r="C19" s="27">
        <v>5.1451000000000002</v>
      </c>
      <c r="D19" s="23">
        <f t="shared" si="0"/>
        <v>796.60990000000004</v>
      </c>
      <c r="E19" s="24">
        <f t="shared" si="4"/>
        <v>9.9999999974897905E-2</v>
      </c>
      <c r="F19" s="25">
        <f t="shared" si="5"/>
        <v>-2.2000000000161899</v>
      </c>
      <c r="G19" s="26">
        <f t="shared" si="6"/>
        <v>9.9999999974897905E-2</v>
      </c>
      <c r="H19" s="6">
        <v>7.0091999999999999</v>
      </c>
      <c r="I19" s="35">
        <f t="shared" si="1"/>
        <v>798.47400000000005</v>
      </c>
      <c r="J19" s="24">
        <f t="shared" si="7"/>
        <v>-0.10000000008858501</v>
      </c>
      <c r="K19" s="25">
        <f t="shared" si="8"/>
        <v>-1.1000000000649399</v>
      </c>
      <c r="L19" s="26">
        <f t="shared" si="9"/>
        <v>-0.10000000008858501</v>
      </c>
      <c r="M19" s="6">
        <v>5.1318999999999901</v>
      </c>
      <c r="N19" s="35">
        <f t="shared" si="2"/>
        <v>796.59670000000006</v>
      </c>
      <c r="O19" s="24">
        <f t="shared" si="10"/>
        <v>-0.20000000006348301</v>
      </c>
      <c r="P19" s="25">
        <f t="shared" si="11"/>
        <v>-2.6000000000294698</v>
      </c>
      <c r="Q19" s="26">
        <f t="shared" si="12"/>
        <v>-0.20000000006348301</v>
      </c>
      <c r="R19" s="41"/>
      <c r="S19" s="21">
        <f t="shared" si="3"/>
        <v>44668</v>
      </c>
      <c r="T19" s="42">
        <v>5.3421000000000003</v>
      </c>
      <c r="U19" s="43">
        <f t="shared" si="13"/>
        <v>-9.99999999997669E-2</v>
      </c>
      <c r="V19" s="44">
        <f t="shared" si="14"/>
        <v>-1.3999999999993999</v>
      </c>
      <c r="W19" s="45">
        <f t="shared" si="15"/>
        <v>9.99999999997669E-2</v>
      </c>
      <c r="X19" s="29">
        <v>11.8269</v>
      </c>
      <c r="Y19" s="43">
        <f t="shared" si="16"/>
        <v>9.99999999997669E-2</v>
      </c>
      <c r="Z19" s="44">
        <f t="shared" si="17"/>
        <v>-1.7999999999993599</v>
      </c>
      <c r="AA19" s="45">
        <f t="shared" si="18"/>
        <v>9.99999999997669E-2</v>
      </c>
      <c r="AB19" s="49">
        <v>11.2676</v>
      </c>
      <c r="AC19" s="43">
        <f t="shared" si="19"/>
        <v>-0.19999999999953399</v>
      </c>
      <c r="AD19" s="44">
        <f t="shared" si="20"/>
        <v>-2.6000000000010499</v>
      </c>
      <c r="AE19" s="45">
        <f t="shared" si="21"/>
        <v>-0.19999999999953399</v>
      </c>
      <c r="AF19" s="50">
        <v>79651</v>
      </c>
      <c r="AG19" s="58">
        <f t="shared" si="22"/>
        <v>58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44669</v>
      </c>
      <c r="B20" s="22">
        <v>791.46479999999997</v>
      </c>
      <c r="C20" s="27">
        <v>5.1446000000000103</v>
      </c>
      <c r="D20" s="23">
        <f t="shared" si="0"/>
        <v>796.60940000000005</v>
      </c>
      <c r="E20" s="24">
        <f t="shared" si="4"/>
        <v>-0.49999999998817701</v>
      </c>
      <c r="F20" s="25">
        <f t="shared" si="5"/>
        <v>-2.70000000000437</v>
      </c>
      <c r="G20" s="26">
        <f t="shared" si="6"/>
        <v>-0.49999999998817701</v>
      </c>
      <c r="H20" s="6">
        <v>7.0091999999999999</v>
      </c>
      <c r="I20" s="35">
        <f t="shared" si="1"/>
        <v>798.47400000000005</v>
      </c>
      <c r="J20" s="24">
        <f t="shared" si="7"/>
        <v>0</v>
      </c>
      <c r="K20" s="25">
        <f t="shared" si="8"/>
        <v>-1.1000000000649399</v>
      </c>
      <c r="L20" s="26">
        <f t="shared" si="9"/>
        <v>0</v>
      </c>
      <c r="M20" s="6">
        <v>5.1318000000000001</v>
      </c>
      <c r="N20" s="35">
        <f t="shared" si="2"/>
        <v>796.59659999999997</v>
      </c>
      <c r="O20" s="24">
        <f t="shared" si="10"/>
        <v>-9.9999999974897905E-2</v>
      </c>
      <c r="P20" s="25">
        <f t="shared" si="11"/>
        <v>-2.70000000000437</v>
      </c>
      <c r="Q20" s="26">
        <f t="shared" si="12"/>
        <v>-9.9999999974897905E-2</v>
      </c>
      <c r="R20" s="41"/>
      <c r="S20" s="21">
        <f t="shared" si="3"/>
        <v>44669</v>
      </c>
      <c r="T20" s="42">
        <v>5.3421000000000003</v>
      </c>
      <c r="U20" s="43">
        <f t="shared" si="13"/>
        <v>0</v>
      </c>
      <c r="V20" s="44">
        <f t="shared" si="14"/>
        <v>-1.3999999999993999</v>
      </c>
      <c r="W20" s="45">
        <f t="shared" si="15"/>
        <v>0</v>
      </c>
      <c r="X20" s="29">
        <v>11.8264</v>
      </c>
      <c r="Y20" s="43">
        <f t="shared" si="16"/>
        <v>-0.50000000000061096</v>
      </c>
      <c r="Z20" s="44">
        <f t="shared" si="17"/>
        <v>-2.2999999999999701</v>
      </c>
      <c r="AA20" s="45">
        <f t="shared" si="18"/>
        <v>-0.50000000000061096</v>
      </c>
      <c r="AB20" s="49">
        <v>11.2675</v>
      </c>
      <c r="AC20" s="43">
        <f t="shared" si="19"/>
        <v>-9.99999999997669E-2</v>
      </c>
      <c r="AD20" s="44">
        <f t="shared" si="20"/>
        <v>-2.7000000000008102</v>
      </c>
      <c r="AE20" s="45">
        <f t="shared" si="21"/>
        <v>-9.99999999997669E-2</v>
      </c>
      <c r="AF20" s="50">
        <v>79657</v>
      </c>
      <c r="AG20" s="58">
        <f t="shared" si="22"/>
        <v>64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44671</v>
      </c>
      <c r="B21" s="22">
        <v>791.46479999999997</v>
      </c>
      <c r="C21" s="27">
        <v>5.1444000000000099</v>
      </c>
      <c r="D21" s="23">
        <f t="shared" si="0"/>
        <v>796.60919999999999</v>
      </c>
      <c r="E21" s="24">
        <f t="shared" si="4"/>
        <v>-0.199999999949796</v>
      </c>
      <c r="F21" s="25">
        <f t="shared" si="5"/>
        <v>-2.8999999999541601</v>
      </c>
      <c r="G21" s="26">
        <f t="shared" si="6"/>
        <v>-9.9999999974897905E-2</v>
      </c>
      <c r="H21" s="6">
        <v>7.0090000000000003</v>
      </c>
      <c r="I21" s="35">
        <f t="shared" si="1"/>
        <v>798.47379999999998</v>
      </c>
      <c r="J21" s="24">
        <f t="shared" si="7"/>
        <v>-0.199999999949796</v>
      </c>
      <c r="K21" s="25">
        <f t="shared" si="8"/>
        <v>-1.30000000001473</v>
      </c>
      <c r="L21" s="26">
        <f t="shared" si="9"/>
        <v>-9.9999999974897905E-2</v>
      </c>
      <c r="M21" s="6">
        <v>5.1315</v>
      </c>
      <c r="N21" s="35">
        <f t="shared" si="2"/>
        <v>796.59630000000004</v>
      </c>
      <c r="O21" s="24">
        <f t="shared" si="10"/>
        <v>-0.30000000003838101</v>
      </c>
      <c r="P21" s="25">
        <f t="shared" si="11"/>
        <v>-3.0000000000427498</v>
      </c>
      <c r="Q21" s="26">
        <f t="shared" si="12"/>
        <v>-0.15000000001919001</v>
      </c>
      <c r="R21" s="41"/>
      <c r="S21" s="21">
        <f t="shared" si="3"/>
        <v>44671</v>
      </c>
      <c r="T21" s="42">
        <v>5.3418999999999999</v>
      </c>
      <c r="U21" s="43">
        <f t="shared" si="13"/>
        <v>-0.20000000000042201</v>
      </c>
      <c r="V21" s="44">
        <f t="shared" si="14"/>
        <v>-1.59999999999982</v>
      </c>
      <c r="W21" s="45">
        <f t="shared" si="15"/>
        <v>0.100000000000211</v>
      </c>
      <c r="X21" s="29">
        <v>11.8262</v>
      </c>
      <c r="Y21" s="43">
        <f t="shared" si="16"/>
        <v>-0.19999999999953399</v>
      </c>
      <c r="Z21" s="44">
        <f t="shared" si="17"/>
        <v>-2.4999999999995</v>
      </c>
      <c r="AA21" s="45">
        <f t="shared" si="18"/>
        <v>-9.99999999997669E-2</v>
      </c>
      <c r="AB21" s="49">
        <v>11.267200000000001</v>
      </c>
      <c r="AC21" s="43">
        <f t="shared" si="19"/>
        <v>-0.29999999999930099</v>
      </c>
      <c r="AD21" s="44">
        <f t="shared" si="20"/>
        <v>-3.0000000000001101</v>
      </c>
      <c r="AE21" s="45">
        <f t="shared" si="21"/>
        <v>-0.14999999999965</v>
      </c>
      <c r="AF21" s="50">
        <v>79663</v>
      </c>
      <c r="AG21" s="58">
        <f t="shared" si="22"/>
        <v>70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44673</v>
      </c>
      <c r="B22" s="22">
        <v>791.46479999999997</v>
      </c>
      <c r="C22" s="27">
        <v>5.1442000000000103</v>
      </c>
      <c r="D22" s="23">
        <f t="shared" ref="D22:D28" si="23">C22+B22</f>
        <v>796.60900000000004</v>
      </c>
      <c r="E22" s="24">
        <f t="shared" ref="E22:E28" si="24">(D22-D21)*1000</f>
        <v>-0.20000000006348301</v>
      </c>
      <c r="F22" s="25">
        <f t="shared" ref="F22:F26" si="25">F21+E22</f>
        <v>-3.1000000000176402</v>
      </c>
      <c r="G22" s="26">
        <f t="shared" ref="G22:G26" si="26">E22/(A22-A21)</f>
        <v>-0.100000000031741</v>
      </c>
      <c r="H22" s="6">
        <v>7.0087999999999999</v>
      </c>
      <c r="I22" s="35">
        <f t="shared" ref="I22:I28" si="27">H22+B22</f>
        <v>798.47360000000003</v>
      </c>
      <c r="J22" s="24">
        <f t="shared" ref="J22:J28" si="28">(I22-I21)*1000</f>
        <v>-0.20000000006348301</v>
      </c>
      <c r="K22" s="25">
        <f t="shared" ref="K22:K26" si="29">K21+J22</f>
        <v>-1.5000000000782201</v>
      </c>
      <c r="L22" s="26">
        <f t="shared" ref="L22:L26" si="30">J22/(A22-A21)</f>
        <v>-0.100000000031741</v>
      </c>
      <c r="M22" s="6">
        <v>5.1313000000000004</v>
      </c>
      <c r="N22" s="35">
        <f t="shared" ref="N22:N28" si="31">M22+B22</f>
        <v>796.59609999999998</v>
      </c>
      <c r="O22" s="24">
        <f t="shared" ref="O22:O28" si="32">(N22-N21)*1000</f>
        <v>-0.199999999949796</v>
      </c>
      <c r="P22" s="25">
        <f t="shared" ref="P22:P26" si="33">P21+O22</f>
        <v>-3.1999999999925399</v>
      </c>
      <c r="Q22" s="26">
        <f t="shared" ref="Q22:Q26" si="34">O22/(A22-A21)</f>
        <v>-9.9999999974897905E-2</v>
      </c>
      <c r="R22" s="41"/>
      <c r="S22" s="21">
        <f t="shared" ref="S22:S28" si="35">A22</f>
        <v>44673</v>
      </c>
      <c r="T22" s="42">
        <v>5.3417000000000003</v>
      </c>
      <c r="U22" s="43">
        <f t="shared" ref="U22:U26" si="36">(T22-T21)*1000</f>
        <v>-0.19999999999953399</v>
      </c>
      <c r="V22" s="44">
        <f t="shared" ref="V22:V26" si="37">V21+U22</f>
        <v>-1.7999999999993599</v>
      </c>
      <c r="W22" s="45">
        <f t="shared" ref="W22:W26" si="38">U22/(S21-S22)</f>
        <v>9.99999999997669E-2</v>
      </c>
      <c r="X22" s="29">
        <v>11.826000000000001</v>
      </c>
      <c r="Y22" s="43">
        <f t="shared" ref="Y22:Y26" si="39">(X22-X21)*1000</f>
        <v>-0.19999999999953399</v>
      </c>
      <c r="Z22" s="44">
        <f t="shared" ref="Z22:Z26" si="40">Z21+Y22</f>
        <v>-2.6999999999990401</v>
      </c>
      <c r="AA22" s="45">
        <f t="shared" ref="AA22:AA26" si="41">Y22/(S22-S21)</f>
        <v>-9.99999999997669E-2</v>
      </c>
      <c r="AB22" s="49">
        <v>11.2669</v>
      </c>
      <c r="AC22" s="43">
        <f t="shared" ref="AC22:AC26" si="42">(AB22-AB21)*1000</f>
        <v>-0.30000000000107702</v>
      </c>
      <c r="AD22" s="44">
        <f t="shared" ref="AD22:AD26" si="43">AD21+AC22</f>
        <v>-3.30000000000119</v>
      </c>
      <c r="AE22" s="45">
        <f t="shared" ref="AE22:AE26" si="44">AC22/(S22-S21)</f>
        <v>-0.15000000000053901</v>
      </c>
      <c r="AF22" s="50">
        <v>79669</v>
      </c>
      <c r="AG22" s="58">
        <f t="shared" ref="AG22:AG28" si="45">AF22-79593</f>
        <v>76</v>
      </c>
      <c r="AH22" s="61"/>
      <c r="AI22" s="60"/>
      <c r="AJ22"/>
      <c r="AK22"/>
      <c r="AL22"/>
      <c r="AM22"/>
    </row>
    <row r="23" spans="1:48">
      <c r="A23" s="21">
        <v>44675</v>
      </c>
      <c r="B23" s="22">
        <v>791.46479999999997</v>
      </c>
      <c r="C23" s="27">
        <v>5.1440999999999999</v>
      </c>
      <c r="D23" s="23">
        <f t="shared" si="23"/>
        <v>796.60889999999995</v>
      </c>
      <c r="E23" s="24">
        <f t="shared" si="24"/>
        <v>-9.9999999974897905E-2</v>
      </c>
      <c r="F23" s="25">
        <f t="shared" si="25"/>
        <v>-3.1999999999925399</v>
      </c>
      <c r="G23" s="26">
        <f t="shared" si="26"/>
        <v>-4.9999999987449001E-2</v>
      </c>
      <c r="H23" s="6">
        <v>7.0086000000000004</v>
      </c>
      <c r="I23" s="35">
        <f t="shared" si="27"/>
        <v>798.47339999999997</v>
      </c>
      <c r="J23" s="24">
        <f t="shared" si="28"/>
        <v>-0.199999999949796</v>
      </c>
      <c r="K23" s="25">
        <f t="shared" si="29"/>
        <v>-1.70000000002801</v>
      </c>
      <c r="L23" s="26">
        <f t="shared" si="30"/>
        <v>-9.9999999974897905E-2</v>
      </c>
      <c r="M23" s="6">
        <v>5.1310000000000002</v>
      </c>
      <c r="N23" s="35">
        <f t="shared" si="31"/>
        <v>796.59580000000005</v>
      </c>
      <c r="O23" s="24">
        <f t="shared" si="32"/>
        <v>-0.30000000003838101</v>
      </c>
      <c r="P23" s="25">
        <f t="shared" si="33"/>
        <v>-3.5000000000309202</v>
      </c>
      <c r="Q23" s="26">
        <f t="shared" si="34"/>
        <v>-0.15000000001919001</v>
      </c>
      <c r="R23" s="41"/>
      <c r="S23" s="21">
        <f t="shared" si="35"/>
        <v>44675</v>
      </c>
      <c r="T23" s="42">
        <v>5.3414000000000001</v>
      </c>
      <c r="U23" s="43">
        <f t="shared" si="36"/>
        <v>-0.300000000000189</v>
      </c>
      <c r="V23" s="44">
        <f t="shared" si="37"/>
        <v>-2.0999999999995498</v>
      </c>
      <c r="W23" s="45">
        <f t="shared" si="38"/>
        <v>0.150000000000095</v>
      </c>
      <c r="X23" s="29">
        <v>11.8261</v>
      </c>
      <c r="Y23" s="43">
        <f t="shared" si="39"/>
        <v>9.99999999997669E-2</v>
      </c>
      <c r="Z23" s="44">
        <f t="shared" si="40"/>
        <v>-2.59999999999927</v>
      </c>
      <c r="AA23" s="45">
        <f t="shared" si="41"/>
        <v>4.9999999999883499E-2</v>
      </c>
      <c r="AB23" s="49">
        <v>11.266500000000001</v>
      </c>
      <c r="AC23" s="43">
        <f t="shared" si="42"/>
        <v>-0.39999999999906799</v>
      </c>
      <c r="AD23" s="44">
        <f t="shared" si="43"/>
        <v>-3.70000000000026</v>
      </c>
      <c r="AE23" s="45">
        <f t="shared" si="44"/>
        <v>-0.19999999999953399</v>
      </c>
      <c r="AF23" s="50">
        <v>79675</v>
      </c>
      <c r="AG23" s="58">
        <f t="shared" si="45"/>
        <v>82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44677</v>
      </c>
      <c r="B24" s="22">
        <v>791.46479999999997</v>
      </c>
      <c r="C24" s="27">
        <v>5.1438000000000104</v>
      </c>
      <c r="D24" s="23">
        <f t="shared" si="23"/>
        <v>796.60860000000002</v>
      </c>
      <c r="E24" s="24">
        <f t="shared" si="24"/>
        <v>-0.29999999992469401</v>
      </c>
      <c r="F24" s="25">
        <f t="shared" si="25"/>
        <v>-3.49999999991724</v>
      </c>
      <c r="G24" s="26">
        <f t="shared" si="26"/>
        <v>-0.149999999962347</v>
      </c>
      <c r="H24" s="6">
        <v>7.0084999999999997</v>
      </c>
      <c r="I24" s="35">
        <f t="shared" si="27"/>
        <v>798.47329999999999</v>
      </c>
      <c r="J24" s="24">
        <f t="shared" si="28"/>
        <v>-9.9999999974897905E-2</v>
      </c>
      <c r="K24" s="25">
        <f t="shared" si="29"/>
        <v>-1.8000000000029099</v>
      </c>
      <c r="L24" s="26">
        <f t="shared" si="30"/>
        <v>-4.9999999987449001E-2</v>
      </c>
      <c r="M24" s="6">
        <v>5.1306000000000003</v>
      </c>
      <c r="N24" s="35">
        <f t="shared" si="31"/>
        <v>796.59540000000004</v>
      </c>
      <c r="O24" s="24">
        <f t="shared" si="32"/>
        <v>-0.40000000001327901</v>
      </c>
      <c r="P24" s="25">
        <f t="shared" si="33"/>
        <v>-3.9000000000442001</v>
      </c>
      <c r="Q24" s="26">
        <f t="shared" si="34"/>
        <v>-0.20000000000663901</v>
      </c>
      <c r="R24" s="41"/>
      <c r="S24" s="21">
        <f t="shared" si="35"/>
        <v>44677</v>
      </c>
      <c r="T24" s="42">
        <v>5.3413000000000004</v>
      </c>
      <c r="U24" s="43">
        <f t="shared" si="36"/>
        <v>-9.99999999997669E-2</v>
      </c>
      <c r="V24" s="44">
        <f t="shared" si="37"/>
        <v>-2.1999999999993101</v>
      </c>
      <c r="W24" s="45">
        <f t="shared" si="38"/>
        <v>4.9999999999883499E-2</v>
      </c>
      <c r="X24" s="29">
        <v>11.8256</v>
      </c>
      <c r="Y24" s="43">
        <f t="shared" si="39"/>
        <v>-0.50000000000061096</v>
      </c>
      <c r="Z24" s="44">
        <f t="shared" si="40"/>
        <v>-3.0999999999998802</v>
      </c>
      <c r="AA24" s="45">
        <f t="shared" si="41"/>
        <v>-0.25000000000030598</v>
      </c>
      <c r="AB24" s="49">
        <v>11.266299999999999</v>
      </c>
      <c r="AC24" s="43">
        <f t="shared" si="42"/>
        <v>-0.20000000000130999</v>
      </c>
      <c r="AD24" s="44">
        <f t="shared" si="43"/>
        <v>-3.9000000000015702</v>
      </c>
      <c r="AE24" s="45">
        <f t="shared" si="44"/>
        <v>-0.100000000000655</v>
      </c>
      <c r="AF24" s="50">
        <v>79681</v>
      </c>
      <c r="AG24" s="58">
        <f t="shared" si="45"/>
        <v>88</v>
      </c>
      <c r="AH24" s="61"/>
      <c r="AI24" s="52"/>
      <c r="AJ24" s="52"/>
      <c r="AK24" s="52"/>
      <c r="AL24" s="52"/>
      <c r="AM24" s="52"/>
    </row>
    <row r="25" spans="1:48">
      <c r="A25" s="21">
        <v>44679</v>
      </c>
      <c r="B25" s="22">
        <v>791.46479999999997</v>
      </c>
      <c r="C25" s="27">
        <v>5.1440000000000001</v>
      </c>
      <c r="D25" s="23">
        <f t="shared" si="23"/>
        <v>796.60879999999997</v>
      </c>
      <c r="E25" s="24">
        <f t="shared" si="24"/>
        <v>0.199999999949796</v>
      </c>
      <c r="F25" s="25">
        <f t="shared" si="25"/>
        <v>-3.2999999999674401</v>
      </c>
      <c r="G25" s="26">
        <f t="shared" si="26"/>
        <v>9.9999999974897905E-2</v>
      </c>
      <c r="H25" s="6">
        <v>7.0082000000000004</v>
      </c>
      <c r="I25" s="35">
        <f t="shared" si="27"/>
        <v>798.47299999999996</v>
      </c>
      <c r="J25" s="24">
        <f t="shared" si="28"/>
        <v>-0.30000000003838101</v>
      </c>
      <c r="K25" s="25">
        <f t="shared" si="29"/>
        <v>-2.1000000000412902</v>
      </c>
      <c r="L25" s="26">
        <f t="shared" si="30"/>
        <v>-0.15000000001919001</v>
      </c>
      <c r="M25" s="6">
        <v>5.1304999999999996</v>
      </c>
      <c r="N25" s="35">
        <f t="shared" si="31"/>
        <v>796.59529999999995</v>
      </c>
      <c r="O25" s="24">
        <f t="shared" si="32"/>
        <v>-9.9999999974897905E-2</v>
      </c>
      <c r="P25" s="25">
        <f t="shared" si="33"/>
        <v>-4.0000000000191003</v>
      </c>
      <c r="Q25" s="26">
        <f t="shared" si="34"/>
        <v>-4.9999999987449001E-2</v>
      </c>
      <c r="R25" s="41"/>
      <c r="S25" s="21">
        <f t="shared" si="35"/>
        <v>44679</v>
      </c>
      <c r="T25" s="42">
        <v>5.3411999999999997</v>
      </c>
      <c r="U25" s="43">
        <f t="shared" si="36"/>
        <v>-0.100000000000655</v>
      </c>
      <c r="V25" s="44">
        <f t="shared" si="37"/>
        <v>-2.2999999999999701</v>
      </c>
      <c r="W25" s="45">
        <f t="shared" si="38"/>
        <v>5.0000000000327602E-2</v>
      </c>
      <c r="X25" s="29">
        <v>11.8255</v>
      </c>
      <c r="Y25" s="43">
        <f t="shared" si="39"/>
        <v>-9.99999999997669E-2</v>
      </c>
      <c r="Z25" s="44">
        <f t="shared" si="40"/>
        <v>-3.1999999999996498</v>
      </c>
      <c r="AA25" s="45">
        <f t="shared" si="41"/>
        <v>-4.9999999999883499E-2</v>
      </c>
      <c r="AB25" s="49">
        <v>11.266</v>
      </c>
      <c r="AC25" s="43">
        <f t="shared" si="42"/>
        <v>-0.29999999999930099</v>
      </c>
      <c r="AD25" s="44">
        <f t="shared" si="43"/>
        <v>-4.2000000000008697</v>
      </c>
      <c r="AE25" s="45">
        <f t="shared" si="44"/>
        <v>-0.14999999999965</v>
      </c>
      <c r="AF25" s="50">
        <v>79687</v>
      </c>
      <c r="AG25" s="58">
        <f t="shared" si="45"/>
        <v>94</v>
      </c>
      <c r="AH25" s="61"/>
      <c r="AI25" s="52"/>
      <c r="AJ25" s="52"/>
      <c r="AK25" s="52"/>
      <c r="AL25" s="52"/>
      <c r="AM25" s="52"/>
    </row>
    <row r="26" spans="1:48">
      <c r="A26" s="21">
        <v>44681</v>
      </c>
      <c r="B26" s="22">
        <v>791.46479999999997</v>
      </c>
      <c r="C26" s="27">
        <v>5.1434000000000104</v>
      </c>
      <c r="D26" s="23">
        <f t="shared" si="23"/>
        <v>796.60820000000001</v>
      </c>
      <c r="E26" s="24">
        <f t="shared" si="24"/>
        <v>-0.59999999996307496</v>
      </c>
      <c r="F26" s="25">
        <f t="shared" si="25"/>
        <v>-3.8999999999305102</v>
      </c>
      <c r="G26" s="26">
        <f t="shared" si="26"/>
        <v>-0.29999999998153698</v>
      </c>
      <c r="H26" s="6">
        <v>7.0083000000000002</v>
      </c>
      <c r="I26" s="35">
        <f t="shared" si="27"/>
        <v>798.47310000000004</v>
      </c>
      <c r="J26" s="24">
        <f t="shared" si="28"/>
        <v>9.9999999974897905E-2</v>
      </c>
      <c r="K26" s="25">
        <f t="shared" si="29"/>
        <v>-2.00000000006639</v>
      </c>
      <c r="L26" s="26">
        <f t="shared" si="30"/>
        <v>4.9999999987449001E-2</v>
      </c>
      <c r="M26" s="6">
        <v>5.13</v>
      </c>
      <c r="N26" s="35">
        <f t="shared" si="31"/>
        <v>796.59479999999996</v>
      </c>
      <c r="O26" s="24">
        <f t="shared" si="32"/>
        <v>-0.49999999998817701</v>
      </c>
      <c r="P26" s="25">
        <f t="shared" si="33"/>
        <v>-4.5000000000072804</v>
      </c>
      <c r="Q26" s="26">
        <f t="shared" si="34"/>
        <v>-0.24999999999408801</v>
      </c>
      <c r="R26" s="41"/>
      <c r="S26" s="21">
        <f t="shared" si="35"/>
        <v>44681</v>
      </c>
      <c r="T26" s="42">
        <v>5.3409000000000004</v>
      </c>
      <c r="U26" s="43">
        <f t="shared" si="36"/>
        <v>-0.29999999999930099</v>
      </c>
      <c r="V26" s="44">
        <f t="shared" si="37"/>
        <v>-2.59999999999927</v>
      </c>
      <c r="W26" s="45">
        <f t="shared" si="38"/>
        <v>0.14999999999965</v>
      </c>
      <c r="X26" s="29">
        <v>11.825200000000001</v>
      </c>
      <c r="Y26" s="43">
        <f t="shared" si="39"/>
        <v>-0.29999999999930099</v>
      </c>
      <c r="Z26" s="44">
        <f t="shared" si="40"/>
        <v>-3.4999999999989502</v>
      </c>
      <c r="AA26" s="45">
        <f t="shared" si="41"/>
        <v>-0.14999999999965</v>
      </c>
      <c r="AB26" s="49">
        <v>11.2661</v>
      </c>
      <c r="AC26" s="43">
        <f t="shared" si="42"/>
        <v>9.99999999997669E-2</v>
      </c>
      <c r="AD26" s="44">
        <f t="shared" si="43"/>
        <v>-4.1000000000011001</v>
      </c>
      <c r="AE26" s="45">
        <f t="shared" si="44"/>
        <v>4.9999999999883499E-2</v>
      </c>
      <c r="AF26" s="50">
        <v>79693</v>
      </c>
      <c r="AG26" s="58">
        <f t="shared" si="45"/>
        <v>100</v>
      </c>
      <c r="AH26" s="61"/>
      <c r="AI26" s="60"/>
      <c r="AJ26" s="61"/>
      <c r="AK26" s="62"/>
      <c r="AL26" s="60"/>
      <c r="AM26" s="64"/>
    </row>
    <row r="27" spans="1:48">
      <c r="A27" s="21">
        <v>44683</v>
      </c>
      <c r="B27" s="22">
        <v>791.46479999999997</v>
      </c>
      <c r="C27" s="27">
        <v>5.1433</v>
      </c>
      <c r="D27" s="23">
        <f t="shared" si="23"/>
        <v>796.60810000000004</v>
      </c>
      <c r="E27" s="24">
        <f t="shared" si="24"/>
        <v>-0.10000000008858501</v>
      </c>
      <c r="F27" s="25">
        <f t="shared" ref="F27:F28" si="46">F26+E27</f>
        <v>-4.0000000000191003</v>
      </c>
      <c r="G27" s="26">
        <f t="shared" ref="G27:G28" si="47">E27/(A27-A26)</f>
        <v>-5.0000000044292399E-2</v>
      </c>
      <c r="H27" s="6">
        <v>7.0080999999999998</v>
      </c>
      <c r="I27" s="35">
        <f t="shared" si="27"/>
        <v>798.47289999999998</v>
      </c>
      <c r="J27" s="24">
        <f t="shared" si="28"/>
        <v>-0.199999999949796</v>
      </c>
      <c r="K27" s="25">
        <f t="shared" ref="K27:K28" si="48">K26+J27</f>
        <v>-2.2000000000161899</v>
      </c>
      <c r="L27" s="26">
        <f t="shared" ref="L27:L28" si="49">J27/(A27-A26)</f>
        <v>-9.9999999974897905E-2</v>
      </c>
      <c r="M27" s="6">
        <v>5.1303000000000001</v>
      </c>
      <c r="N27" s="35">
        <f t="shared" si="31"/>
        <v>796.5951</v>
      </c>
      <c r="O27" s="24">
        <f t="shared" si="32"/>
        <v>0.30000000003838101</v>
      </c>
      <c r="P27" s="25">
        <f t="shared" ref="P27:P28" si="50">P26+O27</f>
        <v>-4.1999999999688997</v>
      </c>
      <c r="Q27" s="26">
        <f t="shared" ref="Q27:Q28" si="51">O27/(A27-A26)</f>
        <v>0.15000000001919001</v>
      </c>
      <c r="R27" s="41"/>
      <c r="S27" s="21">
        <f t="shared" si="35"/>
        <v>44683</v>
      </c>
      <c r="T27" s="42">
        <v>5.3407</v>
      </c>
      <c r="U27" s="43">
        <f t="shared" ref="U27:U28" si="52">(T27-T26)*1000</f>
        <v>-0.20000000000042201</v>
      </c>
      <c r="V27" s="44">
        <f t="shared" ref="V27:V28" si="53">V26+U27</f>
        <v>-2.7999999999996898</v>
      </c>
      <c r="W27" s="45">
        <f t="shared" ref="W27:W28" si="54">U27/(S26-S27)</f>
        <v>0.100000000000211</v>
      </c>
      <c r="X27" s="29">
        <v>11.825100000000001</v>
      </c>
      <c r="Y27" s="43">
        <f t="shared" ref="Y27:Y28" si="55">(X27-X26)*1000</f>
        <v>-9.99999999997669E-2</v>
      </c>
      <c r="Z27" s="44">
        <f t="shared" ref="Z27:Z28" si="56">Z26+Y27</f>
        <v>-3.5999999999987198</v>
      </c>
      <c r="AA27" s="45">
        <f t="shared" ref="AA27:AA28" si="57">Y27/(S27-S26)</f>
        <v>-4.9999999999883499E-2</v>
      </c>
      <c r="AB27" s="49">
        <v>11.266400000000001</v>
      </c>
      <c r="AC27" s="43">
        <f t="shared" ref="AC27:AC28" si="58">(AB27-AB26)*1000</f>
        <v>0.30000000000107702</v>
      </c>
      <c r="AD27" s="44">
        <f t="shared" ref="AD27:AD28" si="59">AD26+AC27</f>
        <v>-3.80000000000003</v>
      </c>
      <c r="AE27" s="45">
        <f t="shared" ref="AE27:AE28" si="60">AC27/(S27-S26)</f>
        <v>0.15000000000053901</v>
      </c>
      <c r="AF27" s="50">
        <v>79705</v>
      </c>
      <c r="AG27" s="58">
        <f t="shared" si="45"/>
        <v>112</v>
      </c>
      <c r="AH27" s="61"/>
      <c r="AI27" s="60"/>
      <c r="AJ27" s="61"/>
      <c r="AK27" s="62"/>
      <c r="AL27" s="60"/>
      <c r="AM27" s="64"/>
    </row>
    <row r="28" spans="1:48">
      <c r="A28" s="21">
        <v>44685</v>
      </c>
      <c r="B28" s="22">
        <v>791.46479999999997</v>
      </c>
      <c r="C28" s="27">
        <v>5.1436000000000002</v>
      </c>
      <c r="D28" s="23">
        <f t="shared" si="23"/>
        <v>796.60839999999996</v>
      </c>
      <c r="E28" s="24">
        <f t="shared" si="24"/>
        <v>0.30000000003838101</v>
      </c>
      <c r="F28" s="25">
        <f t="shared" si="46"/>
        <v>-3.69999999998072</v>
      </c>
      <c r="G28" s="26">
        <f t="shared" si="47"/>
        <v>0.15000000001919001</v>
      </c>
      <c r="H28" s="6">
        <v>7.0084</v>
      </c>
      <c r="I28" s="35">
        <f t="shared" si="27"/>
        <v>798.47320000000002</v>
      </c>
      <c r="J28" s="24">
        <f t="shared" si="28"/>
        <v>0.30000000003838101</v>
      </c>
      <c r="K28" s="25">
        <f t="shared" si="48"/>
        <v>-1.8999999999778101</v>
      </c>
      <c r="L28" s="26">
        <f t="shared" si="49"/>
        <v>0.15000000001919001</v>
      </c>
      <c r="M28" s="6">
        <v>5.1303999999999998</v>
      </c>
      <c r="N28" s="35">
        <f t="shared" si="31"/>
        <v>796.59519999999998</v>
      </c>
      <c r="O28" s="24">
        <f t="shared" si="32"/>
        <v>9.9999999974897905E-2</v>
      </c>
      <c r="P28" s="25">
        <f t="shared" si="50"/>
        <v>-4.099999999994</v>
      </c>
      <c r="Q28" s="26">
        <f t="shared" si="51"/>
        <v>4.9999999987449001E-2</v>
      </c>
      <c r="R28" s="41"/>
      <c r="S28" s="21">
        <f t="shared" si="35"/>
        <v>44685</v>
      </c>
      <c r="T28" s="42">
        <v>5.3410000000000002</v>
      </c>
      <c r="U28" s="43">
        <f t="shared" si="52"/>
        <v>0.300000000000189</v>
      </c>
      <c r="V28" s="44">
        <f t="shared" si="53"/>
        <v>-2.4999999999995</v>
      </c>
      <c r="W28" s="45">
        <f t="shared" si="54"/>
        <v>-0.150000000000095</v>
      </c>
      <c r="X28" s="29">
        <v>11.8254</v>
      </c>
      <c r="Y28" s="43">
        <f t="shared" si="55"/>
        <v>0.29999999999930099</v>
      </c>
      <c r="Z28" s="44">
        <f t="shared" si="56"/>
        <v>-3.2999999999994101</v>
      </c>
      <c r="AA28" s="45">
        <f t="shared" si="57"/>
        <v>0.14999999999965</v>
      </c>
      <c r="AB28" s="49">
        <v>11.2662</v>
      </c>
      <c r="AC28" s="43">
        <f t="shared" si="58"/>
        <v>-0.20000000000130999</v>
      </c>
      <c r="AD28" s="44">
        <f t="shared" si="59"/>
        <v>-4.0000000000013403</v>
      </c>
      <c r="AE28" s="45">
        <f t="shared" si="60"/>
        <v>-0.100000000000655</v>
      </c>
      <c r="AF28" s="50">
        <v>79717</v>
      </c>
      <c r="AG28" s="58">
        <f t="shared" si="45"/>
        <v>124</v>
      </c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65">
        <f>F28-F21</f>
        <v>-0.80000000002655702</v>
      </c>
      <c r="F29" s="33">
        <f>K28-K21</f>
        <v>-0.59999999996307496</v>
      </c>
      <c r="G29" s="33">
        <f>P28-P21</f>
        <v>-1.09999999995125</v>
      </c>
      <c r="H29" s="33">
        <f>F28</f>
        <v>-3.69999999998072</v>
      </c>
      <c r="I29" s="66">
        <f>K28</f>
        <v>-1.8999999999778101</v>
      </c>
      <c r="J29" s="65">
        <f>P28</f>
        <v>-4.099999999994</v>
      </c>
      <c r="K29" s="33">
        <f>(K28-K21)/14</f>
        <v>-4.2857142854505301E-2</v>
      </c>
      <c r="L29" s="26"/>
      <c r="N29" s="35"/>
      <c r="O29" s="24"/>
      <c r="P29" s="25"/>
      <c r="Q29" s="26"/>
      <c r="R29" s="41"/>
      <c r="S29" s="21"/>
      <c r="T29" s="42"/>
      <c r="U29" s="65">
        <f>V28-V21</f>
        <v>-0.89999999999967895</v>
      </c>
      <c r="V29" s="33">
        <f>Z28-Z21</f>
        <v>-0.799999999999912</v>
      </c>
      <c r="W29" s="33">
        <f>AD28-AD21</f>
        <v>-1.0000000000012199</v>
      </c>
      <c r="X29" s="33">
        <f>V28</f>
        <v>-2.4999999999995</v>
      </c>
      <c r="Y29" s="65">
        <f>Z28</f>
        <v>-3.2999999999994101</v>
      </c>
      <c r="Z29" s="33">
        <f>AD28</f>
        <v>-4.0000000000013403</v>
      </c>
      <c r="AA29" s="33">
        <f>(Z28-Z21)/14</f>
        <v>-5.7142857142850799E-2</v>
      </c>
      <c r="AB29" s="49"/>
      <c r="AC29" s="43"/>
      <c r="AD29" s="44"/>
      <c r="AE29" s="45"/>
      <c r="AF29" s="50"/>
      <c r="AG29" s="58"/>
      <c r="AH29" s="61"/>
      <c r="AI29" s="60"/>
      <c r="AJ29"/>
      <c r="AK29"/>
      <c r="AL29"/>
      <c r="AM29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S22" workbookViewId="0">
      <selection activeCell="E30" sqref="E30:K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44663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44663</v>
      </c>
      <c r="B6" s="22">
        <v>791.46479999999997</v>
      </c>
      <c r="C6" s="27">
        <v>6.2319000000000004</v>
      </c>
      <c r="D6" s="23">
        <f t="shared" ref="D6:D14" si="0">C6+B6</f>
        <v>797.69669999999996</v>
      </c>
      <c r="E6" s="24">
        <v>0</v>
      </c>
      <c r="F6" s="25">
        <v>0</v>
      </c>
      <c r="G6" s="26">
        <v>0</v>
      </c>
      <c r="H6" s="6">
        <v>7.3479000000000001</v>
      </c>
      <c r="I6" s="35">
        <f t="shared" ref="I6:I14" si="1">H6+B6</f>
        <v>798.81269999999995</v>
      </c>
      <c r="J6" s="24">
        <v>0</v>
      </c>
      <c r="K6" s="25">
        <v>0</v>
      </c>
      <c r="L6" s="26">
        <v>0</v>
      </c>
      <c r="M6" s="6">
        <v>6.4889999999999999</v>
      </c>
      <c r="N6" s="35">
        <f t="shared" ref="N6:N14" si="2">M6+B6</f>
        <v>797.9538</v>
      </c>
      <c r="O6" s="24">
        <v>0</v>
      </c>
      <c r="P6" s="25">
        <v>0</v>
      </c>
      <c r="Q6" s="26">
        <v>0</v>
      </c>
      <c r="R6" s="41"/>
      <c r="S6" s="21">
        <f t="shared" ref="S6:S14" si="3">A6</f>
        <v>44663</v>
      </c>
      <c r="T6" s="42">
        <v>8.6350999999999996</v>
      </c>
      <c r="U6" s="43">
        <v>0</v>
      </c>
      <c r="V6" s="44">
        <v>0</v>
      </c>
      <c r="W6" s="45">
        <f>U6/(S6-S11)</f>
        <v>0</v>
      </c>
      <c r="X6" s="29">
        <v>11.7965</v>
      </c>
      <c r="Y6" s="43">
        <v>0</v>
      </c>
      <c r="Z6" s="44">
        <v>0</v>
      </c>
      <c r="AA6" s="45">
        <v>0</v>
      </c>
      <c r="AB6" s="49">
        <v>9.1122999999999994</v>
      </c>
      <c r="AC6" s="43">
        <v>0</v>
      </c>
      <c r="AD6" s="44">
        <v>0</v>
      </c>
      <c r="AE6" s="45">
        <v>0</v>
      </c>
      <c r="AF6" s="50">
        <v>79638</v>
      </c>
      <c r="AG6" s="58">
        <f>AF6-79631</f>
        <v>7</v>
      </c>
      <c r="AH6" s="59"/>
      <c r="AI6" s="60"/>
      <c r="AJ6" s="61"/>
      <c r="AK6" s="62"/>
      <c r="AL6" s="52"/>
      <c r="AM6" s="52"/>
    </row>
    <row r="7" spans="1:48">
      <c r="A7" s="21">
        <v>44664</v>
      </c>
      <c r="B7" s="22">
        <v>791.46479999999997</v>
      </c>
      <c r="C7" s="27">
        <v>6.2317</v>
      </c>
      <c r="D7" s="23">
        <f t="shared" si="0"/>
        <v>797.69650000000001</v>
      </c>
      <c r="E7" s="24">
        <f t="shared" ref="E7:E14" si="4">(D7-D6)*1000</f>
        <v>-0.199999999949796</v>
      </c>
      <c r="F7" s="25">
        <f t="shared" ref="F7:F14" si="5">F6+E7</f>
        <v>-0.199999999949796</v>
      </c>
      <c r="G7" s="26">
        <f t="shared" ref="G7:G14" si="6">E7/(A7-A6)</f>
        <v>-0.199999999949796</v>
      </c>
      <c r="H7" s="6">
        <v>7.3480999999999996</v>
      </c>
      <c r="I7" s="35">
        <f t="shared" si="1"/>
        <v>798.81290000000001</v>
      </c>
      <c r="J7" s="24">
        <f t="shared" ref="J7:J14" si="7">(I7-I6)*1000</f>
        <v>0.20000000006348301</v>
      </c>
      <c r="K7" s="25">
        <f t="shared" ref="K7:K14" si="8">K6+J7</f>
        <v>0.20000000006348301</v>
      </c>
      <c r="L7" s="26">
        <f t="shared" ref="L7:L14" si="9">J7/(A7-A6)</f>
        <v>0.20000000006348301</v>
      </c>
      <c r="M7" s="6">
        <v>6.4888000000000003</v>
      </c>
      <c r="N7" s="35">
        <f t="shared" si="2"/>
        <v>797.95360000000005</v>
      </c>
      <c r="O7" s="24">
        <f t="shared" ref="O7:O14" si="10">(N7-N6)*1000</f>
        <v>-0.20000000006348301</v>
      </c>
      <c r="P7" s="25">
        <f t="shared" ref="P7:P14" si="11">P6+O7</f>
        <v>-0.20000000006348301</v>
      </c>
      <c r="Q7" s="26">
        <f t="shared" ref="Q7:Q14" si="12">O7/(A7-A6)</f>
        <v>-0.20000000006348301</v>
      </c>
      <c r="R7" s="41"/>
      <c r="S7" s="21">
        <f t="shared" si="3"/>
        <v>44664</v>
      </c>
      <c r="T7" s="42">
        <v>8.6348000000000003</v>
      </c>
      <c r="U7" s="43">
        <f t="shared" ref="U7:U14" si="13">(T7-T6)*1000</f>
        <v>-0.29999999999930099</v>
      </c>
      <c r="V7" s="44">
        <f t="shared" ref="V7:V14" si="14">V6+U7</f>
        <v>-0.29999999999930099</v>
      </c>
      <c r="W7" s="45">
        <f t="shared" ref="W7:W14" si="15">U7/(S6-S7)</f>
        <v>0.29999999999930099</v>
      </c>
      <c r="X7" s="29">
        <v>11.7963</v>
      </c>
      <c r="Y7" s="43">
        <f t="shared" ref="Y7:Y14" si="16">(X7-X6)*1000</f>
        <v>-0.19999999999953399</v>
      </c>
      <c r="Z7" s="44">
        <f t="shared" ref="Z7:Z14" si="17">Z6+Y7</f>
        <v>-0.19999999999953399</v>
      </c>
      <c r="AA7" s="45">
        <f t="shared" ref="AA7:AA14" si="18">Y7/(S7-S6)</f>
        <v>-0.19999999999953399</v>
      </c>
      <c r="AB7" s="49">
        <v>9.1125000000000007</v>
      </c>
      <c r="AC7" s="43">
        <f t="shared" ref="AC7:AC14" si="19">(AB7-AB6)*1000</f>
        <v>0.20000000000130999</v>
      </c>
      <c r="AD7" s="44">
        <f t="shared" ref="AD7:AD14" si="20">AD6+AC7</f>
        <v>0.20000000000130999</v>
      </c>
      <c r="AE7" s="45">
        <f t="shared" ref="AE7:AE14" si="21">AC7/(S7-S6)</f>
        <v>0.20000000000130999</v>
      </c>
      <c r="AF7" s="50">
        <v>79641</v>
      </c>
      <c r="AG7" s="58">
        <f t="shared" ref="AG7:AG14" si="22">AF7-79631</f>
        <v>10</v>
      </c>
      <c r="AH7" s="59"/>
      <c r="AI7" s="60"/>
      <c r="AJ7" s="61"/>
      <c r="AK7" s="62"/>
      <c r="AL7" s="52"/>
      <c r="AM7" s="52"/>
    </row>
    <row r="8" spans="1:48">
      <c r="A8" s="21">
        <v>44665</v>
      </c>
      <c r="B8" s="22">
        <v>791.46479999999997</v>
      </c>
      <c r="C8" s="27">
        <v>6.2317999999999998</v>
      </c>
      <c r="D8" s="23">
        <f t="shared" si="0"/>
        <v>797.69659999999999</v>
      </c>
      <c r="E8" s="24">
        <f t="shared" si="4"/>
        <v>9.9999999974897905E-2</v>
      </c>
      <c r="F8" s="25">
        <f t="shared" si="5"/>
        <v>-9.9999999974897905E-2</v>
      </c>
      <c r="G8" s="26">
        <f t="shared" si="6"/>
        <v>9.9999999974897905E-2</v>
      </c>
      <c r="H8" s="6">
        <v>7.3479999999999999</v>
      </c>
      <c r="I8" s="35">
        <f t="shared" si="1"/>
        <v>798.81280000000004</v>
      </c>
      <c r="J8" s="24">
        <f t="shared" si="7"/>
        <v>-0.10000000008858501</v>
      </c>
      <c r="K8" s="25">
        <f t="shared" si="8"/>
        <v>9.9999999974897905E-2</v>
      </c>
      <c r="L8" s="26">
        <f t="shared" si="9"/>
        <v>-0.10000000008858501</v>
      </c>
      <c r="M8" s="6">
        <v>6.4885999999999999</v>
      </c>
      <c r="N8" s="35">
        <f t="shared" si="2"/>
        <v>797.95339999999999</v>
      </c>
      <c r="O8" s="24">
        <f t="shared" si="10"/>
        <v>-0.199999999949796</v>
      </c>
      <c r="P8" s="25">
        <f t="shared" si="11"/>
        <v>-0.40000000001327901</v>
      </c>
      <c r="Q8" s="26">
        <f t="shared" si="12"/>
        <v>-0.199999999949796</v>
      </c>
      <c r="R8" s="41"/>
      <c r="S8" s="21">
        <f t="shared" si="3"/>
        <v>44665</v>
      </c>
      <c r="T8" s="42">
        <v>8.6347000000000005</v>
      </c>
      <c r="U8" s="43">
        <f t="shared" si="13"/>
        <v>-9.99999999997669E-2</v>
      </c>
      <c r="V8" s="44">
        <f t="shared" si="14"/>
        <v>-0.39999999999906799</v>
      </c>
      <c r="W8" s="45">
        <f t="shared" si="15"/>
        <v>9.99999999997669E-2</v>
      </c>
      <c r="X8" s="29">
        <v>11.796099999999999</v>
      </c>
      <c r="Y8" s="43">
        <f t="shared" si="16"/>
        <v>-0.20000000000130999</v>
      </c>
      <c r="Z8" s="44">
        <f t="shared" si="17"/>
        <v>-0.40000000000084401</v>
      </c>
      <c r="AA8" s="45">
        <f t="shared" si="18"/>
        <v>-0.20000000000130999</v>
      </c>
      <c r="AB8" s="49">
        <v>9.1123999999999992</v>
      </c>
      <c r="AC8" s="43">
        <f t="shared" si="19"/>
        <v>-0.10000000000154299</v>
      </c>
      <c r="AD8" s="44">
        <f t="shared" si="20"/>
        <v>9.99999999997669E-2</v>
      </c>
      <c r="AE8" s="45">
        <f t="shared" si="21"/>
        <v>-0.10000000000154299</v>
      </c>
      <c r="AF8" s="50">
        <v>79647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44666</v>
      </c>
      <c r="B9" s="22">
        <v>791.46479999999997</v>
      </c>
      <c r="C9" s="27">
        <v>6.2313000000000001</v>
      </c>
      <c r="D9" s="23">
        <f t="shared" si="0"/>
        <v>797.6961</v>
      </c>
      <c r="E9" s="24">
        <f t="shared" si="4"/>
        <v>-0.49999999998817701</v>
      </c>
      <c r="F9" s="25">
        <f t="shared" si="5"/>
        <v>-0.59999999996307496</v>
      </c>
      <c r="G9" s="26">
        <f t="shared" si="6"/>
        <v>-0.49999999998817701</v>
      </c>
      <c r="H9" s="6">
        <v>7.3478000000000003</v>
      </c>
      <c r="I9" s="35">
        <f t="shared" si="1"/>
        <v>798.81259999999997</v>
      </c>
      <c r="J9" s="24">
        <f t="shared" si="7"/>
        <v>-0.199999999949796</v>
      </c>
      <c r="K9" s="25">
        <f t="shared" si="8"/>
        <v>-9.9999999974897905E-2</v>
      </c>
      <c r="L9" s="26">
        <f t="shared" si="9"/>
        <v>-0.199999999949796</v>
      </c>
      <c r="M9" s="6">
        <v>6.4885000000000002</v>
      </c>
      <c r="N9" s="35">
        <f t="shared" si="2"/>
        <v>797.95330000000001</v>
      </c>
      <c r="O9" s="24">
        <f t="shared" si="10"/>
        <v>-9.9999999974897905E-2</v>
      </c>
      <c r="P9" s="25">
        <f t="shared" si="11"/>
        <v>-0.49999999998817701</v>
      </c>
      <c r="Q9" s="26">
        <f t="shared" si="12"/>
        <v>-9.9999999974897905E-2</v>
      </c>
      <c r="R9" s="41"/>
      <c r="S9" s="21">
        <f t="shared" si="3"/>
        <v>44666</v>
      </c>
      <c r="T9" s="42">
        <v>8.6348000000000003</v>
      </c>
      <c r="U9" s="43">
        <f t="shared" si="13"/>
        <v>9.99999999997669E-2</v>
      </c>
      <c r="V9" s="44">
        <f t="shared" si="14"/>
        <v>-0.29999999999930099</v>
      </c>
      <c r="W9" s="45">
        <f t="shared" si="15"/>
        <v>-9.99999999997669E-2</v>
      </c>
      <c r="X9" s="29">
        <v>11.796200000000001</v>
      </c>
      <c r="Y9" s="43">
        <f t="shared" si="16"/>
        <v>0.10000000000154299</v>
      </c>
      <c r="Z9" s="44">
        <f t="shared" si="17"/>
        <v>-0.29999999999930099</v>
      </c>
      <c r="AA9" s="45">
        <f t="shared" si="18"/>
        <v>0.10000000000154299</v>
      </c>
      <c r="AB9" s="49">
        <v>9.1118000000000006</v>
      </c>
      <c r="AC9" s="43">
        <f t="shared" si="19"/>
        <v>-0.59999999999860198</v>
      </c>
      <c r="AD9" s="44">
        <f t="shared" si="20"/>
        <v>-0.49999999999883499</v>
      </c>
      <c r="AE9" s="45">
        <f t="shared" si="21"/>
        <v>-0.59999999999860198</v>
      </c>
      <c r="AF9" s="50">
        <v>79653</v>
      </c>
      <c r="AG9" s="58">
        <f t="shared" si="22"/>
        <v>22</v>
      </c>
      <c r="AH9" s="59"/>
      <c r="AI9" s="60"/>
      <c r="AJ9" s="61"/>
      <c r="AK9" s="62"/>
      <c r="AL9" s="52"/>
      <c r="AM9" s="52"/>
    </row>
    <row r="10" spans="1:48">
      <c r="A10" s="21">
        <v>44667</v>
      </c>
      <c r="B10" s="22">
        <v>791.46479999999997</v>
      </c>
      <c r="C10" s="27">
        <v>6.2310999999999996</v>
      </c>
      <c r="D10" s="23">
        <f t="shared" si="0"/>
        <v>797.69590000000005</v>
      </c>
      <c r="E10" s="24">
        <f t="shared" si="4"/>
        <v>-0.20000000006348301</v>
      </c>
      <c r="F10" s="25">
        <f t="shared" si="5"/>
        <v>-0.80000000002655702</v>
      </c>
      <c r="G10" s="26">
        <f t="shared" si="6"/>
        <v>-0.20000000006348301</v>
      </c>
      <c r="H10" s="6">
        <v>7.3475000000000001</v>
      </c>
      <c r="I10" s="35">
        <f t="shared" si="1"/>
        <v>798.81230000000005</v>
      </c>
      <c r="J10" s="24">
        <f t="shared" si="7"/>
        <v>-0.30000000003838101</v>
      </c>
      <c r="K10" s="25">
        <f t="shared" si="8"/>
        <v>-0.40000000001327901</v>
      </c>
      <c r="L10" s="26">
        <f t="shared" si="9"/>
        <v>-0.30000000003838101</v>
      </c>
      <c r="M10" s="6">
        <v>6.4882</v>
      </c>
      <c r="N10" s="35">
        <f t="shared" si="2"/>
        <v>797.95299999999997</v>
      </c>
      <c r="O10" s="24">
        <f t="shared" si="10"/>
        <v>-0.30000000003838101</v>
      </c>
      <c r="P10" s="25">
        <f t="shared" si="11"/>
        <v>-0.80000000002655702</v>
      </c>
      <c r="Q10" s="26">
        <f t="shared" si="12"/>
        <v>-0.30000000003838101</v>
      </c>
      <c r="R10" s="41"/>
      <c r="S10" s="21">
        <f t="shared" si="3"/>
        <v>44667</v>
      </c>
      <c r="T10" s="42">
        <v>8.6344999999999992</v>
      </c>
      <c r="U10" s="43">
        <f t="shared" si="13"/>
        <v>-0.30000000000107702</v>
      </c>
      <c r="V10" s="44">
        <f t="shared" si="14"/>
        <v>-0.60000000000037801</v>
      </c>
      <c r="W10" s="45">
        <f t="shared" si="15"/>
        <v>0.30000000000107702</v>
      </c>
      <c r="X10" s="29">
        <v>11.7957</v>
      </c>
      <c r="Y10" s="43">
        <f t="shared" si="16"/>
        <v>-0.50000000000061096</v>
      </c>
      <c r="Z10" s="44">
        <f t="shared" si="17"/>
        <v>-0.799999999999912</v>
      </c>
      <c r="AA10" s="45">
        <f t="shared" si="18"/>
        <v>-0.50000000000061096</v>
      </c>
      <c r="AB10" s="49">
        <v>9.1115999999999993</v>
      </c>
      <c r="AC10" s="43">
        <f t="shared" si="19"/>
        <v>-0.20000000000130999</v>
      </c>
      <c r="AD10" s="44">
        <f t="shared" si="20"/>
        <v>-0.70000000000014495</v>
      </c>
      <c r="AE10" s="45">
        <f t="shared" si="21"/>
        <v>-0.20000000000130999</v>
      </c>
      <c r="AF10" s="50">
        <v>79659</v>
      </c>
      <c r="AG10" s="58">
        <f t="shared" si="22"/>
        <v>28</v>
      </c>
      <c r="AH10" s="59"/>
      <c r="AI10" s="60"/>
      <c r="AJ10" s="61"/>
      <c r="AK10" s="62"/>
      <c r="AL10" s="52"/>
      <c r="AM10" s="52"/>
    </row>
    <row r="11" spans="1:48">
      <c r="A11" s="21">
        <v>44668</v>
      </c>
      <c r="B11" s="22">
        <v>791.46479999999997</v>
      </c>
      <c r="C11" s="27">
        <v>6.2312000000000003</v>
      </c>
      <c r="D11" s="23">
        <f t="shared" si="0"/>
        <v>797.69600000000003</v>
      </c>
      <c r="E11" s="24">
        <f t="shared" si="4"/>
        <v>9.9999999974897905E-2</v>
      </c>
      <c r="F11" s="25">
        <f t="shared" si="5"/>
        <v>-0.70000000005165897</v>
      </c>
      <c r="G11" s="26">
        <f t="shared" si="6"/>
        <v>9.9999999974897905E-2</v>
      </c>
      <c r="H11" s="6">
        <v>7.3474000000000004</v>
      </c>
      <c r="I11" s="35">
        <f t="shared" si="1"/>
        <v>798.81219999999996</v>
      </c>
      <c r="J11" s="24">
        <f t="shared" si="7"/>
        <v>-9.9999999974897905E-2</v>
      </c>
      <c r="K11" s="25">
        <f t="shared" si="8"/>
        <v>-0.49999999998817701</v>
      </c>
      <c r="L11" s="26">
        <f t="shared" si="9"/>
        <v>-9.9999999974897905E-2</v>
      </c>
      <c r="M11" s="6">
        <v>6.4880000000000004</v>
      </c>
      <c r="N11" s="35">
        <f t="shared" si="2"/>
        <v>797.95280000000002</v>
      </c>
      <c r="O11" s="24">
        <f t="shared" si="10"/>
        <v>-0.199999999949796</v>
      </c>
      <c r="P11" s="25">
        <f t="shared" si="11"/>
        <v>-0.99999999997635303</v>
      </c>
      <c r="Q11" s="26">
        <f t="shared" si="12"/>
        <v>-0.199999999949796</v>
      </c>
      <c r="R11" s="41"/>
      <c r="S11" s="21">
        <f t="shared" si="3"/>
        <v>44668</v>
      </c>
      <c r="T11" s="42">
        <v>8.6343999999999994</v>
      </c>
      <c r="U11" s="43">
        <f t="shared" si="13"/>
        <v>-9.99999999997669E-2</v>
      </c>
      <c r="V11" s="44">
        <f t="shared" si="14"/>
        <v>-0.70000000000014495</v>
      </c>
      <c r="W11" s="45">
        <f t="shared" si="15"/>
        <v>9.99999999997669E-2</v>
      </c>
      <c r="X11" s="29">
        <v>11.7958</v>
      </c>
      <c r="Y11" s="43">
        <f t="shared" si="16"/>
        <v>9.99999999997669E-2</v>
      </c>
      <c r="Z11" s="44">
        <f t="shared" si="17"/>
        <v>-0.70000000000014495</v>
      </c>
      <c r="AA11" s="45">
        <f t="shared" si="18"/>
        <v>9.99999999997669E-2</v>
      </c>
      <c r="AB11" s="49">
        <v>9.1113999999999997</v>
      </c>
      <c r="AC11" s="43">
        <f t="shared" si="19"/>
        <v>-0.19999999999953399</v>
      </c>
      <c r="AD11" s="44">
        <f t="shared" si="20"/>
        <v>-0.89999999999967895</v>
      </c>
      <c r="AE11" s="45">
        <f t="shared" si="21"/>
        <v>-0.19999999999953399</v>
      </c>
      <c r="AF11" s="50">
        <v>79665</v>
      </c>
      <c r="AG11" s="58">
        <f t="shared" si="22"/>
        <v>34</v>
      </c>
      <c r="AH11" s="59"/>
      <c r="AI11" s="60"/>
      <c r="AJ11" s="52"/>
      <c r="AK11" s="52"/>
      <c r="AL11" s="52"/>
      <c r="AM11" s="52"/>
    </row>
    <row r="12" spans="1:48">
      <c r="A12" s="21">
        <v>44669</v>
      </c>
      <c r="B12" s="22">
        <v>791.46479999999997</v>
      </c>
      <c r="C12" s="27">
        <v>6.2306999999999997</v>
      </c>
      <c r="D12" s="23">
        <f t="shared" si="0"/>
        <v>797.69550000000004</v>
      </c>
      <c r="E12" s="24">
        <f t="shared" si="4"/>
        <v>-0.49999999998817701</v>
      </c>
      <c r="F12" s="25">
        <f t="shared" si="5"/>
        <v>-1.2000000000398401</v>
      </c>
      <c r="G12" s="26">
        <f t="shared" si="6"/>
        <v>-0.49999999998817701</v>
      </c>
      <c r="H12" s="6">
        <v>7.3472</v>
      </c>
      <c r="I12" s="35">
        <f t="shared" si="1"/>
        <v>798.81200000000001</v>
      </c>
      <c r="J12" s="24">
        <f t="shared" si="7"/>
        <v>-0.199999999949796</v>
      </c>
      <c r="K12" s="25">
        <f t="shared" si="8"/>
        <v>-0.69999999993797202</v>
      </c>
      <c r="L12" s="26">
        <f t="shared" si="9"/>
        <v>-0.199999999949796</v>
      </c>
      <c r="M12" s="6">
        <v>6.4878</v>
      </c>
      <c r="N12" s="35">
        <f t="shared" si="2"/>
        <v>797.95259999999996</v>
      </c>
      <c r="O12" s="24">
        <f t="shared" si="10"/>
        <v>-0.20000000006348301</v>
      </c>
      <c r="P12" s="25">
        <f t="shared" si="11"/>
        <v>-1.2000000000398401</v>
      </c>
      <c r="Q12" s="26">
        <f t="shared" si="12"/>
        <v>-0.20000000006348301</v>
      </c>
      <c r="R12" s="41"/>
      <c r="S12" s="21">
        <f t="shared" si="3"/>
        <v>44669</v>
      </c>
      <c r="T12" s="42">
        <v>8.6342999999999996</v>
      </c>
      <c r="U12" s="43">
        <f t="shared" si="13"/>
        <v>-9.99999999997669E-2</v>
      </c>
      <c r="V12" s="44">
        <f t="shared" si="14"/>
        <v>-0.799999999999912</v>
      </c>
      <c r="W12" s="45">
        <f t="shared" si="15"/>
        <v>9.99999999997669E-2</v>
      </c>
      <c r="X12" s="29">
        <v>11.795299999999999</v>
      </c>
      <c r="Y12" s="43">
        <f t="shared" si="16"/>
        <v>-0.50000000000061096</v>
      </c>
      <c r="Z12" s="44">
        <f t="shared" si="17"/>
        <v>-1.20000000000076</v>
      </c>
      <c r="AA12" s="45">
        <f t="shared" si="18"/>
        <v>-0.50000000000061096</v>
      </c>
      <c r="AB12" s="49">
        <v>9.1113</v>
      </c>
      <c r="AC12" s="43">
        <f t="shared" si="19"/>
        <v>-9.99999999997669E-2</v>
      </c>
      <c r="AD12" s="44">
        <f t="shared" si="20"/>
        <v>-0.999999999999446</v>
      </c>
      <c r="AE12" s="45">
        <f t="shared" si="21"/>
        <v>-9.99999999997669E-2</v>
      </c>
      <c r="AF12" s="50">
        <v>79671</v>
      </c>
      <c r="AG12" s="58">
        <f t="shared" si="22"/>
        <v>40</v>
      </c>
      <c r="AH12" s="61"/>
      <c r="AI12" s="60"/>
      <c r="AJ12"/>
      <c r="AK12"/>
      <c r="AL12"/>
      <c r="AM12"/>
    </row>
    <row r="13" spans="1:48">
      <c r="A13" s="21">
        <v>44670</v>
      </c>
      <c r="B13" s="22">
        <v>791.46479999999997</v>
      </c>
      <c r="C13" s="27">
        <v>6.2305000000000001</v>
      </c>
      <c r="D13" s="23">
        <f t="shared" si="0"/>
        <v>797.69529999999997</v>
      </c>
      <c r="E13" s="24">
        <f t="shared" si="4"/>
        <v>-0.199999999949796</v>
      </c>
      <c r="F13" s="25">
        <f t="shared" si="5"/>
        <v>-1.39999999998963</v>
      </c>
      <c r="G13" s="26">
        <f t="shared" si="6"/>
        <v>-0.199999999949796</v>
      </c>
      <c r="H13" s="6">
        <v>7.3470000000000004</v>
      </c>
      <c r="I13" s="35">
        <f t="shared" si="1"/>
        <v>798.81179999999995</v>
      </c>
      <c r="J13" s="24">
        <f t="shared" si="7"/>
        <v>-0.20000000006348301</v>
      </c>
      <c r="K13" s="25">
        <f t="shared" si="8"/>
        <v>-0.90000000000145497</v>
      </c>
      <c r="L13" s="26">
        <f t="shared" si="9"/>
        <v>-0.20000000006348301</v>
      </c>
      <c r="M13" s="6">
        <v>6.4874000000000001</v>
      </c>
      <c r="N13" s="35">
        <f t="shared" si="2"/>
        <v>797.95219999999995</v>
      </c>
      <c r="O13" s="24">
        <f t="shared" si="10"/>
        <v>-0.40000000001327901</v>
      </c>
      <c r="P13" s="25">
        <f t="shared" si="11"/>
        <v>-1.60000000005311</v>
      </c>
      <c r="Q13" s="26">
        <f t="shared" si="12"/>
        <v>-0.40000000001327901</v>
      </c>
      <c r="R13" s="41"/>
      <c r="S13" s="21">
        <f t="shared" si="3"/>
        <v>44670</v>
      </c>
      <c r="T13" s="42">
        <v>8.6340000000000003</v>
      </c>
      <c r="U13" s="43">
        <f t="shared" si="13"/>
        <v>-0.29999999999930099</v>
      </c>
      <c r="V13" s="44">
        <f t="shared" si="14"/>
        <v>-1.0999999999992101</v>
      </c>
      <c r="W13" s="45">
        <f t="shared" si="15"/>
        <v>0.29999999999930099</v>
      </c>
      <c r="X13" s="29">
        <v>11.7951</v>
      </c>
      <c r="Y13" s="43">
        <f t="shared" si="16"/>
        <v>-0.19999999999953399</v>
      </c>
      <c r="Z13" s="44">
        <f t="shared" si="17"/>
        <v>-1.4000000000002899</v>
      </c>
      <c r="AA13" s="45">
        <f t="shared" si="18"/>
        <v>-0.19999999999953399</v>
      </c>
      <c r="AB13" s="49">
        <v>9.1110000000000007</v>
      </c>
      <c r="AC13" s="43">
        <f t="shared" si="19"/>
        <v>-0.29999999999930099</v>
      </c>
      <c r="AD13" s="44">
        <f t="shared" si="20"/>
        <v>-1.2999999999987499</v>
      </c>
      <c r="AE13" s="45">
        <f t="shared" si="21"/>
        <v>-0.29999999999930099</v>
      </c>
      <c r="AF13" s="50">
        <v>79677</v>
      </c>
      <c r="AG13" s="58">
        <f t="shared" si="22"/>
        <v>46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44671</v>
      </c>
      <c r="B14" s="22">
        <v>791.46479999999997</v>
      </c>
      <c r="C14" s="27">
        <v>6.2304000000000004</v>
      </c>
      <c r="D14" s="23">
        <f t="shared" si="0"/>
        <v>797.6952</v>
      </c>
      <c r="E14" s="24">
        <f t="shared" si="4"/>
        <v>-9.9999999974897905E-2</v>
      </c>
      <c r="F14" s="25">
        <f t="shared" si="5"/>
        <v>-1.4999999999645299</v>
      </c>
      <c r="G14" s="26">
        <f t="shared" si="6"/>
        <v>-9.9999999974897905E-2</v>
      </c>
      <c r="H14" s="6">
        <v>7.3468999999999998</v>
      </c>
      <c r="I14" s="35">
        <f t="shared" si="1"/>
        <v>798.81169999999997</v>
      </c>
      <c r="J14" s="24">
        <f t="shared" si="7"/>
        <v>-9.9999999974897905E-2</v>
      </c>
      <c r="K14" s="25">
        <f t="shared" si="8"/>
        <v>-0.99999999997635303</v>
      </c>
      <c r="L14" s="26">
        <f t="shared" si="9"/>
        <v>-9.9999999974897905E-2</v>
      </c>
      <c r="M14" s="6">
        <v>6.4873000000000003</v>
      </c>
      <c r="N14" s="35">
        <f t="shared" si="2"/>
        <v>797.95209999999997</v>
      </c>
      <c r="O14" s="24">
        <f t="shared" si="10"/>
        <v>-9.9999999974897905E-2</v>
      </c>
      <c r="P14" s="25">
        <f t="shared" si="11"/>
        <v>-1.70000000002801</v>
      </c>
      <c r="Q14" s="26">
        <f t="shared" si="12"/>
        <v>-9.9999999974897905E-2</v>
      </c>
      <c r="R14" s="41"/>
      <c r="S14" s="21">
        <f t="shared" si="3"/>
        <v>44671</v>
      </c>
      <c r="T14" s="42">
        <v>8.6341000000000001</v>
      </c>
      <c r="U14" s="43">
        <f t="shared" si="13"/>
        <v>9.99999999997669E-2</v>
      </c>
      <c r="V14" s="44">
        <f t="shared" si="14"/>
        <v>-0.999999999999446</v>
      </c>
      <c r="W14" s="45">
        <f t="shared" si="15"/>
        <v>-9.99999999997669E-2</v>
      </c>
      <c r="X14" s="29">
        <v>11.795</v>
      </c>
      <c r="Y14" s="43">
        <f t="shared" si="16"/>
        <v>-9.99999999997669E-2</v>
      </c>
      <c r="Z14" s="44">
        <f t="shared" si="17"/>
        <v>-1.50000000000006</v>
      </c>
      <c r="AA14" s="45">
        <f t="shared" si="18"/>
        <v>-9.99999999997669E-2</v>
      </c>
      <c r="AB14" s="49">
        <v>9.1107999999999993</v>
      </c>
      <c r="AC14" s="43">
        <f t="shared" si="19"/>
        <v>-0.20000000000130999</v>
      </c>
      <c r="AD14" s="44">
        <f t="shared" si="20"/>
        <v>-1.50000000000006</v>
      </c>
      <c r="AE14" s="45">
        <f t="shared" si="21"/>
        <v>-0.20000000000130999</v>
      </c>
      <c r="AF14" s="50">
        <v>79683</v>
      </c>
      <c r="AG14" s="58">
        <f t="shared" si="22"/>
        <v>52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44672</v>
      </c>
      <c r="B15" s="22">
        <v>791.46479999999997</v>
      </c>
      <c r="C15" s="27">
        <v>6.2302999999999997</v>
      </c>
      <c r="D15" s="23">
        <f t="shared" ref="D15:D20" si="23">C15+B15</f>
        <v>797.69510000000002</v>
      </c>
      <c r="E15" s="24">
        <f t="shared" ref="E15:E20" si="24">(D15-D14)*1000</f>
        <v>-0.10000000008858501</v>
      </c>
      <c r="F15" s="25">
        <f t="shared" ref="F15:F20" si="25">F14+E15</f>
        <v>-1.60000000005311</v>
      </c>
      <c r="G15" s="26">
        <f t="shared" ref="G15:G20" si="26">E15/(A15-A14)</f>
        <v>-0.10000000008858501</v>
      </c>
      <c r="H15" s="6">
        <v>7.3468</v>
      </c>
      <c r="I15" s="35">
        <f t="shared" ref="I15:I20" si="27">H15+B15</f>
        <v>798.8116</v>
      </c>
      <c r="J15" s="24">
        <f t="shared" ref="J15:J20" si="28">(I15-I14)*1000</f>
        <v>-9.9999999974897905E-2</v>
      </c>
      <c r="K15" s="25">
        <f t="shared" ref="K15:K20" si="29">K14+J15</f>
        <v>-1.09999999995125</v>
      </c>
      <c r="L15" s="26">
        <f t="shared" ref="L15:L20" si="30">J15/(A15-A14)</f>
        <v>-9.9999999974897905E-2</v>
      </c>
      <c r="M15" s="6">
        <v>6.4871999999999996</v>
      </c>
      <c r="N15" s="35">
        <f t="shared" ref="N15:N20" si="31">M15+B15</f>
        <v>797.952</v>
      </c>
      <c r="O15" s="24">
        <f t="shared" ref="O15:O20" si="32">(N15-N14)*1000</f>
        <v>-9.9999999974897905E-2</v>
      </c>
      <c r="P15" s="25">
        <f t="shared" ref="P15:P20" si="33">P14+O15</f>
        <v>-1.8000000000029099</v>
      </c>
      <c r="Q15" s="26">
        <f t="shared" ref="Q15:Q20" si="34">O15/(A15-A14)</f>
        <v>-9.9999999974897905E-2</v>
      </c>
      <c r="R15" s="41"/>
      <c r="S15" s="21">
        <f t="shared" ref="S15:S29" si="35">A15</f>
        <v>44672</v>
      </c>
      <c r="T15" s="42">
        <v>8.6339000000000006</v>
      </c>
      <c r="U15" s="43">
        <f t="shared" ref="U15:U26" si="36">(T15-T14)*1000</f>
        <v>-0.19999999999953399</v>
      </c>
      <c r="V15" s="44">
        <f t="shared" ref="V15:V26" si="37">V14+U15</f>
        <v>-1.1999999999989801</v>
      </c>
      <c r="W15" s="45">
        <f t="shared" ref="W15:W26" si="38">U15/(S14-S15)</f>
        <v>0.19999999999953399</v>
      </c>
      <c r="X15" s="29">
        <v>11.7949</v>
      </c>
      <c r="Y15" s="43">
        <f t="shared" ref="Y15:Y26" si="39">(X15-X14)*1000</f>
        <v>-9.99999999997669E-2</v>
      </c>
      <c r="Z15" s="44">
        <f t="shared" ref="Z15:Z26" si="40">Z14+Y15</f>
        <v>-1.59999999999982</v>
      </c>
      <c r="AA15" s="45">
        <f t="shared" ref="AA15:AA26" si="41">Y15/(S15-S14)</f>
        <v>-9.99999999997669E-2</v>
      </c>
      <c r="AB15" s="49">
        <v>9.1105999999999998</v>
      </c>
      <c r="AC15" s="43">
        <f t="shared" ref="AC15:AC26" si="42">(AB15-AB14)*1000</f>
        <v>-0.19999999999953399</v>
      </c>
      <c r="AD15" s="44">
        <f t="shared" ref="AD15:AD26" si="43">AD14+AC15</f>
        <v>-1.6999999999995901</v>
      </c>
      <c r="AE15" s="45">
        <f t="shared" ref="AE15:AE26" si="44">AC15/(S15-S14)</f>
        <v>-0.19999999999953399</v>
      </c>
      <c r="AF15" s="50">
        <v>79689</v>
      </c>
      <c r="AG15" s="58">
        <f t="shared" ref="AG15:AG29" si="45">AF15-79631</f>
        <v>58</v>
      </c>
      <c r="AH15" s="59"/>
      <c r="AI15" s="60"/>
      <c r="AJ15"/>
      <c r="AK15"/>
      <c r="AL15"/>
      <c r="AM15"/>
    </row>
    <row r="16" spans="1:48">
      <c r="A16" s="21">
        <v>44673</v>
      </c>
      <c r="B16" s="22">
        <v>791.46479999999997</v>
      </c>
      <c r="C16" s="27">
        <v>6.2302</v>
      </c>
      <c r="D16" s="23">
        <f t="shared" si="23"/>
        <v>797.69500000000005</v>
      </c>
      <c r="E16" s="24">
        <f t="shared" si="24"/>
        <v>-9.9999999974897905E-2</v>
      </c>
      <c r="F16" s="25">
        <f t="shared" si="25"/>
        <v>-1.70000000002801</v>
      </c>
      <c r="G16" s="26">
        <f t="shared" si="26"/>
        <v>-9.9999999974897905E-2</v>
      </c>
      <c r="H16" s="6">
        <v>7.3464999999999998</v>
      </c>
      <c r="I16" s="35">
        <f t="shared" si="27"/>
        <v>798.81129999999996</v>
      </c>
      <c r="J16" s="24">
        <f t="shared" si="28"/>
        <v>-0.30000000003838101</v>
      </c>
      <c r="K16" s="25">
        <f t="shared" si="29"/>
        <v>-1.39999999998963</v>
      </c>
      <c r="L16" s="26">
        <f t="shared" si="30"/>
        <v>-0.30000000003838101</v>
      </c>
      <c r="M16" s="6">
        <v>6.4870000000000001</v>
      </c>
      <c r="N16" s="35">
        <f t="shared" si="31"/>
        <v>797.95180000000005</v>
      </c>
      <c r="O16" s="24">
        <f t="shared" si="32"/>
        <v>-0.20000000006348301</v>
      </c>
      <c r="P16" s="25">
        <f t="shared" si="33"/>
        <v>-2.00000000006639</v>
      </c>
      <c r="Q16" s="26">
        <f t="shared" si="34"/>
        <v>-0.20000000006348301</v>
      </c>
      <c r="R16" s="41"/>
      <c r="S16" s="21">
        <f t="shared" si="35"/>
        <v>44673</v>
      </c>
      <c r="T16" s="42">
        <v>8.6338000000000008</v>
      </c>
      <c r="U16" s="43">
        <f t="shared" si="36"/>
        <v>-9.99999999997669E-2</v>
      </c>
      <c r="V16" s="44">
        <f t="shared" si="37"/>
        <v>-1.2999999999987499</v>
      </c>
      <c r="W16" s="45">
        <f t="shared" si="38"/>
        <v>9.99999999997669E-2</v>
      </c>
      <c r="X16" s="29">
        <v>11.794499999999999</v>
      </c>
      <c r="Y16" s="43">
        <f t="shared" si="39"/>
        <v>-0.40000000000084401</v>
      </c>
      <c r="Z16" s="44">
        <f t="shared" si="40"/>
        <v>-2.0000000000006701</v>
      </c>
      <c r="AA16" s="45">
        <f t="shared" si="41"/>
        <v>-0.40000000000084401</v>
      </c>
      <c r="AB16" s="49">
        <v>9.1105999999999998</v>
      </c>
      <c r="AC16" s="43">
        <f t="shared" si="42"/>
        <v>0</v>
      </c>
      <c r="AD16" s="44">
        <f t="shared" si="43"/>
        <v>-1.6999999999995901</v>
      </c>
      <c r="AE16" s="45">
        <f t="shared" si="44"/>
        <v>0</v>
      </c>
      <c r="AF16" s="50">
        <v>79695</v>
      </c>
      <c r="AG16" s="58">
        <f t="shared" si="45"/>
        <v>64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44674</v>
      </c>
      <c r="B17" s="22">
        <v>791.46479999999997</v>
      </c>
      <c r="C17" s="27">
        <v>6.2305000000000001</v>
      </c>
      <c r="D17" s="23">
        <f t="shared" si="23"/>
        <v>797.69529999999997</v>
      </c>
      <c r="E17" s="24">
        <f t="shared" si="24"/>
        <v>0.30000000003838101</v>
      </c>
      <c r="F17" s="25">
        <f t="shared" si="25"/>
        <v>-1.39999999998963</v>
      </c>
      <c r="G17" s="26">
        <f t="shared" si="26"/>
        <v>0.30000000003838101</v>
      </c>
      <c r="H17" s="6">
        <v>7.3465999999999996</v>
      </c>
      <c r="I17" s="35">
        <f t="shared" si="27"/>
        <v>798.81140000000005</v>
      </c>
      <c r="J17" s="24">
        <f t="shared" si="28"/>
        <v>9.9999999974897905E-2</v>
      </c>
      <c r="K17" s="25">
        <f t="shared" si="29"/>
        <v>-1.30000000001473</v>
      </c>
      <c r="L17" s="26">
        <f t="shared" si="30"/>
        <v>9.9999999974897905E-2</v>
      </c>
      <c r="M17" s="6">
        <v>6.4870000000000001</v>
      </c>
      <c r="N17" s="35">
        <f t="shared" si="31"/>
        <v>797.95180000000005</v>
      </c>
      <c r="O17" s="24">
        <f t="shared" si="32"/>
        <v>0</v>
      </c>
      <c r="P17" s="25">
        <f t="shared" si="33"/>
        <v>-2.00000000006639</v>
      </c>
      <c r="Q17" s="26">
        <f t="shared" si="34"/>
        <v>0</v>
      </c>
      <c r="R17" s="41"/>
      <c r="S17" s="21">
        <f t="shared" si="35"/>
        <v>44674</v>
      </c>
      <c r="T17" s="42">
        <v>8.6334999999999997</v>
      </c>
      <c r="U17" s="43">
        <f t="shared" si="36"/>
        <v>-0.30000000000107702</v>
      </c>
      <c r="V17" s="44">
        <f t="shared" si="37"/>
        <v>-1.59999999999982</v>
      </c>
      <c r="W17" s="45">
        <f t="shared" si="38"/>
        <v>0.30000000000107702</v>
      </c>
      <c r="X17" s="29">
        <v>11.794700000000001</v>
      </c>
      <c r="Y17" s="43">
        <f t="shared" si="39"/>
        <v>0.20000000000130999</v>
      </c>
      <c r="Z17" s="44">
        <f t="shared" si="40"/>
        <v>-1.7999999999993599</v>
      </c>
      <c r="AA17" s="45">
        <f t="shared" si="41"/>
        <v>0.20000000000130999</v>
      </c>
      <c r="AB17" s="49">
        <v>9.1102000000000007</v>
      </c>
      <c r="AC17" s="43">
        <f t="shared" si="42"/>
        <v>-0.39999999999906799</v>
      </c>
      <c r="AD17" s="44">
        <f t="shared" si="43"/>
        <v>-2.0999999999986598</v>
      </c>
      <c r="AE17" s="45">
        <f t="shared" si="44"/>
        <v>-0.39999999999906799</v>
      </c>
      <c r="AF17" s="50">
        <v>79701</v>
      </c>
      <c r="AG17" s="58">
        <f t="shared" si="45"/>
        <v>70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44675</v>
      </c>
      <c r="B18" s="22">
        <v>791.46479999999997</v>
      </c>
      <c r="C18" s="27">
        <v>6.23</v>
      </c>
      <c r="D18" s="23">
        <f t="shared" si="23"/>
        <v>797.69479999999999</v>
      </c>
      <c r="E18" s="24">
        <f t="shared" si="24"/>
        <v>-0.49999999998817701</v>
      </c>
      <c r="F18" s="25">
        <f t="shared" si="25"/>
        <v>-1.8999999999778101</v>
      </c>
      <c r="G18" s="26">
        <f t="shared" si="26"/>
        <v>-0.49999999998817701</v>
      </c>
      <c r="H18" s="6">
        <v>7.3464999999999998</v>
      </c>
      <c r="I18" s="35">
        <f t="shared" si="27"/>
        <v>798.81129999999996</v>
      </c>
      <c r="J18" s="24">
        <f t="shared" si="28"/>
        <v>-9.9999999974897905E-2</v>
      </c>
      <c r="K18" s="25">
        <f t="shared" si="29"/>
        <v>-1.39999999998963</v>
      </c>
      <c r="L18" s="26">
        <f t="shared" si="30"/>
        <v>-9.9999999974897905E-2</v>
      </c>
      <c r="M18" s="6">
        <v>6.4869000000000003</v>
      </c>
      <c r="N18" s="35">
        <f t="shared" si="31"/>
        <v>797.95169999999996</v>
      </c>
      <c r="O18" s="24">
        <f t="shared" si="32"/>
        <v>-9.9999999974897905E-2</v>
      </c>
      <c r="P18" s="25">
        <f t="shared" si="33"/>
        <v>-2.1000000000412902</v>
      </c>
      <c r="Q18" s="26">
        <f t="shared" si="34"/>
        <v>-9.9999999974897905E-2</v>
      </c>
      <c r="R18" s="41"/>
      <c r="S18" s="21">
        <f t="shared" si="35"/>
        <v>44675</v>
      </c>
      <c r="T18" s="42">
        <v>8.6333000000000002</v>
      </c>
      <c r="U18" s="43">
        <f t="shared" si="36"/>
        <v>-0.19999999999953399</v>
      </c>
      <c r="V18" s="44">
        <f t="shared" si="37"/>
        <v>-1.7999999999993599</v>
      </c>
      <c r="W18" s="45">
        <f t="shared" si="38"/>
        <v>0.19999999999953399</v>
      </c>
      <c r="X18" s="29">
        <v>11.794600000000001</v>
      </c>
      <c r="Y18" s="43">
        <f t="shared" si="39"/>
        <v>-9.99999999997669E-2</v>
      </c>
      <c r="Z18" s="44">
        <f t="shared" si="40"/>
        <v>-1.8999999999991199</v>
      </c>
      <c r="AA18" s="45">
        <f t="shared" si="41"/>
        <v>-9.99999999997669E-2</v>
      </c>
      <c r="AB18" s="49">
        <v>9.1099999999999905</v>
      </c>
      <c r="AC18" s="43">
        <f t="shared" si="42"/>
        <v>-0.200000000010192</v>
      </c>
      <c r="AD18" s="44">
        <f t="shared" si="43"/>
        <v>-2.3000000000088501</v>
      </c>
      <c r="AE18" s="45">
        <f t="shared" si="44"/>
        <v>-0.200000000010192</v>
      </c>
      <c r="AF18" s="50">
        <v>79707</v>
      </c>
      <c r="AG18" s="58">
        <f t="shared" si="45"/>
        <v>76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44676</v>
      </c>
      <c r="B19" s="22">
        <v>791.46479999999997</v>
      </c>
      <c r="C19" s="27">
        <v>6.2298999999999998</v>
      </c>
      <c r="D19" s="23">
        <f t="shared" si="23"/>
        <v>797.69470000000001</v>
      </c>
      <c r="E19" s="24">
        <f t="shared" si="24"/>
        <v>-9.9999999974897905E-2</v>
      </c>
      <c r="F19" s="25">
        <f t="shared" si="25"/>
        <v>-1.9999999999527101</v>
      </c>
      <c r="G19" s="26">
        <f t="shared" si="26"/>
        <v>-9.9999999974897905E-2</v>
      </c>
      <c r="H19" s="6">
        <v>7.3461999999999996</v>
      </c>
      <c r="I19" s="35">
        <f t="shared" si="27"/>
        <v>798.81100000000004</v>
      </c>
      <c r="J19" s="24">
        <f t="shared" si="28"/>
        <v>-0.30000000003838101</v>
      </c>
      <c r="K19" s="25">
        <f t="shared" si="29"/>
        <v>-1.70000000002801</v>
      </c>
      <c r="L19" s="26">
        <f t="shared" si="30"/>
        <v>-0.30000000003838101</v>
      </c>
      <c r="M19" s="6">
        <v>6.4870999999999999</v>
      </c>
      <c r="N19" s="35">
        <f t="shared" si="31"/>
        <v>797.95190000000002</v>
      </c>
      <c r="O19" s="24">
        <f t="shared" si="32"/>
        <v>0.20000000006348301</v>
      </c>
      <c r="P19" s="25">
        <f t="shared" si="33"/>
        <v>-1.8999999999778101</v>
      </c>
      <c r="Q19" s="26">
        <f t="shared" si="34"/>
        <v>0.20000000006348301</v>
      </c>
      <c r="R19" s="41"/>
      <c r="S19" s="21">
        <f t="shared" si="35"/>
        <v>44676</v>
      </c>
      <c r="T19" s="42">
        <v>8.6331000000000007</v>
      </c>
      <c r="U19" s="43">
        <f t="shared" si="36"/>
        <v>-0.19999999999953399</v>
      </c>
      <c r="V19" s="44">
        <f t="shared" si="37"/>
        <v>-1.99999999999889</v>
      </c>
      <c r="W19" s="45">
        <f t="shared" si="38"/>
        <v>0.19999999999953399</v>
      </c>
      <c r="X19" s="29">
        <v>11.7942</v>
      </c>
      <c r="Y19" s="43">
        <f t="shared" si="39"/>
        <v>-0.40000000000084401</v>
      </c>
      <c r="Z19" s="44">
        <f t="shared" si="40"/>
        <v>-2.2999999999999701</v>
      </c>
      <c r="AA19" s="45">
        <f t="shared" si="41"/>
        <v>-0.40000000000084401</v>
      </c>
      <c r="AB19" s="49">
        <v>9.1100999999999992</v>
      </c>
      <c r="AC19" s="43">
        <f t="shared" si="42"/>
        <v>0.100000000008649</v>
      </c>
      <c r="AD19" s="44">
        <f t="shared" si="43"/>
        <v>-2.2000000000002</v>
      </c>
      <c r="AE19" s="45">
        <f t="shared" si="44"/>
        <v>0.100000000008649</v>
      </c>
      <c r="AF19" s="50">
        <v>79713</v>
      </c>
      <c r="AG19" s="58">
        <f t="shared" si="45"/>
        <v>82</v>
      </c>
      <c r="AH19" s="59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44677</v>
      </c>
      <c r="B20" s="22">
        <v>791.46479999999997</v>
      </c>
      <c r="C20" s="27">
        <v>6.23</v>
      </c>
      <c r="D20" s="23">
        <f t="shared" si="23"/>
        <v>797.69479999999999</v>
      </c>
      <c r="E20" s="24">
        <f t="shared" si="24"/>
        <v>9.9999999974897905E-2</v>
      </c>
      <c r="F20" s="25">
        <f t="shared" si="25"/>
        <v>-1.8999999999778101</v>
      </c>
      <c r="G20" s="26">
        <f t="shared" si="26"/>
        <v>9.9999999974897905E-2</v>
      </c>
      <c r="H20" s="6">
        <v>7.3463000000000003</v>
      </c>
      <c r="I20" s="35">
        <f t="shared" si="27"/>
        <v>798.81110000000001</v>
      </c>
      <c r="J20" s="24">
        <f t="shared" si="28"/>
        <v>0.10000000008858501</v>
      </c>
      <c r="K20" s="25">
        <f t="shared" si="29"/>
        <v>-1.5999999999394301</v>
      </c>
      <c r="L20" s="26">
        <f t="shared" si="30"/>
        <v>0.10000000008858501</v>
      </c>
      <c r="M20" s="6">
        <v>6.4866999999999999</v>
      </c>
      <c r="N20" s="35">
        <f t="shared" si="31"/>
        <v>797.95150000000001</v>
      </c>
      <c r="O20" s="24">
        <f t="shared" si="32"/>
        <v>-0.40000000001327901</v>
      </c>
      <c r="P20" s="25">
        <f t="shared" si="33"/>
        <v>-2.2999999999910901</v>
      </c>
      <c r="Q20" s="26">
        <f t="shared" si="34"/>
        <v>-0.40000000001327901</v>
      </c>
      <c r="R20" s="41"/>
      <c r="S20" s="21">
        <f t="shared" si="35"/>
        <v>44677</v>
      </c>
      <c r="T20" s="42">
        <v>8.6333000000000002</v>
      </c>
      <c r="U20" s="43">
        <f t="shared" si="36"/>
        <v>0.19999999999953399</v>
      </c>
      <c r="V20" s="44">
        <f t="shared" si="37"/>
        <v>-1.7999999999993599</v>
      </c>
      <c r="W20" s="45">
        <f t="shared" si="38"/>
        <v>-0.19999999999953399</v>
      </c>
      <c r="X20" s="29">
        <v>11.7944</v>
      </c>
      <c r="Y20" s="43">
        <f t="shared" si="39"/>
        <v>0.19999999999953399</v>
      </c>
      <c r="Z20" s="44">
        <f t="shared" si="40"/>
        <v>-2.10000000000043</v>
      </c>
      <c r="AA20" s="45">
        <f t="shared" si="41"/>
        <v>0.19999999999953399</v>
      </c>
      <c r="AB20" s="49">
        <v>9.1095999999999897</v>
      </c>
      <c r="AC20" s="43">
        <f t="shared" si="42"/>
        <v>-0.50000000000949296</v>
      </c>
      <c r="AD20" s="44">
        <f t="shared" si="43"/>
        <v>-2.7000000000096902</v>
      </c>
      <c r="AE20" s="45">
        <f t="shared" si="44"/>
        <v>-0.50000000000949296</v>
      </c>
      <c r="AF20" s="50">
        <v>79719</v>
      </c>
      <c r="AG20" s="58">
        <f t="shared" si="45"/>
        <v>88</v>
      </c>
      <c r="AH20" s="59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44679</v>
      </c>
      <c r="B21" s="22">
        <v>791.46479999999997</v>
      </c>
      <c r="C21" s="27">
        <v>6.2297000000000002</v>
      </c>
      <c r="D21" s="23">
        <f t="shared" ref="D21:D29" si="46">C21+B21</f>
        <v>797.69449999999995</v>
      </c>
      <c r="E21" s="24">
        <f t="shared" ref="E21:E26" si="47">(D21-D20)*1000</f>
        <v>-0.30000000003838101</v>
      </c>
      <c r="F21" s="25">
        <f t="shared" ref="F21:F26" si="48">F20+E21</f>
        <v>-2.2000000000161899</v>
      </c>
      <c r="G21" s="26">
        <f t="shared" ref="G21:G26" si="49">E21/(A21-A20)</f>
        <v>-0.15000000001919001</v>
      </c>
      <c r="H21" s="6">
        <v>7.3461999999999996</v>
      </c>
      <c r="I21" s="35">
        <f t="shared" ref="I21:I29" si="50">H21+B21</f>
        <v>798.81100000000004</v>
      </c>
      <c r="J21" s="24">
        <f t="shared" ref="J21:J26" si="51">(I21-I20)*1000</f>
        <v>-0.10000000008858501</v>
      </c>
      <c r="K21" s="25">
        <f t="shared" ref="K21:K26" si="52">K20+J21</f>
        <v>-1.70000000002801</v>
      </c>
      <c r="L21" s="26">
        <f t="shared" ref="L21:L26" si="53">J21/(A21-A20)</f>
        <v>-5.0000000044292399E-2</v>
      </c>
      <c r="M21" s="6">
        <v>6.4866000000000001</v>
      </c>
      <c r="N21" s="35">
        <f t="shared" ref="N21:N29" si="54">M21+B21</f>
        <v>797.95140000000004</v>
      </c>
      <c r="O21" s="24">
        <f t="shared" ref="O21:O26" si="55">(N21-N20)*1000</f>
        <v>-0.10000000008858501</v>
      </c>
      <c r="P21" s="25">
        <f t="shared" ref="P21:P26" si="56">P20+O21</f>
        <v>-2.40000000007967</v>
      </c>
      <c r="Q21" s="26">
        <f t="shared" ref="Q21:Q26" si="57">O21/(A21-A20)</f>
        <v>-5.0000000044292399E-2</v>
      </c>
      <c r="R21" s="41"/>
      <c r="S21" s="21">
        <f t="shared" si="35"/>
        <v>44679</v>
      </c>
      <c r="T21" s="42">
        <v>8.6326999999999998</v>
      </c>
      <c r="U21" s="43">
        <f t="shared" si="36"/>
        <v>-0.60000000000037801</v>
      </c>
      <c r="V21" s="44">
        <f t="shared" si="37"/>
        <v>-2.3999999999997401</v>
      </c>
      <c r="W21" s="45">
        <f t="shared" si="38"/>
        <v>0.300000000000189</v>
      </c>
      <c r="X21" s="29">
        <v>11.7943</v>
      </c>
      <c r="Y21" s="43">
        <f t="shared" si="39"/>
        <v>-9.99999999997669E-2</v>
      </c>
      <c r="Z21" s="44">
        <f t="shared" si="40"/>
        <v>-2.2000000000002</v>
      </c>
      <c r="AA21" s="45">
        <f t="shared" si="41"/>
        <v>-4.9999999999883499E-2</v>
      </c>
      <c r="AB21" s="49">
        <v>9.1093999999999902</v>
      </c>
      <c r="AC21" s="43">
        <f t="shared" si="42"/>
        <v>-0.19999999999953399</v>
      </c>
      <c r="AD21" s="44">
        <f t="shared" si="43"/>
        <v>-2.9000000000092299</v>
      </c>
      <c r="AE21" s="45">
        <f t="shared" si="44"/>
        <v>-9.99999999997669E-2</v>
      </c>
      <c r="AF21" s="50">
        <v>79725</v>
      </c>
      <c r="AG21" s="58">
        <f t="shared" si="45"/>
        <v>94</v>
      </c>
      <c r="AH21" s="59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44681</v>
      </c>
      <c r="B22" s="22">
        <v>791.46479999999997</v>
      </c>
      <c r="C22" s="27">
        <v>6.2295999999999996</v>
      </c>
      <c r="D22" s="23">
        <f t="shared" si="46"/>
        <v>797.69439999999997</v>
      </c>
      <c r="E22" s="24">
        <f t="shared" si="47"/>
        <v>-9.9999999974897905E-2</v>
      </c>
      <c r="F22" s="25">
        <f t="shared" si="48"/>
        <v>-2.2999999999910901</v>
      </c>
      <c r="G22" s="26">
        <f t="shared" si="49"/>
        <v>-4.9999999987449001E-2</v>
      </c>
      <c r="H22" s="6">
        <v>7.3460000000000001</v>
      </c>
      <c r="I22" s="35">
        <f t="shared" si="50"/>
        <v>798.81079999999997</v>
      </c>
      <c r="J22" s="24">
        <f t="shared" si="51"/>
        <v>-0.199999999949796</v>
      </c>
      <c r="K22" s="25">
        <f t="shared" si="52"/>
        <v>-1.8999999999778101</v>
      </c>
      <c r="L22" s="26">
        <f t="shared" si="53"/>
        <v>-9.9999999974897905E-2</v>
      </c>
      <c r="M22" s="6">
        <v>6.4863</v>
      </c>
      <c r="N22" s="35">
        <f t="shared" si="54"/>
        <v>797.9511</v>
      </c>
      <c r="O22" s="24">
        <f t="shared" si="55"/>
        <v>-0.29999999992469401</v>
      </c>
      <c r="P22" s="25">
        <f t="shared" si="56"/>
        <v>-2.70000000000437</v>
      </c>
      <c r="Q22" s="26">
        <f t="shared" si="57"/>
        <v>-0.149999999962347</v>
      </c>
      <c r="R22" s="41"/>
      <c r="S22" s="21">
        <f t="shared" si="35"/>
        <v>44681</v>
      </c>
      <c r="T22" s="42">
        <v>8.6325000000000003</v>
      </c>
      <c r="U22" s="43">
        <f t="shared" si="36"/>
        <v>-0.19999999999953399</v>
      </c>
      <c r="V22" s="44">
        <f t="shared" si="37"/>
        <v>-2.59999999999927</v>
      </c>
      <c r="W22" s="45">
        <f t="shared" si="38"/>
        <v>9.99999999997669E-2</v>
      </c>
      <c r="X22" s="29">
        <v>11.794</v>
      </c>
      <c r="Y22" s="43">
        <f t="shared" si="39"/>
        <v>-0.29999999999930099</v>
      </c>
      <c r="Z22" s="44">
        <f t="shared" si="40"/>
        <v>-2.4999999999995</v>
      </c>
      <c r="AA22" s="45">
        <f t="shared" si="41"/>
        <v>-0.14999999999965</v>
      </c>
      <c r="AB22" s="49">
        <v>9.1095000000000006</v>
      </c>
      <c r="AC22" s="43">
        <f t="shared" si="42"/>
        <v>0.100000000010425</v>
      </c>
      <c r="AD22" s="44">
        <f t="shared" si="43"/>
        <v>-2.7999999999987999</v>
      </c>
      <c r="AE22" s="45">
        <f t="shared" si="44"/>
        <v>5.00000000052125E-2</v>
      </c>
      <c r="AF22" s="50">
        <v>79731</v>
      </c>
      <c r="AG22" s="58">
        <f t="shared" si="45"/>
        <v>100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44683</v>
      </c>
      <c r="B23" s="22">
        <v>791.46479999999997</v>
      </c>
      <c r="C23" s="27">
        <v>6.2293000000000003</v>
      </c>
      <c r="D23" s="23">
        <f t="shared" si="46"/>
        <v>797.69410000000005</v>
      </c>
      <c r="E23" s="24">
        <f t="shared" si="47"/>
        <v>-0.30000000003838101</v>
      </c>
      <c r="F23" s="25">
        <f t="shared" si="48"/>
        <v>-2.6000000000294698</v>
      </c>
      <c r="G23" s="26">
        <f t="shared" si="49"/>
        <v>-0.15000000001919001</v>
      </c>
      <c r="H23" s="6">
        <v>7.3459999999999903</v>
      </c>
      <c r="I23" s="35">
        <f t="shared" si="50"/>
        <v>798.81079999999997</v>
      </c>
      <c r="J23" s="24">
        <f t="shared" si="51"/>
        <v>0</v>
      </c>
      <c r="K23" s="25">
        <f t="shared" si="52"/>
        <v>-1.8999999999778101</v>
      </c>
      <c r="L23" s="26">
        <f t="shared" si="53"/>
        <v>0</v>
      </c>
      <c r="M23" s="6">
        <v>6.4863999999999997</v>
      </c>
      <c r="N23" s="35">
        <f t="shared" si="54"/>
        <v>797.95119999999997</v>
      </c>
      <c r="O23" s="24">
        <f t="shared" si="55"/>
        <v>9.9999999974897905E-2</v>
      </c>
      <c r="P23" s="25">
        <f t="shared" si="56"/>
        <v>-2.6000000000294698</v>
      </c>
      <c r="Q23" s="26">
        <f t="shared" si="57"/>
        <v>4.9999999987449001E-2</v>
      </c>
      <c r="R23" s="41"/>
      <c r="S23" s="21">
        <f t="shared" si="35"/>
        <v>44683</v>
      </c>
      <c r="T23" s="42">
        <v>8.6326000000000001</v>
      </c>
      <c r="U23" s="43">
        <f t="shared" si="36"/>
        <v>9.99999999997669E-2</v>
      </c>
      <c r="V23" s="44">
        <f t="shared" si="37"/>
        <v>-2.4999999999995</v>
      </c>
      <c r="W23" s="45">
        <f t="shared" si="38"/>
        <v>-4.9999999999883499E-2</v>
      </c>
      <c r="X23" s="29">
        <v>11.7941</v>
      </c>
      <c r="Y23" s="43">
        <f t="shared" si="39"/>
        <v>9.99999999997669E-2</v>
      </c>
      <c r="Z23" s="44">
        <f t="shared" si="40"/>
        <v>-2.3999999999997401</v>
      </c>
      <c r="AA23" s="45">
        <f t="shared" si="41"/>
        <v>4.9999999999883499E-2</v>
      </c>
      <c r="AB23" s="49">
        <v>9.1089999999999893</v>
      </c>
      <c r="AC23" s="43">
        <f t="shared" si="42"/>
        <v>-0.50000000001126899</v>
      </c>
      <c r="AD23" s="44">
        <f t="shared" si="43"/>
        <v>-3.30000000001007</v>
      </c>
      <c r="AE23" s="45">
        <f t="shared" si="44"/>
        <v>-0.25000000000563499</v>
      </c>
      <c r="AF23" s="50">
        <v>79737</v>
      </c>
      <c r="AG23" s="58">
        <f t="shared" si="45"/>
        <v>106</v>
      </c>
      <c r="AH23" s="59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44685</v>
      </c>
      <c r="B24" s="22">
        <v>791.46479999999997</v>
      </c>
      <c r="C24" s="27">
        <v>6.2294</v>
      </c>
      <c r="D24" s="23">
        <f t="shared" si="46"/>
        <v>797.69420000000002</v>
      </c>
      <c r="E24" s="24">
        <f t="shared" si="47"/>
        <v>0.10000000008858501</v>
      </c>
      <c r="F24" s="25">
        <f t="shared" si="48"/>
        <v>-2.4999999999408802</v>
      </c>
      <c r="G24" s="26">
        <f t="shared" si="49"/>
        <v>5.0000000044292399E-2</v>
      </c>
      <c r="H24" s="6">
        <v>7.3458999999999897</v>
      </c>
      <c r="I24" s="35">
        <f t="shared" si="50"/>
        <v>798.8107</v>
      </c>
      <c r="J24" s="24">
        <f t="shared" si="51"/>
        <v>-9.9999999974897905E-2</v>
      </c>
      <c r="K24" s="25">
        <f t="shared" si="52"/>
        <v>-1.9999999999527101</v>
      </c>
      <c r="L24" s="26">
        <f t="shared" si="53"/>
        <v>-4.9999999987449001E-2</v>
      </c>
      <c r="M24" s="6">
        <v>6.4863</v>
      </c>
      <c r="N24" s="35">
        <f t="shared" si="54"/>
        <v>797.9511</v>
      </c>
      <c r="O24" s="24">
        <f t="shared" si="55"/>
        <v>-9.9999999974897905E-2</v>
      </c>
      <c r="P24" s="25">
        <f t="shared" si="56"/>
        <v>-2.70000000000437</v>
      </c>
      <c r="Q24" s="26">
        <f t="shared" si="57"/>
        <v>-4.9999999987449001E-2</v>
      </c>
      <c r="R24" s="41"/>
      <c r="S24" s="21">
        <f t="shared" si="35"/>
        <v>44685</v>
      </c>
      <c r="T24" s="42">
        <v>8.6320999999999994</v>
      </c>
      <c r="U24" s="43">
        <f t="shared" si="36"/>
        <v>-0.50000000000061096</v>
      </c>
      <c r="V24" s="44">
        <f t="shared" si="37"/>
        <v>-3.0000000000001101</v>
      </c>
      <c r="W24" s="45">
        <f t="shared" si="38"/>
        <v>0.25000000000030598</v>
      </c>
      <c r="X24" s="29">
        <v>11.793799999999999</v>
      </c>
      <c r="Y24" s="43">
        <f t="shared" si="39"/>
        <v>-0.30000000000107702</v>
      </c>
      <c r="Z24" s="44">
        <f t="shared" si="40"/>
        <v>-2.7000000000008102</v>
      </c>
      <c r="AA24" s="45">
        <f t="shared" si="41"/>
        <v>-0.15000000000053901</v>
      </c>
      <c r="AB24" s="49">
        <v>9.1087999999999898</v>
      </c>
      <c r="AC24" s="43">
        <f t="shared" si="42"/>
        <v>-0.19999999999953399</v>
      </c>
      <c r="AD24" s="44">
        <f t="shared" si="43"/>
        <v>-3.5000000000096101</v>
      </c>
      <c r="AE24" s="45">
        <f t="shared" si="44"/>
        <v>-9.99999999997669E-2</v>
      </c>
      <c r="AF24" s="50">
        <v>79743</v>
      </c>
      <c r="AG24" s="58">
        <f t="shared" si="45"/>
        <v>112</v>
      </c>
      <c r="AH24" s="59"/>
      <c r="AI24" s="52"/>
      <c r="AJ24" s="52"/>
      <c r="AK24" s="52"/>
      <c r="AL24" s="52"/>
      <c r="AM24" s="52"/>
    </row>
    <row r="25" spans="1:48">
      <c r="A25" s="21">
        <v>44687</v>
      </c>
      <c r="B25" s="22">
        <v>791.46479999999997</v>
      </c>
      <c r="C25" s="27">
        <v>6.2293000000000003</v>
      </c>
      <c r="D25" s="23">
        <f t="shared" si="46"/>
        <v>797.69410000000005</v>
      </c>
      <c r="E25" s="24">
        <f t="shared" si="47"/>
        <v>-0.10000000008858501</v>
      </c>
      <c r="F25" s="25">
        <f t="shared" si="48"/>
        <v>-2.6000000000294698</v>
      </c>
      <c r="G25" s="26">
        <f t="shared" si="49"/>
        <v>-5.0000000044292399E-2</v>
      </c>
      <c r="H25" s="6">
        <v>7.3459000000000003</v>
      </c>
      <c r="I25" s="35">
        <f t="shared" si="50"/>
        <v>798.8107</v>
      </c>
      <c r="J25" s="24">
        <f t="shared" si="51"/>
        <v>0</v>
      </c>
      <c r="K25" s="25">
        <f t="shared" si="52"/>
        <v>-1.9999999999527101</v>
      </c>
      <c r="L25" s="26">
        <f t="shared" si="53"/>
        <v>0</v>
      </c>
      <c r="M25" s="6">
        <v>6.4862000000000002</v>
      </c>
      <c r="N25" s="35">
        <f t="shared" si="54"/>
        <v>797.95100000000002</v>
      </c>
      <c r="O25" s="24">
        <f t="shared" si="55"/>
        <v>-9.9999999974897905E-2</v>
      </c>
      <c r="P25" s="25">
        <f t="shared" si="56"/>
        <v>-2.79999999997926</v>
      </c>
      <c r="Q25" s="26">
        <f t="shared" si="57"/>
        <v>-4.9999999987449001E-2</v>
      </c>
      <c r="R25" s="41"/>
      <c r="S25" s="21">
        <f t="shared" si="35"/>
        <v>44687</v>
      </c>
      <c r="T25" s="42">
        <v>8.6321999999999992</v>
      </c>
      <c r="U25" s="43">
        <f t="shared" si="36"/>
        <v>9.99999999997669E-2</v>
      </c>
      <c r="V25" s="44">
        <f t="shared" si="37"/>
        <v>-2.9000000000003499</v>
      </c>
      <c r="W25" s="45">
        <f t="shared" si="38"/>
        <v>-4.9999999999883499E-2</v>
      </c>
      <c r="X25" s="29">
        <v>11.793900000000001</v>
      </c>
      <c r="Y25" s="43">
        <f t="shared" si="39"/>
        <v>0.10000000000154299</v>
      </c>
      <c r="Z25" s="44">
        <f t="shared" si="40"/>
        <v>-2.59999999999927</v>
      </c>
      <c r="AA25" s="45">
        <f t="shared" si="41"/>
        <v>5.0000000000771601E-2</v>
      </c>
      <c r="AB25" s="49">
        <v>9.1084999999999994</v>
      </c>
      <c r="AC25" s="43">
        <f t="shared" si="42"/>
        <v>-0.29999999999041899</v>
      </c>
      <c r="AD25" s="44">
        <f t="shared" si="43"/>
        <v>-3.80000000000003</v>
      </c>
      <c r="AE25" s="45">
        <f t="shared" si="44"/>
        <v>-0.14999999999520999</v>
      </c>
      <c r="AF25" s="50">
        <v>79749</v>
      </c>
      <c r="AG25" s="58">
        <f t="shared" si="45"/>
        <v>118</v>
      </c>
      <c r="AH25" s="59"/>
      <c r="AI25" s="52"/>
      <c r="AJ25" s="52"/>
      <c r="AK25" s="52"/>
      <c r="AL25" s="52"/>
      <c r="AM25" s="52"/>
    </row>
    <row r="26" spans="1:48">
      <c r="A26" s="21">
        <v>44689</v>
      </c>
      <c r="B26" s="22">
        <v>791.46479999999997</v>
      </c>
      <c r="C26" s="27">
        <v>6.2291999999999996</v>
      </c>
      <c r="D26" s="23">
        <f t="shared" si="46"/>
        <v>797.69399999999996</v>
      </c>
      <c r="E26" s="24">
        <f t="shared" si="47"/>
        <v>-9.9999999974897905E-2</v>
      </c>
      <c r="F26" s="25">
        <f t="shared" si="48"/>
        <v>-2.70000000000437</v>
      </c>
      <c r="G26" s="26">
        <f t="shared" si="49"/>
        <v>-4.9999999987449001E-2</v>
      </c>
      <c r="H26" s="6">
        <v>7.3456999999999901</v>
      </c>
      <c r="I26" s="35">
        <f t="shared" si="50"/>
        <v>798.81050000000005</v>
      </c>
      <c r="J26" s="24">
        <f t="shared" si="51"/>
        <v>-0.20000000006348301</v>
      </c>
      <c r="K26" s="25">
        <f t="shared" si="52"/>
        <v>-2.2000000000161899</v>
      </c>
      <c r="L26" s="26">
        <f t="shared" si="53"/>
        <v>-0.100000000031741</v>
      </c>
      <c r="M26" s="6">
        <v>6.4861000000000004</v>
      </c>
      <c r="N26" s="35">
        <f t="shared" si="54"/>
        <v>797.95090000000005</v>
      </c>
      <c r="O26" s="24">
        <f t="shared" si="55"/>
        <v>-0.10000000008858501</v>
      </c>
      <c r="P26" s="25">
        <f t="shared" si="56"/>
        <v>-2.9000000000678501</v>
      </c>
      <c r="Q26" s="26">
        <f t="shared" si="57"/>
        <v>-5.0000000044292399E-2</v>
      </c>
      <c r="R26" s="41"/>
      <c r="S26" s="21">
        <f t="shared" si="35"/>
        <v>44689</v>
      </c>
      <c r="T26" s="42">
        <v>8.6317000000000093</v>
      </c>
      <c r="U26" s="43">
        <f t="shared" si="36"/>
        <v>-0.49999999998995298</v>
      </c>
      <c r="V26" s="44">
        <f t="shared" si="37"/>
        <v>-3.3999999999903001</v>
      </c>
      <c r="W26" s="45">
        <f t="shared" si="38"/>
        <v>0.24999999999497599</v>
      </c>
      <c r="X26" s="29">
        <v>11.793799999999999</v>
      </c>
      <c r="Y26" s="43">
        <f t="shared" si="39"/>
        <v>-0.10000000000154299</v>
      </c>
      <c r="Z26" s="44">
        <f t="shared" si="40"/>
        <v>-2.7000000000008102</v>
      </c>
      <c r="AA26" s="45">
        <f t="shared" si="41"/>
        <v>-5.0000000000771601E-2</v>
      </c>
      <c r="AB26" s="49">
        <v>9.1083999999999801</v>
      </c>
      <c r="AC26" s="43">
        <f t="shared" si="42"/>
        <v>-0.10000000001930701</v>
      </c>
      <c r="AD26" s="44">
        <f t="shared" si="43"/>
        <v>-3.9000000000193298</v>
      </c>
      <c r="AE26" s="45">
        <f t="shared" si="44"/>
        <v>-5.0000000009653399E-2</v>
      </c>
      <c r="AF26" s="50">
        <v>79755</v>
      </c>
      <c r="AG26" s="58">
        <f t="shared" si="45"/>
        <v>124</v>
      </c>
      <c r="AH26" s="59"/>
      <c r="AI26" s="60"/>
      <c r="AJ26" s="61"/>
      <c r="AK26" s="62"/>
      <c r="AL26" s="60"/>
      <c r="AM26" s="64"/>
    </row>
    <row r="27" spans="1:48">
      <c r="A27" s="21">
        <v>44691</v>
      </c>
      <c r="B27" s="22">
        <v>791.46479999999997</v>
      </c>
      <c r="C27" s="27">
        <v>6.2293000000000003</v>
      </c>
      <c r="D27" s="23">
        <f t="shared" si="46"/>
        <v>797.69410000000005</v>
      </c>
      <c r="E27" s="24">
        <f t="shared" ref="E27:E29" si="58">(D27-D26)*1000</f>
        <v>9.9999999974897905E-2</v>
      </c>
      <c r="F27" s="25">
        <f t="shared" ref="F27:F29" si="59">F26+E27</f>
        <v>-2.6000000000294698</v>
      </c>
      <c r="G27" s="26">
        <f t="shared" ref="G27:G29" si="60">E27/(A27-A26)</f>
        <v>4.9999999987449001E-2</v>
      </c>
      <c r="H27" s="6">
        <v>7.3459000000000003</v>
      </c>
      <c r="I27" s="35">
        <f t="shared" si="50"/>
        <v>798.8107</v>
      </c>
      <c r="J27" s="24">
        <f t="shared" ref="J27:J29" si="61">(I27-I26)*1000</f>
        <v>0.20000000006348301</v>
      </c>
      <c r="K27" s="25">
        <f t="shared" ref="K27:K29" si="62">K26+J27</f>
        <v>-1.9999999999527101</v>
      </c>
      <c r="L27" s="26">
        <f t="shared" ref="L27:L29" si="63">J27/(A27-A26)</f>
        <v>0.100000000031741</v>
      </c>
      <c r="M27" s="6">
        <v>6.4863</v>
      </c>
      <c r="N27" s="35">
        <f t="shared" si="54"/>
        <v>797.9511</v>
      </c>
      <c r="O27" s="24">
        <f t="shared" ref="O27:O29" si="64">(N27-N26)*1000</f>
        <v>0.20000000006348301</v>
      </c>
      <c r="P27" s="25">
        <f t="shared" ref="P27:P29" si="65">P26+O27</f>
        <v>-2.70000000000437</v>
      </c>
      <c r="Q27" s="26">
        <f t="shared" ref="Q27:Q29" si="66">O27/(A27-A26)</f>
        <v>0.100000000031741</v>
      </c>
      <c r="R27" s="41"/>
      <c r="S27" s="21">
        <f t="shared" si="35"/>
        <v>44691</v>
      </c>
      <c r="T27" s="42">
        <v>8.6318000000000001</v>
      </c>
      <c r="U27" s="43">
        <f t="shared" ref="U27:U29" si="67">(T27-T26)*1000</f>
        <v>9.9999999990885199E-2</v>
      </c>
      <c r="V27" s="44">
        <f t="shared" ref="V27:V29" si="68">V26+U27</f>
        <v>-3.2999999999994101</v>
      </c>
      <c r="W27" s="45">
        <f t="shared" ref="W27:W29" si="69">U27/(S26-S27)</f>
        <v>-4.99999999954426E-2</v>
      </c>
      <c r="X27" s="29">
        <v>11.7935</v>
      </c>
      <c r="Y27" s="43">
        <f t="shared" ref="Y27:Y29" si="70">(X27-X26)*1000</f>
        <v>-0.29999999999930099</v>
      </c>
      <c r="Z27" s="44">
        <f t="shared" ref="Z27:Z29" si="71">Z26+Y27</f>
        <v>-3.0000000000001101</v>
      </c>
      <c r="AA27" s="45">
        <f t="shared" ref="AA27:AA29" si="72">Y27/(S27-S26)</f>
        <v>-0.14999999999965</v>
      </c>
      <c r="AB27" s="49">
        <v>9.1087000000000007</v>
      </c>
      <c r="AC27" s="43">
        <f t="shared" ref="AC27:AC29" si="73">(AB27-AB26)*1000</f>
        <v>0.300000000020617</v>
      </c>
      <c r="AD27" s="44">
        <f t="shared" ref="AD27:AD29" si="74">AD26+AC27</f>
        <v>-3.5999999999987198</v>
      </c>
      <c r="AE27" s="45">
        <f t="shared" ref="AE27:AE29" si="75">AC27/(S27-S26)</f>
        <v>0.150000000010309</v>
      </c>
      <c r="AF27" s="50">
        <v>79761</v>
      </c>
      <c r="AG27" s="58">
        <f t="shared" si="45"/>
        <v>130</v>
      </c>
      <c r="AH27" s="59"/>
      <c r="AI27" s="60"/>
      <c r="AJ27" s="61"/>
      <c r="AK27" s="62"/>
      <c r="AL27" s="60"/>
      <c r="AM27" s="64"/>
    </row>
    <row r="28" spans="1:48">
      <c r="A28" s="21">
        <v>44693</v>
      </c>
      <c r="B28" s="22">
        <v>791.46479999999997</v>
      </c>
      <c r="C28" s="27">
        <v>6.2290999999999999</v>
      </c>
      <c r="D28" s="23">
        <f t="shared" si="46"/>
        <v>797.69389999999999</v>
      </c>
      <c r="E28" s="24">
        <f t="shared" si="58"/>
        <v>-0.199999999949796</v>
      </c>
      <c r="F28" s="25">
        <f t="shared" si="59"/>
        <v>-2.79999999997926</v>
      </c>
      <c r="G28" s="26">
        <f t="shared" si="60"/>
        <v>-9.9999999974897905E-2</v>
      </c>
      <c r="H28" s="6">
        <v>7.3457999999999997</v>
      </c>
      <c r="I28" s="35">
        <f t="shared" si="50"/>
        <v>798.81060000000002</v>
      </c>
      <c r="J28" s="24">
        <f t="shared" si="61"/>
        <v>-9.9999999974897905E-2</v>
      </c>
      <c r="K28" s="25">
        <f t="shared" si="62"/>
        <v>-2.0999999999275998</v>
      </c>
      <c r="L28" s="26">
        <f t="shared" si="63"/>
        <v>-4.9999999987449001E-2</v>
      </c>
      <c r="M28" s="6">
        <v>6.4863999999999997</v>
      </c>
      <c r="N28" s="35">
        <f t="shared" si="54"/>
        <v>797.95119999999997</v>
      </c>
      <c r="O28" s="24">
        <f t="shared" si="64"/>
        <v>9.9999999974897905E-2</v>
      </c>
      <c r="P28" s="25">
        <f t="shared" si="65"/>
        <v>-2.6000000000294698</v>
      </c>
      <c r="Q28" s="26">
        <f t="shared" si="66"/>
        <v>4.9999999987449001E-2</v>
      </c>
      <c r="R28" s="41"/>
      <c r="S28" s="21">
        <f t="shared" si="35"/>
        <v>44693</v>
      </c>
      <c r="T28" s="42">
        <v>8.6320999999999994</v>
      </c>
      <c r="U28" s="43">
        <f t="shared" si="67"/>
        <v>0.29999999999930099</v>
      </c>
      <c r="V28" s="44">
        <f t="shared" si="68"/>
        <v>-3.0000000000001101</v>
      </c>
      <c r="W28" s="45">
        <f t="shared" si="69"/>
        <v>-0.14999999999965</v>
      </c>
      <c r="X28" s="29">
        <v>11.793699999999999</v>
      </c>
      <c r="Y28" s="43">
        <f t="shared" si="70"/>
        <v>0.19999999999953399</v>
      </c>
      <c r="Z28" s="44">
        <f t="shared" si="71"/>
        <v>-2.8000000000005798</v>
      </c>
      <c r="AA28" s="45">
        <f t="shared" si="72"/>
        <v>9.99999999997669E-2</v>
      </c>
      <c r="AB28" s="49">
        <v>9.1084999999999994</v>
      </c>
      <c r="AC28" s="43">
        <f t="shared" si="73"/>
        <v>-0.20000000000130999</v>
      </c>
      <c r="AD28" s="44">
        <f t="shared" si="74"/>
        <v>-3.80000000000003</v>
      </c>
      <c r="AE28" s="45">
        <f t="shared" si="75"/>
        <v>-0.100000000000655</v>
      </c>
      <c r="AF28" s="50">
        <v>79765</v>
      </c>
      <c r="AG28" s="58">
        <f t="shared" si="45"/>
        <v>134</v>
      </c>
      <c r="AH28" s="59"/>
      <c r="AI28" s="60"/>
      <c r="AJ28" s="61"/>
      <c r="AK28" s="62"/>
      <c r="AL28" s="60"/>
      <c r="AM28" s="64"/>
    </row>
    <row r="29" spans="1:48">
      <c r="A29" s="21">
        <v>44695</v>
      </c>
      <c r="B29" s="22">
        <v>791.46479999999997</v>
      </c>
      <c r="C29" s="27">
        <v>6.2294999999999998</v>
      </c>
      <c r="D29" s="23">
        <f t="shared" si="46"/>
        <v>797.6943</v>
      </c>
      <c r="E29" s="24">
        <f t="shared" si="58"/>
        <v>0.40000000001327901</v>
      </c>
      <c r="F29" s="25">
        <f t="shared" si="59"/>
        <v>-2.39999999996598</v>
      </c>
      <c r="G29" s="26">
        <f t="shared" si="60"/>
        <v>0.20000000000663901</v>
      </c>
      <c r="H29" s="6">
        <v>7.3460000000000001</v>
      </c>
      <c r="I29" s="35">
        <f t="shared" si="50"/>
        <v>798.81079999999997</v>
      </c>
      <c r="J29" s="24">
        <f t="shared" si="61"/>
        <v>0.199999999949796</v>
      </c>
      <c r="K29" s="25">
        <f t="shared" si="62"/>
        <v>-1.8999999999778101</v>
      </c>
      <c r="L29" s="26">
        <f t="shared" si="63"/>
        <v>9.9999999974897905E-2</v>
      </c>
      <c r="M29" s="6">
        <v>6.4865000000000004</v>
      </c>
      <c r="N29" s="35">
        <f t="shared" si="54"/>
        <v>797.95129999999995</v>
      </c>
      <c r="O29" s="24">
        <f t="shared" si="64"/>
        <v>9.9999999974897905E-2</v>
      </c>
      <c r="P29" s="25">
        <f t="shared" si="65"/>
        <v>-2.5000000000545701</v>
      </c>
      <c r="Q29" s="26">
        <f t="shared" si="66"/>
        <v>4.9999999987449001E-2</v>
      </c>
      <c r="R29" s="41"/>
      <c r="S29" s="21">
        <f t="shared" si="35"/>
        <v>44695</v>
      </c>
      <c r="T29" s="42">
        <v>8.6319999999999997</v>
      </c>
      <c r="U29" s="43">
        <f t="shared" si="67"/>
        <v>-9.99999999997669E-2</v>
      </c>
      <c r="V29" s="44">
        <f t="shared" si="68"/>
        <v>-3.0999999999998802</v>
      </c>
      <c r="W29" s="45">
        <f t="shared" si="69"/>
        <v>4.9999999999883499E-2</v>
      </c>
      <c r="X29" s="29">
        <v>11.793900000000001</v>
      </c>
      <c r="Y29" s="43">
        <f t="shared" si="70"/>
        <v>0.20000000000130999</v>
      </c>
      <c r="Z29" s="44">
        <f t="shared" si="71"/>
        <v>-2.59999999999927</v>
      </c>
      <c r="AA29" s="45">
        <f t="shared" si="72"/>
        <v>0.100000000000655</v>
      </c>
      <c r="AB29" s="49">
        <v>9.1085999999999991</v>
      </c>
      <c r="AC29" s="43">
        <f t="shared" si="73"/>
        <v>9.99999999997669E-2</v>
      </c>
      <c r="AD29" s="44">
        <f t="shared" si="74"/>
        <v>-3.70000000000026</v>
      </c>
      <c r="AE29" s="45">
        <f t="shared" si="75"/>
        <v>4.9999999999883499E-2</v>
      </c>
      <c r="AF29" s="50">
        <v>79777</v>
      </c>
      <c r="AG29" s="58">
        <f t="shared" si="45"/>
        <v>146</v>
      </c>
      <c r="AH29" s="59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F29-F14</f>
        <v>-0.90000000000145497</v>
      </c>
      <c r="F30" s="33">
        <f>K29-K14</f>
        <v>-0.90000000000145497</v>
      </c>
      <c r="G30" s="33">
        <f>P29-P14</f>
        <v>-0.80000000002655702</v>
      </c>
      <c r="H30" s="33">
        <f>F29</f>
        <v>-2.39999999996598</v>
      </c>
      <c r="I30" s="66">
        <f>K29</f>
        <v>-1.8999999999778101</v>
      </c>
      <c r="J30" s="65">
        <f>P29</f>
        <v>-2.5000000000545701</v>
      </c>
      <c r="K30" s="33">
        <f>(K29-K14)/25</f>
        <v>-3.6000000000058201E-2</v>
      </c>
      <c r="L30" s="26"/>
      <c r="N30" s="35"/>
      <c r="O30" s="24"/>
      <c r="P30" s="25"/>
      <c r="Q30" s="26"/>
      <c r="R30" s="41"/>
      <c r="S30" s="21"/>
      <c r="T30" s="42"/>
      <c r="U30" s="65">
        <f>V29-V14</f>
        <v>-2.10000000000043</v>
      </c>
      <c r="V30" s="33">
        <f>Z29-Z14</f>
        <v>-1.0999999999992101</v>
      </c>
      <c r="W30" s="33">
        <f>AD29-AD14</f>
        <v>-2.2000000000002</v>
      </c>
      <c r="X30" s="33">
        <f>V29</f>
        <v>-3.0999999999998802</v>
      </c>
      <c r="Y30" s="65">
        <f>Z29</f>
        <v>-2.59999999999927</v>
      </c>
      <c r="Z30" s="33">
        <f>AD29</f>
        <v>-3.70000000000026</v>
      </c>
      <c r="AA30" s="33">
        <f>(V29-V14)/25</f>
        <v>-8.4000000000017394E-2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Q25" workbookViewId="0">
      <selection activeCell="U27" sqref="U27:AA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44669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44669</v>
      </c>
      <c r="B6" s="22">
        <v>791.46479999999997</v>
      </c>
      <c r="C6" s="27">
        <v>6.4146000000000001</v>
      </c>
      <c r="D6" s="23">
        <f>C6+B6</f>
        <v>797.87940000000003</v>
      </c>
      <c r="E6" s="24">
        <v>0</v>
      </c>
      <c r="F6" s="25">
        <v>0</v>
      </c>
      <c r="G6" s="26">
        <v>0</v>
      </c>
      <c r="H6" s="6">
        <v>7.6752000000000002</v>
      </c>
      <c r="I6" s="35">
        <f>H6+B6</f>
        <v>799.14</v>
      </c>
      <c r="J6" s="24">
        <v>0</v>
      </c>
      <c r="K6" s="25">
        <v>0</v>
      </c>
      <c r="L6" s="26">
        <v>0</v>
      </c>
      <c r="M6" s="6">
        <v>5.7388000000000003</v>
      </c>
      <c r="N6" s="35">
        <f>M6+B6</f>
        <v>797.20360000000005</v>
      </c>
      <c r="O6" s="24">
        <v>0</v>
      </c>
      <c r="P6" s="25">
        <v>0</v>
      </c>
      <c r="Q6" s="26">
        <v>0</v>
      </c>
      <c r="R6" s="41"/>
      <c r="S6" s="21">
        <f>A6</f>
        <v>44669</v>
      </c>
      <c r="T6" s="42">
        <v>8.9095999999999993</v>
      </c>
      <c r="U6" s="43">
        <v>0</v>
      </c>
      <c r="V6" s="44">
        <v>0</v>
      </c>
      <c r="W6" s="45">
        <f>U6/(S6-S11)</f>
        <v>0</v>
      </c>
      <c r="X6" s="29">
        <v>11.9855</v>
      </c>
      <c r="Y6" s="43">
        <v>0</v>
      </c>
      <c r="Z6" s="44">
        <v>0</v>
      </c>
      <c r="AA6" s="45">
        <v>0</v>
      </c>
      <c r="AB6" s="49">
        <v>8.8251000000000008</v>
      </c>
      <c r="AC6" s="43">
        <v>0</v>
      </c>
      <c r="AD6" s="44">
        <v>0</v>
      </c>
      <c r="AE6" s="45">
        <v>0</v>
      </c>
      <c r="AF6" s="50">
        <v>79665</v>
      </c>
      <c r="AG6" s="58">
        <f>AF6-79657</f>
        <v>8</v>
      </c>
      <c r="AH6" s="59"/>
      <c r="AI6" s="60"/>
      <c r="AJ6" s="61"/>
      <c r="AK6" s="62"/>
      <c r="AL6" s="52"/>
      <c r="AM6" s="52"/>
    </row>
    <row r="7" spans="1:48">
      <c r="A7" s="21">
        <v>44670</v>
      </c>
      <c r="B7" s="22">
        <v>791.46479999999997</v>
      </c>
      <c r="C7" s="27">
        <v>6.4142999999999999</v>
      </c>
      <c r="D7" s="23">
        <f>C7+B7</f>
        <v>797.87909999999999</v>
      </c>
      <c r="E7" s="24">
        <f>(D7-D6)*1000</f>
        <v>-0.29999999992469401</v>
      </c>
      <c r="F7" s="25">
        <f>F6+E7</f>
        <v>-0.29999999992469401</v>
      </c>
      <c r="G7" s="26">
        <f>E7/(A7-A6)</f>
        <v>-0.29999999992469401</v>
      </c>
      <c r="H7" s="6">
        <v>7.6749999999999998</v>
      </c>
      <c r="I7" s="35">
        <f>H7+B7</f>
        <v>799.13980000000004</v>
      </c>
      <c r="J7" s="24">
        <f>(I7-I6)*1000</f>
        <v>-0.20000000006348301</v>
      </c>
      <c r="K7" s="25">
        <f>K6+J7</f>
        <v>-0.20000000006348301</v>
      </c>
      <c r="L7" s="26">
        <f>J7/(A7-A6)</f>
        <v>-0.20000000006348301</v>
      </c>
      <c r="M7" s="6">
        <v>5.7384000000000004</v>
      </c>
      <c r="N7" s="35">
        <f>M7+B7</f>
        <v>797.20320000000004</v>
      </c>
      <c r="O7" s="24">
        <f>(N7-N6)*1000</f>
        <v>-0.40000000001327901</v>
      </c>
      <c r="P7" s="25">
        <f>P6+O7</f>
        <v>-0.40000000001327901</v>
      </c>
      <c r="Q7" s="26">
        <f>O7/(A7-A6)</f>
        <v>-0.40000000001327901</v>
      </c>
      <c r="R7" s="41"/>
      <c r="S7" s="21">
        <f>A7</f>
        <v>44670</v>
      </c>
      <c r="T7" s="42">
        <v>8.9093999999999998</v>
      </c>
      <c r="U7" s="43">
        <f>(T7-T6)*1000</f>
        <v>-0.19999999999953399</v>
      </c>
      <c r="V7" s="44">
        <f>V6+U7</f>
        <v>-0.19999999999953399</v>
      </c>
      <c r="W7" s="45">
        <f>U7/(S6-S7)</f>
        <v>0.19999999999953399</v>
      </c>
      <c r="X7" s="29">
        <v>11.985300000000001</v>
      </c>
      <c r="Y7" s="43">
        <f>(X7-X6)*1000</f>
        <v>-0.19999999999953399</v>
      </c>
      <c r="Z7" s="44">
        <f>Z6+Y7</f>
        <v>-0.19999999999953399</v>
      </c>
      <c r="AA7" s="45">
        <f>Y7/(S7-S6)</f>
        <v>-0.19999999999953399</v>
      </c>
      <c r="AB7" s="49">
        <v>8.8254999999999999</v>
      </c>
      <c r="AC7" s="43">
        <f>(AB7-AB6)*1000</f>
        <v>0.39999999999906799</v>
      </c>
      <c r="AD7" s="44">
        <f>AD6+AC7</f>
        <v>0.39999999999906799</v>
      </c>
      <c r="AE7" s="45">
        <f>AC7/(S7-S6)</f>
        <v>0.39999999999906799</v>
      </c>
      <c r="AF7" s="50">
        <v>79669</v>
      </c>
      <c r="AG7" s="58">
        <f t="shared" ref="AG7:AG26" si="0">AF7-79657</f>
        <v>12</v>
      </c>
      <c r="AH7" s="59"/>
      <c r="AI7" s="60"/>
      <c r="AJ7" s="61"/>
      <c r="AK7" s="62"/>
      <c r="AL7" s="52"/>
      <c r="AM7" s="52"/>
    </row>
    <row r="8" spans="1:48">
      <c r="A8" s="21">
        <v>44671</v>
      </c>
      <c r="B8" s="22">
        <v>791.46479999999997</v>
      </c>
      <c r="C8" s="27">
        <v>6.4139999999999997</v>
      </c>
      <c r="D8" s="23">
        <f>C8+B8</f>
        <v>797.87879999999996</v>
      </c>
      <c r="E8" s="24">
        <f>(D8-D7)*1000</f>
        <v>-0.30000000003838101</v>
      </c>
      <c r="F8" s="25">
        <f>F7+E8</f>
        <v>-0.59999999996307496</v>
      </c>
      <c r="G8" s="26">
        <f>E8/(A8-A7)</f>
        <v>-0.30000000003838101</v>
      </c>
      <c r="H8" s="6">
        <v>7.6745000000000001</v>
      </c>
      <c r="I8" s="35">
        <f>H8+B8</f>
        <v>799.13930000000005</v>
      </c>
      <c r="J8" s="24">
        <f>(I8-I7)*1000</f>
        <v>-0.49999999998817701</v>
      </c>
      <c r="K8" s="25">
        <f>K7+J8</f>
        <v>-0.70000000005165897</v>
      </c>
      <c r="L8" s="26">
        <f>J8/(A8-A7)</f>
        <v>-0.49999999998817701</v>
      </c>
      <c r="M8" s="6">
        <v>5.7382</v>
      </c>
      <c r="N8" s="35">
        <f>M8+B8</f>
        <v>797.20299999999997</v>
      </c>
      <c r="O8" s="24">
        <f>(N8-N7)*1000</f>
        <v>-0.199999999949796</v>
      </c>
      <c r="P8" s="25">
        <f>P7+O8</f>
        <v>-0.59999999996307496</v>
      </c>
      <c r="Q8" s="26">
        <f>O8/(A8-A7)</f>
        <v>-0.199999999949796</v>
      </c>
      <c r="R8" s="41"/>
      <c r="S8" s="21">
        <f>A8</f>
        <v>44671</v>
      </c>
      <c r="T8" s="42">
        <v>8.9092000000000002</v>
      </c>
      <c r="U8" s="43">
        <f>(T8-T7)*1000</f>
        <v>-0.19999999999953399</v>
      </c>
      <c r="V8" s="44">
        <f>V7+U8</f>
        <v>-0.39999999999906799</v>
      </c>
      <c r="W8" s="45">
        <f>U8/(S7-S8)</f>
        <v>0.19999999999953399</v>
      </c>
      <c r="X8" s="29">
        <v>11.985200000000001</v>
      </c>
      <c r="Y8" s="43">
        <f>(X8-X7)*1000</f>
        <v>-9.99999999997669E-2</v>
      </c>
      <c r="Z8" s="44">
        <f>Z7+Y8</f>
        <v>-0.29999999999930099</v>
      </c>
      <c r="AA8" s="45">
        <f>Y8/(S8-S7)</f>
        <v>-9.99999999997669E-2</v>
      </c>
      <c r="AB8" s="49">
        <v>8.8249999999999993</v>
      </c>
      <c r="AC8" s="43">
        <f>(AB8-AB7)*1000</f>
        <v>-0.50000000000061096</v>
      </c>
      <c r="AD8" s="44">
        <f>AD7+AC8</f>
        <v>-0.10000000000154299</v>
      </c>
      <c r="AE8" s="45">
        <f>AC8/(S8-S7)</f>
        <v>-0.50000000000061096</v>
      </c>
      <c r="AF8" s="50">
        <v>79674</v>
      </c>
      <c r="AG8" s="58">
        <f t="shared" si="0"/>
        <v>17</v>
      </c>
      <c r="AH8" s="59"/>
      <c r="AI8" s="60"/>
      <c r="AJ8" s="61"/>
      <c r="AK8" s="62"/>
      <c r="AL8" s="52"/>
      <c r="AM8" s="52"/>
    </row>
    <row r="9" spans="1:48">
      <c r="A9" s="21">
        <v>44672</v>
      </c>
      <c r="B9" s="22">
        <v>791.46479999999997</v>
      </c>
      <c r="C9" s="27">
        <v>6.4138000000000002</v>
      </c>
      <c r="D9" s="23">
        <f t="shared" ref="D9:D20" si="1">C9+B9</f>
        <v>797.87860000000001</v>
      </c>
      <c r="E9" s="24">
        <f t="shared" ref="E9:E20" si="2">(D9-D8)*1000</f>
        <v>-0.199999999949796</v>
      </c>
      <c r="F9" s="25">
        <f t="shared" ref="F9:F20" si="3">F8+E9</f>
        <v>-0.79999999991286996</v>
      </c>
      <c r="G9" s="26">
        <f t="shared" ref="G9:G20" si="4">E9/(A9-A8)</f>
        <v>-0.199999999949796</v>
      </c>
      <c r="H9" s="6">
        <v>7.6744000000000003</v>
      </c>
      <c r="I9" s="35">
        <f t="shared" ref="I9:I20" si="5">H9+B9</f>
        <v>799.13919999999996</v>
      </c>
      <c r="J9" s="24">
        <f t="shared" ref="J9:J20" si="6">(I9-I8)*1000</f>
        <v>-9.9999999974897905E-2</v>
      </c>
      <c r="K9" s="25">
        <f t="shared" ref="K9:K20" si="7">K8+J9</f>
        <v>-0.80000000002655702</v>
      </c>
      <c r="L9" s="26">
        <f t="shared" ref="L9:L20" si="8">J9/(A9-A8)</f>
        <v>-9.9999999974897905E-2</v>
      </c>
      <c r="M9" s="6">
        <v>5.7380000000000004</v>
      </c>
      <c r="N9" s="35">
        <f t="shared" ref="N9:N20" si="9">M9+B9</f>
        <v>797.20280000000002</v>
      </c>
      <c r="O9" s="24">
        <f t="shared" ref="O9:O20" si="10">(N9-N8)*1000</f>
        <v>-0.199999999949796</v>
      </c>
      <c r="P9" s="25">
        <f t="shared" ref="P9:P20" si="11">P8+O9</f>
        <v>-0.79999999991286996</v>
      </c>
      <c r="Q9" s="26">
        <f t="shared" ref="Q9:Q20" si="12">O9/(A9-A8)</f>
        <v>-0.199999999949796</v>
      </c>
      <c r="R9" s="41"/>
      <c r="S9" s="21">
        <f t="shared" ref="S9:S26" si="13">A9</f>
        <v>44672</v>
      </c>
      <c r="T9" s="42">
        <v>8.9080999999999992</v>
      </c>
      <c r="U9" s="43">
        <f t="shared" ref="U9:U26" si="14">(T9-T8)*1000</f>
        <v>-1.10000000000099</v>
      </c>
      <c r="V9" s="44">
        <f t="shared" ref="V9:V26" si="15">V8+U9</f>
        <v>-1.50000000000006</v>
      </c>
      <c r="W9" s="45">
        <f t="shared" ref="W9:W26" si="16">U9/(S8-S9)</f>
        <v>1.10000000000099</v>
      </c>
      <c r="X9" s="29">
        <v>11.985099999999999</v>
      </c>
      <c r="Y9" s="43">
        <f t="shared" ref="Y9:Y26" si="17">(X9-X8)*1000</f>
        <v>-0.10000000000154299</v>
      </c>
      <c r="Z9" s="44">
        <f t="shared" ref="Z9:Z26" si="18">Z8+Y9</f>
        <v>-0.40000000000084401</v>
      </c>
      <c r="AA9" s="45">
        <f t="shared" ref="AA9:AA26" si="19">Y9/(S9-S8)</f>
        <v>-0.10000000000154299</v>
      </c>
      <c r="AB9" s="49">
        <v>8.8247999999999998</v>
      </c>
      <c r="AC9" s="43">
        <f t="shared" ref="AC9:AC26" si="20">(AB9-AB8)*1000</f>
        <v>-0.19999999999953399</v>
      </c>
      <c r="AD9" s="44">
        <f t="shared" ref="AD9:AD26" si="21">AD8+AC9</f>
        <v>-0.30000000000107702</v>
      </c>
      <c r="AE9" s="45">
        <f t="shared" ref="AE9:AE26" si="22">AC9/(S9-S8)</f>
        <v>-0.19999999999953399</v>
      </c>
      <c r="AF9" s="50">
        <v>79679</v>
      </c>
      <c r="AG9" s="58">
        <f t="shared" si="0"/>
        <v>22</v>
      </c>
      <c r="AH9" s="61"/>
      <c r="AI9" s="60"/>
      <c r="AJ9"/>
      <c r="AK9"/>
      <c r="AL9"/>
      <c r="AM9"/>
    </row>
    <row r="10" spans="1:48">
      <c r="A10" s="21">
        <v>44673</v>
      </c>
      <c r="B10" s="22">
        <v>791.46479999999997</v>
      </c>
      <c r="C10" s="27">
        <v>6.4134000000000002</v>
      </c>
      <c r="D10" s="23">
        <f t="shared" si="1"/>
        <v>797.87819999999999</v>
      </c>
      <c r="E10" s="24">
        <f t="shared" si="2"/>
        <v>-0.40000000001327901</v>
      </c>
      <c r="F10" s="25">
        <f t="shared" si="3"/>
        <v>-1.1999999999261499</v>
      </c>
      <c r="G10" s="26">
        <f t="shared" si="4"/>
        <v>-0.40000000001327901</v>
      </c>
      <c r="H10" s="6">
        <v>7.6742999999999997</v>
      </c>
      <c r="I10" s="35">
        <f t="shared" si="5"/>
        <v>799.13909999999998</v>
      </c>
      <c r="J10" s="24">
        <f t="shared" si="6"/>
        <v>-9.9999999974897905E-2</v>
      </c>
      <c r="K10" s="25">
        <f t="shared" si="7"/>
        <v>-0.90000000000145497</v>
      </c>
      <c r="L10" s="26">
        <f t="shared" si="8"/>
        <v>-9.9999999974897905E-2</v>
      </c>
      <c r="M10" s="6">
        <v>5.7381000000000002</v>
      </c>
      <c r="N10" s="35">
        <f t="shared" si="9"/>
        <v>797.2029</v>
      </c>
      <c r="O10" s="24">
        <f t="shared" si="10"/>
        <v>9.9999999974897905E-2</v>
      </c>
      <c r="P10" s="25">
        <f t="shared" si="11"/>
        <v>-0.69999999993797202</v>
      </c>
      <c r="Q10" s="26">
        <f t="shared" si="12"/>
        <v>9.9999999974897905E-2</v>
      </c>
      <c r="R10" s="41"/>
      <c r="S10" s="21">
        <f t="shared" si="13"/>
        <v>44673</v>
      </c>
      <c r="T10" s="42">
        <v>8.9087999999999994</v>
      </c>
      <c r="U10" s="43">
        <f t="shared" si="14"/>
        <v>0.70000000000014495</v>
      </c>
      <c r="V10" s="44">
        <f t="shared" si="15"/>
        <v>-0.799999999999912</v>
      </c>
      <c r="W10" s="45">
        <f t="shared" si="16"/>
        <v>-0.70000000000014495</v>
      </c>
      <c r="X10" s="29">
        <v>11.985300000000001</v>
      </c>
      <c r="Y10" s="43">
        <f t="shared" si="17"/>
        <v>0.20000000000130999</v>
      </c>
      <c r="Z10" s="44">
        <f t="shared" si="18"/>
        <v>-0.19999999999953399</v>
      </c>
      <c r="AA10" s="45">
        <f t="shared" si="19"/>
        <v>0.20000000000130999</v>
      </c>
      <c r="AB10" s="49">
        <v>8.8245000000000005</v>
      </c>
      <c r="AC10" s="43">
        <f t="shared" si="20"/>
        <v>-0.29999999999930099</v>
      </c>
      <c r="AD10" s="44">
        <f t="shared" si="21"/>
        <v>-0.60000000000037801</v>
      </c>
      <c r="AE10" s="45">
        <f t="shared" si="22"/>
        <v>-0.29999999999930099</v>
      </c>
      <c r="AF10" s="50">
        <v>79684</v>
      </c>
      <c r="AG10" s="58">
        <f t="shared" si="0"/>
        <v>27</v>
      </c>
      <c r="AH10" s="59"/>
      <c r="AI10" s="60"/>
      <c r="AJ10" s="61"/>
      <c r="AK10" s="62"/>
      <c r="AL10" s="52"/>
      <c r="AM10" s="52"/>
    </row>
    <row r="11" spans="1:48">
      <c r="A11" s="21">
        <v>44674</v>
      </c>
      <c r="B11" s="22">
        <v>791.46479999999997</v>
      </c>
      <c r="C11" s="27">
        <v>6.4131999999999998</v>
      </c>
      <c r="D11" s="23">
        <f t="shared" si="1"/>
        <v>797.87800000000004</v>
      </c>
      <c r="E11" s="24">
        <f t="shared" si="2"/>
        <v>-0.20000000006348301</v>
      </c>
      <c r="F11" s="25">
        <f t="shared" si="3"/>
        <v>-1.39999999998963</v>
      </c>
      <c r="G11" s="26">
        <f t="shared" si="4"/>
        <v>-0.20000000006348301</v>
      </c>
      <c r="H11" s="6">
        <v>7.6742999999999997</v>
      </c>
      <c r="I11" s="35">
        <f t="shared" si="5"/>
        <v>799.13909999999998</v>
      </c>
      <c r="J11" s="24">
        <f t="shared" si="6"/>
        <v>0</v>
      </c>
      <c r="K11" s="25">
        <f t="shared" si="7"/>
        <v>-0.90000000000145497</v>
      </c>
      <c r="L11" s="26">
        <f t="shared" si="8"/>
        <v>0</v>
      </c>
      <c r="M11" s="6">
        <v>5.7375999999999996</v>
      </c>
      <c r="N11" s="35">
        <f t="shared" si="9"/>
        <v>797.20240000000001</v>
      </c>
      <c r="O11" s="24">
        <f t="shared" si="10"/>
        <v>-0.49999999998817701</v>
      </c>
      <c r="P11" s="25">
        <f t="shared" si="11"/>
        <v>-1.1999999999261499</v>
      </c>
      <c r="Q11" s="26">
        <f t="shared" si="12"/>
        <v>-0.49999999998817701</v>
      </c>
      <c r="R11" s="41"/>
      <c r="S11" s="21">
        <f t="shared" si="13"/>
        <v>44674</v>
      </c>
      <c r="T11" s="42">
        <v>8.9085999999999999</v>
      </c>
      <c r="U11" s="43">
        <f t="shared" si="14"/>
        <v>-0.19999999999953399</v>
      </c>
      <c r="V11" s="44">
        <f t="shared" si="15"/>
        <v>-0.999999999999446</v>
      </c>
      <c r="W11" s="45">
        <f t="shared" si="16"/>
        <v>0.19999999999953399</v>
      </c>
      <c r="X11" s="29">
        <v>11.9849</v>
      </c>
      <c r="Y11" s="43">
        <f t="shared" si="17"/>
        <v>-0.40000000000084401</v>
      </c>
      <c r="Z11" s="44">
        <f t="shared" si="18"/>
        <v>-0.60000000000037801</v>
      </c>
      <c r="AA11" s="45">
        <f t="shared" si="19"/>
        <v>-0.40000000000084401</v>
      </c>
      <c r="AB11" s="49">
        <v>8.8244000000000007</v>
      </c>
      <c r="AC11" s="43">
        <f t="shared" si="20"/>
        <v>-9.99999999997669E-2</v>
      </c>
      <c r="AD11" s="44">
        <f t="shared" si="21"/>
        <v>-0.70000000000014495</v>
      </c>
      <c r="AE11" s="45">
        <f t="shared" si="22"/>
        <v>-9.99999999997669E-2</v>
      </c>
      <c r="AF11" s="50">
        <v>79689</v>
      </c>
      <c r="AG11" s="58">
        <f t="shared" si="0"/>
        <v>32</v>
      </c>
      <c r="AH11" s="59"/>
      <c r="AI11" s="60"/>
      <c r="AJ11" s="52"/>
      <c r="AK11" s="52"/>
      <c r="AL11" s="52"/>
      <c r="AM11" s="52"/>
    </row>
    <row r="12" spans="1:48">
      <c r="A12" s="21">
        <v>44675</v>
      </c>
      <c r="B12" s="22">
        <v>791.46479999999997</v>
      </c>
      <c r="C12" s="27">
        <v>6.4132999999999996</v>
      </c>
      <c r="D12" s="23">
        <f t="shared" si="1"/>
        <v>797.87810000000002</v>
      </c>
      <c r="E12" s="24">
        <f t="shared" si="2"/>
        <v>0.10000000008858501</v>
      </c>
      <c r="F12" s="25">
        <f t="shared" si="3"/>
        <v>-1.2999999999010501</v>
      </c>
      <c r="G12" s="26">
        <f t="shared" si="4"/>
        <v>0.10000000008858501</v>
      </c>
      <c r="H12" s="6">
        <v>7.6741000000000001</v>
      </c>
      <c r="I12" s="35">
        <f t="shared" si="5"/>
        <v>799.13890000000004</v>
      </c>
      <c r="J12" s="24">
        <f t="shared" si="6"/>
        <v>-0.20000000006348301</v>
      </c>
      <c r="K12" s="25">
        <f t="shared" si="7"/>
        <v>-1.1000000000649399</v>
      </c>
      <c r="L12" s="26">
        <f t="shared" si="8"/>
        <v>-0.20000000006348301</v>
      </c>
      <c r="M12" s="6">
        <v>5.7374000000000001</v>
      </c>
      <c r="N12" s="35">
        <f t="shared" si="9"/>
        <v>797.20219999999995</v>
      </c>
      <c r="O12" s="24">
        <f t="shared" si="10"/>
        <v>-0.20000000006348301</v>
      </c>
      <c r="P12" s="25">
        <f t="shared" si="11"/>
        <v>-1.39999999998963</v>
      </c>
      <c r="Q12" s="26">
        <f t="shared" si="12"/>
        <v>-0.20000000006348301</v>
      </c>
      <c r="R12" s="41"/>
      <c r="S12" s="21">
        <f t="shared" si="13"/>
        <v>44675</v>
      </c>
      <c r="T12" s="42">
        <v>8.9085000000000001</v>
      </c>
      <c r="U12" s="43">
        <f t="shared" si="14"/>
        <v>-9.99999999997669E-2</v>
      </c>
      <c r="V12" s="44">
        <f t="shared" si="15"/>
        <v>-1.0999999999992101</v>
      </c>
      <c r="W12" s="45">
        <f t="shared" si="16"/>
        <v>9.99999999997669E-2</v>
      </c>
      <c r="X12" s="29">
        <v>11.9848</v>
      </c>
      <c r="Y12" s="43">
        <f t="shared" si="17"/>
        <v>-9.99999999997669E-2</v>
      </c>
      <c r="Z12" s="44">
        <f t="shared" si="18"/>
        <v>-0.70000000000014495</v>
      </c>
      <c r="AA12" s="45">
        <f t="shared" si="19"/>
        <v>-9.99999999997669E-2</v>
      </c>
      <c r="AB12" s="49">
        <v>8.8241999999999994</v>
      </c>
      <c r="AC12" s="43">
        <f t="shared" si="20"/>
        <v>-0.20000000000130999</v>
      </c>
      <c r="AD12" s="44">
        <f t="shared" si="21"/>
        <v>-0.90000000000145497</v>
      </c>
      <c r="AE12" s="45">
        <f t="shared" si="22"/>
        <v>-0.20000000000130999</v>
      </c>
      <c r="AF12" s="50">
        <v>79694</v>
      </c>
      <c r="AG12" s="58">
        <f t="shared" si="0"/>
        <v>37</v>
      </c>
      <c r="AH12" s="61"/>
      <c r="AI12" s="60"/>
      <c r="AJ12"/>
      <c r="AK12"/>
      <c r="AL12"/>
      <c r="AM12"/>
    </row>
    <row r="13" spans="1:48">
      <c r="A13" s="21">
        <v>44676</v>
      </c>
      <c r="B13" s="22">
        <v>791.46479999999997</v>
      </c>
      <c r="C13" s="27">
        <v>6.4127999999999998</v>
      </c>
      <c r="D13" s="23">
        <f t="shared" si="1"/>
        <v>797.87760000000003</v>
      </c>
      <c r="E13" s="24">
        <f t="shared" si="2"/>
        <v>-0.50000000010186296</v>
      </c>
      <c r="F13" s="25">
        <f t="shared" si="3"/>
        <v>-1.8000000000029099</v>
      </c>
      <c r="G13" s="26">
        <f t="shared" si="4"/>
        <v>-0.50000000010186296</v>
      </c>
      <c r="H13" s="6">
        <v>7.6740000000000004</v>
      </c>
      <c r="I13" s="35">
        <f t="shared" si="5"/>
        <v>799.13879999999995</v>
      </c>
      <c r="J13" s="24">
        <f t="shared" si="6"/>
        <v>-9.9999999974897905E-2</v>
      </c>
      <c r="K13" s="25">
        <f t="shared" si="7"/>
        <v>-1.2000000000398401</v>
      </c>
      <c r="L13" s="26">
        <f t="shared" si="8"/>
        <v>-9.9999999974897905E-2</v>
      </c>
      <c r="M13" s="6">
        <v>5.7371999999999996</v>
      </c>
      <c r="N13" s="35">
        <f t="shared" si="9"/>
        <v>797.202</v>
      </c>
      <c r="O13" s="24">
        <f t="shared" si="10"/>
        <v>-0.199999999949796</v>
      </c>
      <c r="P13" s="25">
        <f t="shared" si="11"/>
        <v>-1.5999999999394301</v>
      </c>
      <c r="Q13" s="26">
        <f t="shared" si="12"/>
        <v>-0.199999999949796</v>
      </c>
      <c r="R13" s="41"/>
      <c r="S13" s="21">
        <f t="shared" si="13"/>
        <v>44676</v>
      </c>
      <c r="T13" s="42">
        <v>8.9082000000000008</v>
      </c>
      <c r="U13" s="43">
        <f t="shared" si="14"/>
        <v>-0.29999999999930099</v>
      </c>
      <c r="V13" s="44">
        <f t="shared" si="15"/>
        <v>-1.39999999999851</v>
      </c>
      <c r="W13" s="45">
        <f t="shared" si="16"/>
        <v>0.29999999999930099</v>
      </c>
      <c r="X13" s="29">
        <v>11.984999999999999</v>
      </c>
      <c r="Y13" s="43">
        <f t="shared" si="17"/>
        <v>0.19999999999953399</v>
      </c>
      <c r="Z13" s="44">
        <f t="shared" si="18"/>
        <v>-0.50000000000061096</v>
      </c>
      <c r="AA13" s="45">
        <f t="shared" si="19"/>
        <v>0.19999999999953399</v>
      </c>
      <c r="AB13" s="49">
        <v>8.8239999999999998</v>
      </c>
      <c r="AC13" s="43">
        <f t="shared" si="20"/>
        <v>-0.19999999999953399</v>
      </c>
      <c r="AD13" s="44">
        <f t="shared" si="21"/>
        <v>-1.10000000000099</v>
      </c>
      <c r="AE13" s="45">
        <f t="shared" si="22"/>
        <v>-0.19999999999953399</v>
      </c>
      <c r="AF13" s="50">
        <v>79699</v>
      </c>
      <c r="AG13" s="58">
        <f t="shared" si="0"/>
        <v>42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44677</v>
      </c>
      <c r="B14" s="22">
        <v>791.46479999999997</v>
      </c>
      <c r="C14" s="27">
        <v>6.4124999999999996</v>
      </c>
      <c r="D14" s="23">
        <f t="shared" si="1"/>
        <v>797.87729999999999</v>
      </c>
      <c r="E14" s="24">
        <f t="shared" si="2"/>
        <v>-0.29999999992469401</v>
      </c>
      <c r="F14" s="25">
        <f t="shared" si="3"/>
        <v>-2.0999999999275998</v>
      </c>
      <c r="G14" s="26">
        <f t="shared" si="4"/>
        <v>-0.29999999992469401</v>
      </c>
      <c r="H14" s="6">
        <v>7.6741999999999999</v>
      </c>
      <c r="I14" s="35">
        <f t="shared" si="5"/>
        <v>799.13900000000001</v>
      </c>
      <c r="J14" s="24">
        <f t="shared" si="6"/>
        <v>0.20000000006348301</v>
      </c>
      <c r="K14" s="25">
        <f t="shared" si="7"/>
        <v>-0.99999999997635303</v>
      </c>
      <c r="L14" s="26">
        <f t="shared" si="8"/>
        <v>0.20000000006348301</v>
      </c>
      <c r="M14" s="6">
        <v>5.7374000000000001</v>
      </c>
      <c r="N14" s="35">
        <f t="shared" si="9"/>
        <v>797.20219999999995</v>
      </c>
      <c r="O14" s="24">
        <f t="shared" si="10"/>
        <v>0.199999999949796</v>
      </c>
      <c r="P14" s="25">
        <f t="shared" si="11"/>
        <v>-1.39999999998963</v>
      </c>
      <c r="Q14" s="26">
        <f t="shared" si="12"/>
        <v>0.199999999949796</v>
      </c>
      <c r="R14" s="41"/>
      <c r="S14" s="21">
        <f t="shared" si="13"/>
        <v>44677</v>
      </c>
      <c r="T14" s="42">
        <v>8.9079999999999995</v>
      </c>
      <c r="U14" s="43">
        <f t="shared" si="14"/>
        <v>-0.20000000000130999</v>
      </c>
      <c r="V14" s="44">
        <f t="shared" si="15"/>
        <v>-1.59999999999982</v>
      </c>
      <c r="W14" s="45">
        <f t="shared" si="16"/>
        <v>0.20000000000130999</v>
      </c>
      <c r="X14" s="29">
        <v>11.9846</v>
      </c>
      <c r="Y14" s="43">
        <f t="shared" si="17"/>
        <v>-0.39999999999906799</v>
      </c>
      <c r="Z14" s="44">
        <f t="shared" si="18"/>
        <v>-0.89999999999967895</v>
      </c>
      <c r="AA14" s="45">
        <f t="shared" si="19"/>
        <v>-0.39999999999906799</v>
      </c>
      <c r="AB14" s="49">
        <v>8.8241999999999994</v>
      </c>
      <c r="AC14" s="43">
        <f t="shared" si="20"/>
        <v>0.19999999999953399</v>
      </c>
      <c r="AD14" s="44">
        <f t="shared" si="21"/>
        <v>-0.90000000000145497</v>
      </c>
      <c r="AE14" s="45">
        <f t="shared" si="22"/>
        <v>0.19999999999953399</v>
      </c>
      <c r="AF14" s="50">
        <v>79704</v>
      </c>
      <c r="AG14" s="58">
        <f t="shared" si="0"/>
        <v>47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44678</v>
      </c>
      <c r="B15" s="22">
        <v>791.46479999999997</v>
      </c>
      <c r="C15" s="27">
        <v>6.4123999999999999</v>
      </c>
      <c r="D15" s="23">
        <f t="shared" si="1"/>
        <v>797.87720000000002</v>
      </c>
      <c r="E15" s="24">
        <f t="shared" si="2"/>
        <v>-9.9999999974897905E-2</v>
      </c>
      <c r="F15" s="25">
        <f t="shared" si="3"/>
        <v>-2.1999999999024999</v>
      </c>
      <c r="G15" s="26">
        <f t="shared" si="4"/>
        <v>-9.9999999974897905E-2</v>
      </c>
      <c r="H15" s="6">
        <v>7.6738</v>
      </c>
      <c r="I15" s="35">
        <f t="shared" si="5"/>
        <v>799.1386</v>
      </c>
      <c r="J15" s="24">
        <f t="shared" si="6"/>
        <v>-0.40000000001327901</v>
      </c>
      <c r="K15" s="25">
        <f t="shared" si="7"/>
        <v>-1.39999999998963</v>
      </c>
      <c r="L15" s="26">
        <f t="shared" si="8"/>
        <v>-0.40000000001327901</v>
      </c>
      <c r="M15" s="6">
        <v>5.7367999999999997</v>
      </c>
      <c r="N15" s="35">
        <f t="shared" si="9"/>
        <v>797.20159999999998</v>
      </c>
      <c r="O15" s="24">
        <f t="shared" si="10"/>
        <v>-0.59999999996307496</v>
      </c>
      <c r="P15" s="25">
        <f t="shared" si="11"/>
        <v>-1.9999999999527101</v>
      </c>
      <c r="Q15" s="26">
        <f t="shared" si="12"/>
        <v>-0.59999999996307496</v>
      </c>
      <c r="R15" s="41"/>
      <c r="S15" s="21">
        <f t="shared" si="13"/>
        <v>44678</v>
      </c>
      <c r="T15" s="42">
        <v>8.9080999999999992</v>
      </c>
      <c r="U15" s="43">
        <f t="shared" si="14"/>
        <v>9.99999999997669E-2</v>
      </c>
      <c r="V15" s="44">
        <f t="shared" si="15"/>
        <v>-1.50000000000006</v>
      </c>
      <c r="W15" s="45">
        <f t="shared" si="16"/>
        <v>-9.99999999997669E-2</v>
      </c>
      <c r="X15" s="29">
        <v>11.984500000000001</v>
      </c>
      <c r="Y15" s="43">
        <f t="shared" si="17"/>
        <v>-9.99999999997669E-2</v>
      </c>
      <c r="Z15" s="44">
        <f t="shared" si="18"/>
        <v>-0.999999999999446</v>
      </c>
      <c r="AA15" s="45">
        <f t="shared" si="19"/>
        <v>-9.99999999997669E-2</v>
      </c>
      <c r="AB15" s="49">
        <v>8.8236000000000008</v>
      </c>
      <c r="AC15" s="43">
        <f t="shared" si="20"/>
        <v>-0.59999999999860198</v>
      </c>
      <c r="AD15" s="44">
        <f t="shared" si="21"/>
        <v>-1.50000000000006</v>
      </c>
      <c r="AE15" s="45">
        <f t="shared" si="22"/>
        <v>-0.59999999999860198</v>
      </c>
      <c r="AF15" s="50">
        <v>79709</v>
      </c>
      <c r="AG15" s="58">
        <f t="shared" si="0"/>
        <v>52</v>
      </c>
      <c r="AH15" s="61"/>
      <c r="AI15" s="60"/>
      <c r="AJ15"/>
      <c r="AK15"/>
      <c r="AL15"/>
      <c r="AM15"/>
    </row>
    <row r="16" spans="1:48">
      <c r="A16" s="21">
        <v>44679</v>
      </c>
      <c r="B16" s="22">
        <v>791.46479999999997</v>
      </c>
      <c r="C16" s="27">
        <v>6.4122000000000003</v>
      </c>
      <c r="D16" s="23">
        <f t="shared" si="1"/>
        <v>797.87699999999995</v>
      </c>
      <c r="E16" s="24">
        <f t="shared" si="2"/>
        <v>-0.20000000006348301</v>
      </c>
      <c r="F16" s="25">
        <f t="shared" si="3"/>
        <v>-2.39999999996598</v>
      </c>
      <c r="G16" s="26">
        <f t="shared" si="4"/>
        <v>-0.20000000006348301</v>
      </c>
      <c r="H16" s="6">
        <v>7.6738999999999997</v>
      </c>
      <c r="I16" s="35">
        <f t="shared" si="5"/>
        <v>799.13869999999997</v>
      </c>
      <c r="J16" s="24">
        <f t="shared" si="6"/>
        <v>9.9999999974897905E-2</v>
      </c>
      <c r="K16" s="25">
        <f t="shared" si="7"/>
        <v>-1.30000000001473</v>
      </c>
      <c r="L16" s="26">
        <f t="shared" si="8"/>
        <v>9.9999999974897905E-2</v>
      </c>
      <c r="M16" s="6">
        <v>5.7366000000000001</v>
      </c>
      <c r="N16" s="35">
        <f t="shared" si="9"/>
        <v>797.20140000000004</v>
      </c>
      <c r="O16" s="24">
        <f t="shared" si="10"/>
        <v>-0.20000000006348301</v>
      </c>
      <c r="P16" s="25">
        <f t="shared" si="11"/>
        <v>-2.2000000000161899</v>
      </c>
      <c r="Q16" s="26">
        <f t="shared" si="12"/>
        <v>-0.20000000006348301</v>
      </c>
      <c r="R16" s="41"/>
      <c r="S16" s="21">
        <f t="shared" si="13"/>
        <v>44679</v>
      </c>
      <c r="T16" s="42">
        <v>8.9076000000000004</v>
      </c>
      <c r="U16" s="43">
        <f t="shared" si="14"/>
        <v>-0.49999999999883499</v>
      </c>
      <c r="V16" s="44">
        <f t="shared" si="15"/>
        <v>-1.99999999999889</v>
      </c>
      <c r="W16" s="45">
        <f t="shared" si="16"/>
        <v>0.49999999999883499</v>
      </c>
      <c r="X16" s="29">
        <v>11.9848</v>
      </c>
      <c r="Y16" s="43">
        <f t="shared" si="17"/>
        <v>0.29999999999930099</v>
      </c>
      <c r="Z16" s="44">
        <f t="shared" si="18"/>
        <v>-0.70000000000014495</v>
      </c>
      <c r="AA16" s="45">
        <f t="shared" si="19"/>
        <v>0.29999999999930099</v>
      </c>
      <c r="AB16" s="49">
        <v>8.8233999999999995</v>
      </c>
      <c r="AC16" s="43">
        <f t="shared" si="20"/>
        <v>-0.20000000000130999</v>
      </c>
      <c r="AD16" s="44">
        <f t="shared" si="21"/>
        <v>-1.70000000000137</v>
      </c>
      <c r="AE16" s="45">
        <f t="shared" si="22"/>
        <v>-0.20000000000130999</v>
      </c>
      <c r="AF16" s="50">
        <v>79714</v>
      </c>
      <c r="AG16" s="58">
        <f t="shared" si="0"/>
        <v>57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44680</v>
      </c>
      <c r="B17" s="22">
        <v>791.46479999999997</v>
      </c>
      <c r="C17" s="27">
        <v>6.4124999999999996</v>
      </c>
      <c r="D17" s="23">
        <f t="shared" si="1"/>
        <v>797.87729999999999</v>
      </c>
      <c r="E17" s="24">
        <f t="shared" si="2"/>
        <v>0.30000000003838101</v>
      </c>
      <c r="F17" s="25">
        <f t="shared" si="3"/>
        <v>-2.0999999999275998</v>
      </c>
      <c r="G17" s="26">
        <f t="shared" si="4"/>
        <v>0.30000000003838101</v>
      </c>
      <c r="H17" s="6">
        <v>7.6736000000000004</v>
      </c>
      <c r="I17" s="35">
        <f t="shared" si="5"/>
        <v>799.13840000000005</v>
      </c>
      <c r="J17" s="24">
        <f t="shared" si="6"/>
        <v>-0.30000000003838101</v>
      </c>
      <c r="K17" s="25">
        <f t="shared" si="7"/>
        <v>-1.60000000005311</v>
      </c>
      <c r="L17" s="26">
        <f t="shared" si="8"/>
        <v>-0.30000000003838101</v>
      </c>
      <c r="M17" s="6">
        <v>5.7366999999999999</v>
      </c>
      <c r="N17" s="35">
        <f t="shared" si="9"/>
        <v>797.20150000000001</v>
      </c>
      <c r="O17" s="24">
        <f t="shared" si="10"/>
        <v>0.10000000008858501</v>
      </c>
      <c r="P17" s="25">
        <f t="shared" si="11"/>
        <v>-2.0999999999275998</v>
      </c>
      <c r="Q17" s="26">
        <f t="shared" si="12"/>
        <v>0.10000000008858501</v>
      </c>
      <c r="R17" s="41"/>
      <c r="S17" s="21">
        <f t="shared" si="13"/>
        <v>44680</v>
      </c>
      <c r="T17" s="42">
        <v>8.9074000000000009</v>
      </c>
      <c r="U17" s="43">
        <f t="shared" si="14"/>
        <v>-0.19999999999953399</v>
      </c>
      <c r="V17" s="44">
        <f t="shared" si="15"/>
        <v>-2.1999999999984299</v>
      </c>
      <c r="W17" s="45">
        <f t="shared" si="16"/>
        <v>0.19999999999953399</v>
      </c>
      <c r="X17" s="29">
        <v>11.984299999999999</v>
      </c>
      <c r="Y17" s="43">
        <f t="shared" si="17"/>
        <v>-0.50000000000061096</v>
      </c>
      <c r="Z17" s="44">
        <f t="shared" si="18"/>
        <v>-1.20000000000076</v>
      </c>
      <c r="AA17" s="45">
        <f t="shared" si="19"/>
        <v>-0.50000000000061096</v>
      </c>
      <c r="AB17" s="49">
        <v>8.8239999999999998</v>
      </c>
      <c r="AC17" s="43">
        <f t="shared" si="20"/>
        <v>0.60000000000037801</v>
      </c>
      <c r="AD17" s="44">
        <f t="shared" si="21"/>
        <v>-1.10000000000099</v>
      </c>
      <c r="AE17" s="45">
        <f t="shared" si="22"/>
        <v>0.60000000000037801</v>
      </c>
      <c r="AF17" s="50">
        <v>79719</v>
      </c>
      <c r="AG17" s="58">
        <f t="shared" si="0"/>
        <v>62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44681</v>
      </c>
      <c r="B18" s="22">
        <v>791.46479999999997</v>
      </c>
      <c r="C18" s="27">
        <v>6.4118000000000004</v>
      </c>
      <c r="D18" s="23">
        <f t="shared" si="1"/>
        <v>797.87660000000005</v>
      </c>
      <c r="E18" s="24">
        <f t="shared" si="2"/>
        <v>-0.70000000005165897</v>
      </c>
      <c r="F18" s="25">
        <f t="shared" si="3"/>
        <v>-2.79999999997926</v>
      </c>
      <c r="G18" s="26">
        <f t="shared" si="4"/>
        <v>-0.70000000005165897</v>
      </c>
      <c r="H18" s="6">
        <v>7.6734999999999998</v>
      </c>
      <c r="I18" s="35">
        <f t="shared" si="5"/>
        <v>799.13829999999996</v>
      </c>
      <c r="J18" s="24">
        <f t="shared" si="6"/>
        <v>-9.9999999974897905E-2</v>
      </c>
      <c r="K18" s="25">
        <f t="shared" si="7"/>
        <v>-1.70000000002801</v>
      </c>
      <c r="L18" s="26">
        <f t="shared" si="8"/>
        <v>-9.9999999974897905E-2</v>
      </c>
      <c r="M18" s="6">
        <v>5.7362000000000002</v>
      </c>
      <c r="N18" s="35">
        <f t="shared" si="9"/>
        <v>797.20100000000002</v>
      </c>
      <c r="O18" s="24">
        <f t="shared" si="10"/>
        <v>-0.49999999998817701</v>
      </c>
      <c r="P18" s="25">
        <f t="shared" si="11"/>
        <v>-2.5999999999157799</v>
      </c>
      <c r="Q18" s="26">
        <f t="shared" si="12"/>
        <v>-0.49999999998817701</v>
      </c>
      <c r="R18" s="41"/>
      <c r="S18" s="21">
        <f t="shared" si="13"/>
        <v>44681</v>
      </c>
      <c r="T18" s="42">
        <v>8.9071999999999996</v>
      </c>
      <c r="U18" s="43">
        <f t="shared" si="14"/>
        <v>-0.20000000000130999</v>
      </c>
      <c r="V18" s="44">
        <f t="shared" si="15"/>
        <v>-2.3999999999997401</v>
      </c>
      <c r="W18" s="45">
        <f t="shared" si="16"/>
        <v>0.20000000000130999</v>
      </c>
      <c r="X18" s="29">
        <v>11.9842</v>
      </c>
      <c r="Y18" s="43">
        <f t="shared" si="17"/>
        <v>-9.99999999997669E-2</v>
      </c>
      <c r="Z18" s="44">
        <f t="shared" si="18"/>
        <v>-1.3000000000005201</v>
      </c>
      <c r="AA18" s="45">
        <f t="shared" si="19"/>
        <v>-9.99999999997669E-2</v>
      </c>
      <c r="AB18" s="49">
        <v>8.8230000000000004</v>
      </c>
      <c r="AC18" s="43">
        <f t="shared" si="20"/>
        <v>-0.999999999999446</v>
      </c>
      <c r="AD18" s="44">
        <f t="shared" si="21"/>
        <v>-2.10000000000043</v>
      </c>
      <c r="AE18" s="45">
        <f t="shared" si="22"/>
        <v>-0.999999999999446</v>
      </c>
      <c r="AF18" s="50">
        <v>79724</v>
      </c>
      <c r="AG18" s="58">
        <f t="shared" si="0"/>
        <v>67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44682</v>
      </c>
      <c r="B19" s="22">
        <v>791.46479999999997</v>
      </c>
      <c r="C19" s="27">
        <v>6.4116</v>
      </c>
      <c r="D19" s="23">
        <f t="shared" si="1"/>
        <v>797.87639999999999</v>
      </c>
      <c r="E19" s="24">
        <f t="shared" si="2"/>
        <v>-0.199999999949796</v>
      </c>
      <c r="F19" s="25">
        <f t="shared" si="3"/>
        <v>-2.9999999999290599</v>
      </c>
      <c r="G19" s="26">
        <f t="shared" si="4"/>
        <v>-0.199999999949796</v>
      </c>
      <c r="H19" s="6">
        <v>7.6733000000000002</v>
      </c>
      <c r="I19" s="35">
        <f t="shared" si="5"/>
        <v>799.13810000000001</v>
      </c>
      <c r="J19" s="24">
        <f t="shared" si="6"/>
        <v>-0.199999999949796</v>
      </c>
      <c r="K19" s="25">
        <f t="shared" si="7"/>
        <v>-1.8999999999778101</v>
      </c>
      <c r="L19" s="26">
        <f t="shared" si="8"/>
        <v>-0.199999999949796</v>
      </c>
      <c r="M19" s="6">
        <v>5.7359999999999998</v>
      </c>
      <c r="N19" s="35">
        <f t="shared" si="9"/>
        <v>797.20079999999996</v>
      </c>
      <c r="O19" s="24">
        <f t="shared" si="10"/>
        <v>-0.20000000006348301</v>
      </c>
      <c r="P19" s="25">
        <f t="shared" si="11"/>
        <v>-2.79999999997926</v>
      </c>
      <c r="Q19" s="26">
        <f t="shared" si="12"/>
        <v>-0.20000000006348301</v>
      </c>
      <c r="R19" s="41"/>
      <c r="S19" s="21">
        <f t="shared" si="13"/>
        <v>44682</v>
      </c>
      <c r="T19" s="42">
        <v>8.9072999999999993</v>
      </c>
      <c r="U19" s="43">
        <f t="shared" si="14"/>
        <v>9.99999999997669E-2</v>
      </c>
      <c r="V19" s="44">
        <f t="shared" si="15"/>
        <v>-2.2999999999999701</v>
      </c>
      <c r="W19" s="45">
        <f t="shared" si="16"/>
        <v>-9.99999999997669E-2</v>
      </c>
      <c r="X19" s="29">
        <v>11.9842</v>
      </c>
      <c r="Y19" s="43">
        <f t="shared" si="17"/>
        <v>0</v>
      </c>
      <c r="Z19" s="44">
        <f t="shared" si="18"/>
        <v>-1.3000000000005201</v>
      </c>
      <c r="AA19" s="45">
        <f t="shared" si="19"/>
        <v>0</v>
      </c>
      <c r="AB19" s="49">
        <v>8.8228000000000009</v>
      </c>
      <c r="AC19" s="43">
        <f t="shared" si="20"/>
        <v>-0.19999999999953399</v>
      </c>
      <c r="AD19" s="44">
        <f t="shared" si="21"/>
        <v>-2.2999999999999701</v>
      </c>
      <c r="AE19" s="45">
        <f t="shared" si="22"/>
        <v>-0.19999999999953399</v>
      </c>
      <c r="AF19" s="50">
        <v>79729</v>
      </c>
      <c r="AG19" s="58">
        <f t="shared" si="0"/>
        <v>72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44683</v>
      </c>
      <c r="B20" s="22">
        <v>791.46479999999997</v>
      </c>
      <c r="C20" s="27">
        <v>6.4114000000000004</v>
      </c>
      <c r="D20" s="23">
        <f t="shared" si="1"/>
        <v>797.87620000000004</v>
      </c>
      <c r="E20" s="24">
        <f t="shared" si="2"/>
        <v>-0.20000000006348301</v>
      </c>
      <c r="F20" s="25">
        <f t="shared" si="3"/>
        <v>-3.1999999999925399</v>
      </c>
      <c r="G20" s="26">
        <f t="shared" si="4"/>
        <v>-0.20000000006348301</v>
      </c>
      <c r="H20" s="6">
        <v>7.6733000000000002</v>
      </c>
      <c r="I20" s="35">
        <f t="shared" si="5"/>
        <v>799.13810000000001</v>
      </c>
      <c r="J20" s="24">
        <f t="shared" si="6"/>
        <v>0</v>
      </c>
      <c r="K20" s="25">
        <f t="shared" si="7"/>
        <v>-1.8999999999778101</v>
      </c>
      <c r="L20" s="26">
        <f t="shared" si="8"/>
        <v>0</v>
      </c>
      <c r="M20" s="6">
        <v>5.7357999999999896</v>
      </c>
      <c r="N20" s="35">
        <f t="shared" si="9"/>
        <v>797.20060000000001</v>
      </c>
      <c r="O20" s="24">
        <f t="shared" si="10"/>
        <v>-0.199999999949796</v>
      </c>
      <c r="P20" s="25">
        <f t="shared" si="11"/>
        <v>-2.9999999999290599</v>
      </c>
      <c r="Q20" s="26">
        <f t="shared" si="12"/>
        <v>-0.199999999949796</v>
      </c>
      <c r="R20" s="41"/>
      <c r="S20" s="21">
        <f t="shared" si="13"/>
        <v>44683</v>
      </c>
      <c r="T20" s="42">
        <v>8.9068000000000094</v>
      </c>
      <c r="U20" s="43">
        <f t="shared" si="14"/>
        <v>-0.49999999998995298</v>
      </c>
      <c r="V20" s="44">
        <f t="shared" si="15"/>
        <v>-2.7999999999899199</v>
      </c>
      <c r="W20" s="45">
        <f t="shared" si="16"/>
        <v>0.49999999998995298</v>
      </c>
      <c r="X20" s="29">
        <v>11.984</v>
      </c>
      <c r="Y20" s="43">
        <f t="shared" si="17"/>
        <v>-0.19999999999953399</v>
      </c>
      <c r="Z20" s="44">
        <f t="shared" si="18"/>
        <v>-1.50000000000006</v>
      </c>
      <c r="AA20" s="45">
        <f t="shared" si="19"/>
        <v>-0.19999999999953399</v>
      </c>
      <c r="AB20" s="49">
        <v>8.8228000000000009</v>
      </c>
      <c r="AC20" s="43">
        <f t="shared" si="20"/>
        <v>0</v>
      </c>
      <c r="AD20" s="44">
        <f t="shared" si="21"/>
        <v>-2.2999999999999701</v>
      </c>
      <c r="AE20" s="45">
        <f t="shared" si="22"/>
        <v>0</v>
      </c>
      <c r="AF20" s="50">
        <v>79734</v>
      </c>
      <c r="AG20" s="58">
        <f t="shared" si="0"/>
        <v>77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44685</v>
      </c>
      <c r="B21" s="22">
        <v>791.46479999999997</v>
      </c>
      <c r="C21" s="27">
        <v>6.4118000000000004</v>
      </c>
      <c r="D21" s="23">
        <f t="shared" ref="D21:D26" si="23">C21+B21</f>
        <v>797.87660000000005</v>
      </c>
      <c r="E21" s="24">
        <f t="shared" ref="E21:E26" si="24">(D21-D20)*1000</f>
        <v>0.40000000001327901</v>
      </c>
      <c r="F21" s="25">
        <f t="shared" ref="F21:F26" si="25">F20+E21</f>
        <v>-2.79999999997926</v>
      </c>
      <c r="G21" s="26">
        <f t="shared" ref="G21:G26" si="26">E21/(A21-A20)</f>
        <v>0.20000000000663901</v>
      </c>
      <c r="H21" s="6">
        <v>7.6731999999999996</v>
      </c>
      <c r="I21" s="35">
        <f t="shared" ref="I21:I26" si="27">H21+B21</f>
        <v>799.13800000000003</v>
      </c>
      <c r="J21" s="24">
        <f t="shared" ref="J21:J26" si="28">(I21-I20)*1000</f>
        <v>-0.10000000008858501</v>
      </c>
      <c r="K21" s="25">
        <f t="shared" ref="K21:K26" si="29">K20+J21</f>
        <v>-2.00000000006639</v>
      </c>
      <c r="L21" s="26">
        <f t="shared" ref="L21:L26" si="30">J21/(A21-A20)</f>
        <v>-5.0000000044292399E-2</v>
      </c>
      <c r="M21" s="6">
        <v>5.7359999999999998</v>
      </c>
      <c r="N21" s="35">
        <f t="shared" ref="N21:N26" si="31">M21+B21</f>
        <v>797.20079999999996</v>
      </c>
      <c r="O21" s="24">
        <f t="shared" ref="O21:O26" si="32">(N21-N20)*1000</f>
        <v>0.199999999949796</v>
      </c>
      <c r="P21" s="25">
        <f t="shared" ref="P21:P26" si="33">P20+O21</f>
        <v>-2.79999999997926</v>
      </c>
      <c r="Q21" s="26">
        <f t="shared" ref="Q21:Q26" si="34">O21/(A21-A20)</f>
        <v>9.9999999974897905E-2</v>
      </c>
      <c r="R21" s="41"/>
      <c r="S21" s="21">
        <f t="shared" si="13"/>
        <v>44685</v>
      </c>
      <c r="T21" s="42">
        <v>8.9066000000000098</v>
      </c>
      <c r="U21" s="43">
        <f t="shared" si="14"/>
        <v>-0.19999999999953399</v>
      </c>
      <c r="V21" s="44">
        <f t="shared" si="15"/>
        <v>-2.99999999998946</v>
      </c>
      <c r="W21" s="45">
        <f t="shared" si="16"/>
        <v>9.99999999997669E-2</v>
      </c>
      <c r="X21" s="29">
        <v>11.9839</v>
      </c>
      <c r="Y21" s="43">
        <f t="shared" si="17"/>
        <v>-9.99999999997669E-2</v>
      </c>
      <c r="Z21" s="44">
        <f t="shared" si="18"/>
        <v>-1.59999999999982</v>
      </c>
      <c r="AA21" s="45">
        <f t="shared" si="19"/>
        <v>-4.9999999999883499E-2</v>
      </c>
      <c r="AB21" s="49">
        <v>8.8224000000000107</v>
      </c>
      <c r="AC21" s="43">
        <f t="shared" si="20"/>
        <v>-0.39999999999018598</v>
      </c>
      <c r="AD21" s="44">
        <f t="shared" si="21"/>
        <v>-2.6999999999901498</v>
      </c>
      <c r="AE21" s="45">
        <f t="shared" si="22"/>
        <v>-0.19999999999509299</v>
      </c>
      <c r="AF21" s="50">
        <v>79739</v>
      </c>
      <c r="AG21" s="58">
        <f t="shared" si="0"/>
        <v>82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44687</v>
      </c>
      <c r="B22" s="22">
        <v>791.46479999999997</v>
      </c>
      <c r="C22" s="27">
        <v>6.4109999999999996</v>
      </c>
      <c r="D22" s="23">
        <f t="shared" si="23"/>
        <v>797.87580000000003</v>
      </c>
      <c r="E22" s="24">
        <f t="shared" si="24"/>
        <v>-0.80000000002655702</v>
      </c>
      <c r="F22" s="25">
        <f t="shared" si="25"/>
        <v>-3.6000000000058199</v>
      </c>
      <c r="G22" s="26">
        <f t="shared" si="26"/>
        <v>-0.40000000001327901</v>
      </c>
      <c r="H22" s="6">
        <v>7.6734999999999998</v>
      </c>
      <c r="I22" s="35">
        <f t="shared" si="27"/>
        <v>799.13829999999996</v>
      </c>
      <c r="J22" s="24">
        <f t="shared" si="28"/>
        <v>0.30000000003838101</v>
      </c>
      <c r="K22" s="25">
        <f t="shared" si="29"/>
        <v>-1.70000000002801</v>
      </c>
      <c r="L22" s="26">
        <f t="shared" si="30"/>
        <v>0.15000000001919001</v>
      </c>
      <c r="M22" s="6">
        <v>5.7353999999999896</v>
      </c>
      <c r="N22" s="35">
        <f t="shared" si="31"/>
        <v>797.2002</v>
      </c>
      <c r="O22" s="24">
        <f t="shared" si="32"/>
        <v>-0.59999999996307496</v>
      </c>
      <c r="P22" s="25">
        <f t="shared" si="33"/>
        <v>-3.3999999999423398</v>
      </c>
      <c r="Q22" s="26">
        <f t="shared" si="34"/>
        <v>-0.29999999998153698</v>
      </c>
      <c r="R22" s="41"/>
      <c r="S22" s="21">
        <f t="shared" si="13"/>
        <v>44687</v>
      </c>
      <c r="T22" s="42">
        <v>8.9064999999999994</v>
      </c>
      <c r="U22" s="43">
        <f t="shared" si="14"/>
        <v>-0.100000000010425</v>
      </c>
      <c r="V22" s="44">
        <f t="shared" si="15"/>
        <v>-3.0999999999998802</v>
      </c>
      <c r="W22" s="45">
        <f t="shared" si="16"/>
        <v>5.00000000052125E-2</v>
      </c>
      <c r="X22" s="29">
        <v>11.9841</v>
      </c>
      <c r="Y22" s="43">
        <f t="shared" si="17"/>
        <v>0.19999999999953399</v>
      </c>
      <c r="Z22" s="44">
        <f t="shared" si="18"/>
        <v>-1.4000000000002899</v>
      </c>
      <c r="AA22" s="45">
        <f t="shared" si="19"/>
        <v>9.99999999997669E-2</v>
      </c>
      <c r="AB22" s="49">
        <v>8.8222000000000094</v>
      </c>
      <c r="AC22" s="43">
        <f t="shared" si="20"/>
        <v>-0.20000000000130999</v>
      </c>
      <c r="AD22" s="44">
        <f t="shared" si="21"/>
        <v>-2.8999999999914601</v>
      </c>
      <c r="AE22" s="45">
        <f t="shared" si="22"/>
        <v>-0.100000000000655</v>
      </c>
      <c r="AF22" s="50">
        <v>79744</v>
      </c>
      <c r="AG22" s="58">
        <f t="shared" si="0"/>
        <v>87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44689</v>
      </c>
      <c r="B23" s="22">
        <v>791.46479999999997</v>
      </c>
      <c r="C23" s="27">
        <v>6.4108000000000098</v>
      </c>
      <c r="D23" s="23">
        <f t="shared" si="23"/>
        <v>797.87559999999996</v>
      </c>
      <c r="E23" s="24">
        <f t="shared" si="24"/>
        <v>-0.199999999949796</v>
      </c>
      <c r="F23" s="25">
        <f t="shared" si="25"/>
        <v>-3.7999999999556202</v>
      </c>
      <c r="G23" s="26">
        <f t="shared" si="26"/>
        <v>-9.9999999974897905E-2</v>
      </c>
      <c r="H23" s="6">
        <v>7.673</v>
      </c>
      <c r="I23" s="35">
        <f t="shared" si="27"/>
        <v>799.13779999999997</v>
      </c>
      <c r="J23" s="24">
        <f t="shared" si="28"/>
        <v>-0.49999999998817701</v>
      </c>
      <c r="K23" s="25">
        <f t="shared" si="29"/>
        <v>-2.2000000000161899</v>
      </c>
      <c r="L23" s="26">
        <f t="shared" si="30"/>
        <v>-0.24999999999408801</v>
      </c>
      <c r="M23" s="6">
        <v>5.7351999999999901</v>
      </c>
      <c r="N23" s="35">
        <f t="shared" si="31"/>
        <v>797.2</v>
      </c>
      <c r="O23" s="24">
        <f t="shared" si="32"/>
        <v>-0.20000000006348301</v>
      </c>
      <c r="P23" s="25">
        <f t="shared" si="33"/>
        <v>-3.6000000000058199</v>
      </c>
      <c r="Q23" s="26">
        <f t="shared" si="34"/>
        <v>-0.100000000031741</v>
      </c>
      <c r="R23" s="41"/>
      <c r="S23" s="21">
        <f t="shared" si="13"/>
        <v>44689</v>
      </c>
      <c r="T23" s="42">
        <v>8.9062000000000108</v>
      </c>
      <c r="U23" s="43">
        <f t="shared" si="14"/>
        <v>-0.29999999998864302</v>
      </c>
      <c r="V23" s="44">
        <f t="shared" si="15"/>
        <v>-3.3999999999885202</v>
      </c>
      <c r="W23" s="45">
        <f t="shared" si="16"/>
        <v>0.14999999999432101</v>
      </c>
      <c r="X23" s="29">
        <v>11.983700000000001</v>
      </c>
      <c r="Y23" s="43">
        <f t="shared" si="17"/>
        <v>-0.39999999999906799</v>
      </c>
      <c r="Z23" s="44">
        <f t="shared" si="18"/>
        <v>-1.7999999999993599</v>
      </c>
      <c r="AA23" s="45">
        <f t="shared" si="19"/>
        <v>-0.19999999999953399</v>
      </c>
      <c r="AB23" s="49">
        <v>8.8223000000000003</v>
      </c>
      <c r="AC23" s="43">
        <f t="shared" si="20"/>
        <v>9.9999999990885199E-2</v>
      </c>
      <c r="AD23" s="44">
        <f t="shared" si="21"/>
        <v>-2.8000000000005798</v>
      </c>
      <c r="AE23" s="45">
        <f t="shared" si="22"/>
        <v>4.99999999954426E-2</v>
      </c>
      <c r="AF23" s="50">
        <v>79749</v>
      </c>
      <c r="AG23" s="58">
        <f t="shared" si="0"/>
        <v>92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44691</v>
      </c>
      <c r="B24" s="22">
        <v>791.46479999999997</v>
      </c>
      <c r="C24" s="27">
        <v>6.4104999999999999</v>
      </c>
      <c r="D24" s="23">
        <f t="shared" si="23"/>
        <v>797.87530000000004</v>
      </c>
      <c r="E24" s="24">
        <f t="shared" si="24"/>
        <v>-0.30000000003838101</v>
      </c>
      <c r="F24" s="25">
        <f t="shared" si="25"/>
        <v>-4.099999999994</v>
      </c>
      <c r="G24" s="26">
        <f t="shared" si="26"/>
        <v>-0.15000000001919001</v>
      </c>
      <c r="H24" s="6">
        <v>7.6729000000000003</v>
      </c>
      <c r="I24" s="35">
        <f t="shared" si="27"/>
        <v>799.1377</v>
      </c>
      <c r="J24" s="24">
        <f t="shared" si="28"/>
        <v>-9.9999999974897905E-2</v>
      </c>
      <c r="K24" s="25">
        <f t="shared" si="29"/>
        <v>-2.2999999999910901</v>
      </c>
      <c r="L24" s="26">
        <f t="shared" si="30"/>
        <v>-4.9999999987449001E-2</v>
      </c>
      <c r="M24" s="6">
        <v>5.7352999999999996</v>
      </c>
      <c r="N24" s="35">
        <f t="shared" si="31"/>
        <v>797.20010000000002</v>
      </c>
      <c r="O24" s="24">
        <f t="shared" si="32"/>
        <v>0.10000000008858501</v>
      </c>
      <c r="P24" s="25">
        <f t="shared" si="33"/>
        <v>-3.49999999991724</v>
      </c>
      <c r="Q24" s="26">
        <f t="shared" si="34"/>
        <v>5.0000000044292399E-2</v>
      </c>
      <c r="R24" s="41"/>
      <c r="S24" s="21">
        <f t="shared" si="13"/>
        <v>44691</v>
      </c>
      <c r="T24" s="42">
        <v>8.9062999999999999</v>
      </c>
      <c r="U24" s="43">
        <f t="shared" si="14"/>
        <v>9.9999999989108801E-2</v>
      </c>
      <c r="V24" s="44">
        <f t="shared" si="15"/>
        <v>-3.2999999999994101</v>
      </c>
      <c r="W24" s="45">
        <f t="shared" si="16"/>
        <v>-4.99999999945544E-2</v>
      </c>
      <c r="X24" s="29">
        <v>11.983599999999999</v>
      </c>
      <c r="Y24" s="43">
        <f t="shared" si="17"/>
        <v>-0.10000000000154299</v>
      </c>
      <c r="Z24" s="44">
        <f t="shared" si="18"/>
        <v>-1.9000000000009001</v>
      </c>
      <c r="AA24" s="45">
        <f t="shared" si="19"/>
        <v>-5.0000000000771601E-2</v>
      </c>
      <c r="AB24" s="49">
        <v>8.8218000000000103</v>
      </c>
      <c r="AC24" s="43">
        <f t="shared" si="20"/>
        <v>-0.49999999998995298</v>
      </c>
      <c r="AD24" s="44">
        <f t="shared" si="21"/>
        <v>-3.2999999999905301</v>
      </c>
      <c r="AE24" s="45">
        <f t="shared" si="22"/>
        <v>-0.24999999999497599</v>
      </c>
      <c r="AF24" s="50">
        <v>79754</v>
      </c>
      <c r="AG24" s="58">
        <f t="shared" si="0"/>
        <v>97</v>
      </c>
      <c r="AH24" s="61"/>
      <c r="AI24" s="52"/>
      <c r="AJ24" s="52"/>
      <c r="AK24" s="52"/>
      <c r="AL24" s="52"/>
      <c r="AM24" s="52"/>
    </row>
    <row r="25" spans="1:48">
      <c r="A25" s="21">
        <v>44693</v>
      </c>
      <c r="B25" s="22">
        <v>791.46479999999997</v>
      </c>
      <c r="C25" s="27">
        <v>6.4104000000000099</v>
      </c>
      <c r="D25" s="23">
        <f t="shared" si="23"/>
        <v>797.87519999999995</v>
      </c>
      <c r="E25" s="24">
        <f t="shared" si="24"/>
        <v>-9.9999999974897905E-2</v>
      </c>
      <c r="F25" s="25">
        <f t="shared" si="25"/>
        <v>-4.1999999999688997</v>
      </c>
      <c r="G25" s="26">
        <f t="shared" si="26"/>
        <v>-4.9999999987449001E-2</v>
      </c>
      <c r="H25" s="6">
        <v>7.6726000000000001</v>
      </c>
      <c r="I25" s="35">
        <f t="shared" si="27"/>
        <v>799.13739999999996</v>
      </c>
      <c r="J25" s="24">
        <f t="shared" si="28"/>
        <v>-0.30000000003838101</v>
      </c>
      <c r="K25" s="25">
        <f t="shared" si="29"/>
        <v>-2.6000000000294698</v>
      </c>
      <c r="L25" s="26">
        <f t="shared" si="30"/>
        <v>-0.15000000001919001</v>
      </c>
      <c r="M25" s="6">
        <v>5.7347999999999901</v>
      </c>
      <c r="N25" s="35">
        <f t="shared" si="31"/>
        <v>797.19960000000003</v>
      </c>
      <c r="O25" s="24">
        <f t="shared" si="32"/>
        <v>-0.50000000010186296</v>
      </c>
      <c r="P25" s="25">
        <f t="shared" si="33"/>
        <v>-4.0000000000191003</v>
      </c>
      <c r="Q25" s="26">
        <f t="shared" si="34"/>
        <v>-0.25000000005093198</v>
      </c>
      <c r="R25" s="41"/>
      <c r="S25" s="21">
        <f t="shared" si="13"/>
        <v>44693</v>
      </c>
      <c r="T25" s="42">
        <v>8.9058000000000099</v>
      </c>
      <c r="U25" s="43">
        <f t="shared" si="14"/>
        <v>-0.49999999998995298</v>
      </c>
      <c r="V25" s="44">
        <f t="shared" si="15"/>
        <v>-3.7999999999893701</v>
      </c>
      <c r="W25" s="45">
        <f t="shared" si="16"/>
        <v>0.24999999999497599</v>
      </c>
      <c r="X25" s="29">
        <v>11.9838</v>
      </c>
      <c r="Y25" s="43">
        <f t="shared" si="17"/>
        <v>0.20000000000130999</v>
      </c>
      <c r="Z25" s="44">
        <f t="shared" si="18"/>
        <v>-1.6999999999995901</v>
      </c>
      <c r="AA25" s="45">
        <f t="shared" si="19"/>
        <v>0.100000000000655</v>
      </c>
      <c r="AB25" s="49">
        <v>8.8218999999999994</v>
      </c>
      <c r="AC25" s="43">
        <f t="shared" si="20"/>
        <v>9.9999999989108801E-2</v>
      </c>
      <c r="AD25" s="44">
        <f t="shared" si="21"/>
        <v>-3.2000000000014199</v>
      </c>
      <c r="AE25" s="45">
        <f t="shared" si="22"/>
        <v>4.99999999945544E-2</v>
      </c>
      <c r="AF25" s="50">
        <v>79759</v>
      </c>
      <c r="AG25" s="58">
        <f t="shared" si="0"/>
        <v>102</v>
      </c>
      <c r="AH25" s="61"/>
      <c r="AI25" s="52"/>
      <c r="AJ25" s="52"/>
      <c r="AK25" s="52"/>
      <c r="AL25" s="52"/>
      <c r="AM25" s="52"/>
    </row>
    <row r="26" spans="1:48">
      <c r="A26" s="21">
        <v>44695</v>
      </c>
      <c r="B26" s="22">
        <v>791.46479999999997</v>
      </c>
      <c r="C26" s="27">
        <v>6.4107000000000003</v>
      </c>
      <c r="D26" s="23">
        <f t="shared" si="23"/>
        <v>797.87549999999999</v>
      </c>
      <c r="E26" s="24">
        <f t="shared" si="24"/>
        <v>0.30000000003838101</v>
      </c>
      <c r="F26" s="25">
        <f t="shared" si="25"/>
        <v>-3.8999999999305102</v>
      </c>
      <c r="G26" s="26">
        <f t="shared" si="26"/>
        <v>0.15000000001919001</v>
      </c>
      <c r="H26" s="6">
        <v>7.6726999999999999</v>
      </c>
      <c r="I26" s="35">
        <f t="shared" si="27"/>
        <v>799.13750000000005</v>
      </c>
      <c r="J26" s="24">
        <f t="shared" si="28"/>
        <v>9.9999999974897905E-2</v>
      </c>
      <c r="K26" s="25">
        <f t="shared" si="29"/>
        <v>-2.5000000000545701</v>
      </c>
      <c r="L26" s="26">
        <f t="shared" si="30"/>
        <v>4.9999999987449001E-2</v>
      </c>
      <c r="M26" s="6">
        <v>5.7350000000000003</v>
      </c>
      <c r="N26" s="35">
        <f t="shared" si="31"/>
        <v>797.19979999999998</v>
      </c>
      <c r="O26" s="24">
        <f t="shared" si="32"/>
        <v>0.20000000006348301</v>
      </c>
      <c r="P26" s="25">
        <f t="shared" si="33"/>
        <v>-3.7999999999556202</v>
      </c>
      <c r="Q26" s="26">
        <f t="shared" si="34"/>
        <v>0.100000000031741</v>
      </c>
      <c r="R26" s="41"/>
      <c r="S26" s="21">
        <f t="shared" si="13"/>
        <v>44695</v>
      </c>
      <c r="T26" s="42">
        <v>8.9062000000000001</v>
      </c>
      <c r="U26" s="43">
        <f t="shared" si="14"/>
        <v>0.39999999999018598</v>
      </c>
      <c r="V26" s="44">
        <f t="shared" si="15"/>
        <v>-3.3999999999991801</v>
      </c>
      <c r="W26" s="45">
        <f t="shared" si="16"/>
        <v>-0.19999999999509299</v>
      </c>
      <c r="X26" s="29">
        <v>11.9839</v>
      </c>
      <c r="Y26" s="43">
        <f t="shared" si="17"/>
        <v>9.99999999997669E-2</v>
      </c>
      <c r="Z26" s="44">
        <f t="shared" si="18"/>
        <v>-1.59999999999982</v>
      </c>
      <c r="AA26" s="45">
        <f t="shared" si="19"/>
        <v>4.9999999999883499E-2</v>
      </c>
      <c r="AB26" s="49">
        <v>8.8219999999999992</v>
      </c>
      <c r="AC26" s="43">
        <f t="shared" si="20"/>
        <v>9.99999999997669E-2</v>
      </c>
      <c r="AD26" s="44">
        <f t="shared" si="21"/>
        <v>-3.1000000000016601</v>
      </c>
      <c r="AE26" s="45">
        <f t="shared" si="22"/>
        <v>4.9999999999883499E-2</v>
      </c>
      <c r="AF26" s="50">
        <v>79777</v>
      </c>
      <c r="AG26" s="58">
        <f t="shared" si="0"/>
        <v>120</v>
      </c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F26-F11</f>
        <v>-2.4999999999408802</v>
      </c>
      <c r="F27" s="33">
        <f>K26-K11</f>
        <v>-1.60000000005311</v>
      </c>
      <c r="G27" s="33">
        <f>P26-P11</f>
        <v>-2.6000000000294698</v>
      </c>
      <c r="H27" s="33">
        <f>F26</f>
        <v>-3.8999999999305102</v>
      </c>
      <c r="I27" s="66">
        <f>K26</f>
        <v>-2.5000000000545701</v>
      </c>
      <c r="J27" s="65">
        <f>P26</f>
        <v>-3.7999999999556202</v>
      </c>
      <c r="K27" s="33">
        <f>(K26-K11)/25</f>
        <v>-6.4000000002124594E-2</v>
      </c>
      <c r="L27" s="26"/>
      <c r="N27" s="35"/>
      <c r="O27" s="24"/>
      <c r="P27" s="25"/>
      <c r="Q27" s="26"/>
      <c r="R27" s="41"/>
      <c r="S27" s="21"/>
      <c r="T27" s="42"/>
      <c r="U27" s="65">
        <f>V26-V11</f>
        <v>-2.3999999999997401</v>
      </c>
      <c r="V27" s="33">
        <f>Z26-Z11</f>
        <v>-0.999999999999446</v>
      </c>
      <c r="W27" s="33">
        <f>AD26-AD11</f>
        <v>-2.4000000000015098</v>
      </c>
      <c r="X27" s="33">
        <f>V26</f>
        <v>-3.3999999999991801</v>
      </c>
      <c r="Y27" s="65">
        <f>Z26</f>
        <v>-1.59999999999982</v>
      </c>
      <c r="Z27" s="33">
        <f>AD26</f>
        <v>-3.1000000000016601</v>
      </c>
      <c r="AA27" s="33">
        <f>(V26-V11)/25</f>
        <v>-9.5999999999989399E-2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7"/>
  <sheetViews>
    <sheetView topLeftCell="P20" workbookViewId="0">
      <selection activeCell="P26" sqref="A26:XFD26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44684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44676</v>
      </c>
      <c r="B6" s="22">
        <v>791.46479999999997</v>
      </c>
      <c r="C6" s="27">
        <v>5.3875000000000002</v>
      </c>
      <c r="D6" s="23">
        <f t="shared" ref="D6:D25" si="0">C6+B6</f>
        <v>796.85230000000001</v>
      </c>
      <c r="E6" s="24">
        <v>0</v>
      </c>
      <c r="F6" s="25">
        <v>0</v>
      </c>
      <c r="G6" s="26">
        <v>0</v>
      </c>
      <c r="H6" s="6">
        <v>6.6622000000000003</v>
      </c>
      <c r="I6" s="35">
        <f t="shared" ref="I6:I25" si="1">H6+B6</f>
        <v>798.12699999999995</v>
      </c>
      <c r="J6" s="24">
        <v>0</v>
      </c>
      <c r="K6" s="25">
        <v>0</v>
      </c>
      <c r="L6" s="26">
        <v>0</v>
      </c>
      <c r="M6" s="6">
        <v>5.4714</v>
      </c>
      <c r="N6" s="35">
        <f t="shared" ref="N6:N25" si="2">M6+B6</f>
        <v>796.93619999999999</v>
      </c>
      <c r="O6" s="24">
        <v>0</v>
      </c>
      <c r="P6" s="25">
        <v>0</v>
      </c>
      <c r="Q6" s="26">
        <v>0</v>
      </c>
      <c r="R6" s="41"/>
      <c r="S6" s="21">
        <f t="shared" ref="S6:S25" si="3">A6</f>
        <v>44676</v>
      </c>
      <c r="T6" s="42">
        <v>8.7477</v>
      </c>
      <c r="U6" s="43">
        <v>0</v>
      </c>
      <c r="V6" s="44">
        <v>0</v>
      </c>
      <c r="W6" s="45">
        <f>U6/(S6-S11)</f>
        <v>0</v>
      </c>
      <c r="X6" s="29">
        <v>12.0101</v>
      </c>
      <c r="Y6" s="43">
        <v>0</v>
      </c>
      <c r="Z6" s="44">
        <v>0</v>
      </c>
      <c r="AA6" s="45">
        <v>0</v>
      </c>
      <c r="AB6" s="49">
        <v>8.9474999999999998</v>
      </c>
      <c r="AC6" s="43">
        <v>0</v>
      </c>
      <c r="AD6" s="44">
        <v>0</v>
      </c>
      <c r="AE6" s="45">
        <v>0</v>
      </c>
      <c r="AF6" s="50">
        <v>79688</v>
      </c>
      <c r="AG6" s="58">
        <f>AF6-79679</f>
        <v>9</v>
      </c>
      <c r="AH6" s="59"/>
      <c r="AI6" s="60"/>
      <c r="AJ6" s="61"/>
      <c r="AK6" s="62"/>
      <c r="AL6" s="52"/>
      <c r="AM6" s="52"/>
    </row>
    <row r="7" spans="1:48">
      <c r="A7" s="21">
        <v>44677</v>
      </c>
      <c r="B7" s="22">
        <v>791.46479999999997</v>
      </c>
      <c r="C7" s="27">
        <v>5.3874000000000004</v>
      </c>
      <c r="D7" s="23">
        <f t="shared" si="0"/>
        <v>796.85220000000004</v>
      </c>
      <c r="E7" s="24">
        <f t="shared" ref="E7:E20" si="4">(D7-D6)*1000</f>
        <v>-0.10000000008858501</v>
      </c>
      <c r="F7" s="25">
        <f t="shared" ref="F7:F20" si="5">F6+E7</f>
        <v>-0.10000000008858501</v>
      </c>
      <c r="G7" s="26">
        <f t="shared" ref="G7:G20" si="6">E7/(A7-A6)</f>
        <v>-0.10000000008858501</v>
      </c>
      <c r="H7" s="6">
        <v>6.6623000000000001</v>
      </c>
      <c r="I7" s="35">
        <f t="shared" si="1"/>
        <v>798.12710000000004</v>
      </c>
      <c r="J7" s="24">
        <f t="shared" ref="J7:J20" si="7">(I7-I6)*1000</f>
        <v>9.9999999974897905E-2</v>
      </c>
      <c r="K7" s="25">
        <f t="shared" ref="K7:K20" si="8">K6+J7</f>
        <v>9.9999999974897905E-2</v>
      </c>
      <c r="L7" s="26">
        <f t="shared" ref="L7:L20" si="9">J7/(A7-A6)</f>
        <v>9.9999999974897905E-2</v>
      </c>
      <c r="M7" s="6">
        <v>5.4713000000000003</v>
      </c>
      <c r="N7" s="35">
        <f t="shared" si="2"/>
        <v>796.93610000000001</v>
      </c>
      <c r="O7" s="24">
        <f t="shared" ref="O7:O20" si="10">(N7-N6)*1000</f>
        <v>-9.9999999974897905E-2</v>
      </c>
      <c r="P7" s="25">
        <f t="shared" ref="P7:P20" si="11">P6+O7</f>
        <v>-9.9999999974897905E-2</v>
      </c>
      <c r="Q7" s="26">
        <f t="shared" ref="Q7:Q20" si="12">O7/(A7-A6)</f>
        <v>-9.9999999974897905E-2</v>
      </c>
      <c r="R7" s="41"/>
      <c r="S7" s="21">
        <f t="shared" si="3"/>
        <v>44677</v>
      </c>
      <c r="T7" s="42">
        <v>8.7475000000000005</v>
      </c>
      <c r="U7" s="43">
        <f t="shared" ref="U7:U20" si="13">(T7-T6)*1000</f>
        <v>-0.19999999999953399</v>
      </c>
      <c r="V7" s="44">
        <f t="shared" ref="V7:V20" si="14">V6+U7</f>
        <v>-0.19999999999953399</v>
      </c>
      <c r="W7" s="45">
        <f t="shared" ref="W7:W20" si="15">U7/(S6-S7)</f>
        <v>0.19999999999953399</v>
      </c>
      <c r="X7" s="29">
        <v>12.010300000000001</v>
      </c>
      <c r="Y7" s="43">
        <f t="shared" ref="Y7:Y20" si="16">(X7-X6)*1000</f>
        <v>0.20000000000130999</v>
      </c>
      <c r="Z7" s="44">
        <f t="shared" ref="Z7:Z20" si="17">Z6+Y7</f>
        <v>0.20000000000130999</v>
      </c>
      <c r="AA7" s="45">
        <f t="shared" ref="AA7:AA20" si="18">Y7/(S7-S6)</f>
        <v>0.20000000000130999</v>
      </c>
      <c r="AB7" s="49">
        <v>8.9473000000000003</v>
      </c>
      <c r="AC7" s="43">
        <f t="shared" ref="AC7:AC20" si="19">(AB7-AB6)*1000</f>
        <v>-0.19999999999953399</v>
      </c>
      <c r="AD7" s="44">
        <f t="shared" ref="AD7:AD20" si="20">AD6+AC7</f>
        <v>-0.19999999999953399</v>
      </c>
      <c r="AE7" s="45">
        <f t="shared" ref="AE7:AE20" si="21">AC7/(S7-S6)</f>
        <v>-0.19999999999953399</v>
      </c>
      <c r="AF7" s="50">
        <v>79694</v>
      </c>
      <c r="AG7" s="58">
        <f>AF7-79679</f>
        <v>15</v>
      </c>
      <c r="AH7" s="59"/>
      <c r="AI7" s="60"/>
      <c r="AJ7" s="61"/>
      <c r="AK7" s="62"/>
      <c r="AL7" s="52"/>
      <c r="AM7" s="52"/>
    </row>
    <row r="8" spans="1:48">
      <c r="A8" s="21">
        <v>44678</v>
      </c>
      <c r="B8" s="22">
        <v>791.46479999999997</v>
      </c>
      <c r="C8" s="27">
        <v>5.3872</v>
      </c>
      <c r="D8" s="23">
        <f t="shared" si="0"/>
        <v>796.85199999999998</v>
      </c>
      <c r="E8" s="24">
        <f t="shared" si="4"/>
        <v>-0.199999999949796</v>
      </c>
      <c r="F8" s="25">
        <f t="shared" si="5"/>
        <v>-0.30000000003838101</v>
      </c>
      <c r="G8" s="26">
        <f t="shared" si="6"/>
        <v>-0.199999999949796</v>
      </c>
      <c r="H8" s="6">
        <v>6.6624999999999996</v>
      </c>
      <c r="I8" s="35">
        <f t="shared" si="1"/>
        <v>798.12729999999999</v>
      </c>
      <c r="J8" s="24">
        <f t="shared" si="7"/>
        <v>0.20000000006348301</v>
      </c>
      <c r="K8" s="25">
        <f t="shared" si="8"/>
        <v>0.30000000003838101</v>
      </c>
      <c r="L8" s="26">
        <f t="shared" si="9"/>
        <v>0.20000000006348301</v>
      </c>
      <c r="M8" s="6">
        <v>5.4710000000000001</v>
      </c>
      <c r="N8" s="35">
        <f t="shared" si="2"/>
        <v>796.93579999999997</v>
      </c>
      <c r="O8" s="24">
        <f t="shared" si="10"/>
        <v>-0.30000000003838101</v>
      </c>
      <c r="P8" s="25">
        <f t="shared" si="11"/>
        <v>-0.40000000001327901</v>
      </c>
      <c r="Q8" s="26">
        <f t="shared" si="12"/>
        <v>-0.30000000003838101</v>
      </c>
      <c r="R8" s="41"/>
      <c r="S8" s="21">
        <f t="shared" si="3"/>
        <v>44678</v>
      </c>
      <c r="T8" s="42">
        <v>8.7472999999999992</v>
      </c>
      <c r="U8" s="43">
        <f t="shared" si="13"/>
        <v>-0.20000000000130999</v>
      </c>
      <c r="V8" s="44">
        <f t="shared" si="14"/>
        <v>-0.40000000000084401</v>
      </c>
      <c r="W8" s="45">
        <f t="shared" si="15"/>
        <v>0.20000000000130999</v>
      </c>
      <c r="X8" s="29">
        <v>12.010199999999999</v>
      </c>
      <c r="Y8" s="43">
        <f t="shared" si="16"/>
        <v>-0.10000000000154299</v>
      </c>
      <c r="Z8" s="44">
        <f t="shared" si="17"/>
        <v>9.99999999997669E-2</v>
      </c>
      <c r="AA8" s="45">
        <f t="shared" si="18"/>
        <v>-0.10000000000154299</v>
      </c>
      <c r="AB8" s="49">
        <v>8.9469999999999992</v>
      </c>
      <c r="AC8" s="43">
        <f t="shared" si="19"/>
        <v>-0.30000000000107702</v>
      </c>
      <c r="AD8" s="44">
        <f t="shared" si="20"/>
        <v>-0.50000000000061096</v>
      </c>
      <c r="AE8" s="45">
        <f t="shared" si="21"/>
        <v>-0.30000000000107702</v>
      </c>
      <c r="AF8" s="50">
        <v>79700</v>
      </c>
      <c r="AG8" s="58">
        <f t="shared" ref="AG8:AG25" si="22">AF8-79679</f>
        <v>21</v>
      </c>
      <c r="AH8" s="59"/>
      <c r="AI8" s="60"/>
      <c r="AJ8" s="61"/>
      <c r="AK8" s="62"/>
      <c r="AL8" s="52"/>
      <c r="AM8" s="52"/>
    </row>
    <row r="9" spans="1:48">
      <c r="A9" s="21">
        <v>44679</v>
      </c>
      <c r="B9" s="22">
        <v>791.46479999999997</v>
      </c>
      <c r="C9" s="27">
        <v>5.3871000000000002</v>
      </c>
      <c r="D9" s="23">
        <f t="shared" si="0"/>
        <v>796.8519</v>
      </c>
      <c r="E9" s="24">
        <f t="shared" si="4"/>
        <v>-9.9999999974897905E-2</v>
      </c>
      <c r="F9" s="25">
        <f t="shared" si="5"/>
        <v>-0.40000000001327901</v>
      </c>
      <c r="G9" s="26">
        <f t="shared" si="6"/>
        <v>-9.9999999974897905E-2</v>
      </c>
      <c r="H9" s="6">
        <v>6.6619999999999999</v>
      </c>
      <c r="I9" s="35">
        <f t="shared" si="1"/>
        <v>798.1268</v>
      </c>
      <c r="J9" s="24">
        <f t="shared" si="7"/>
        <v>-0.49999999998817701</v>
      </c>
      <c r="K9" s="25">
        <f t="shared" si="8"/>
        <v>-0.199999999949796</v>
      </c>
      <c r="L9" s="26">
        <f t="shared" si="9"/>
        <v>-0.49999999998817701</v>
      </c>
      <c r="M9" s="6">
        <v>5.4707999999999997</v>
      </c>
      <c r="N9" s="35">
        <f t="shared" si="2"/>
        <v>796.93560000000002</v>
      </c>
      <c r="O9" s="24">
        <f t="shared" si="10"/>
        <v>-0.199999999949796</v>
      </c>
      <c r="P9" s="25">
        <f t="shared" si="11"/>
        <v>-0.59999999996307496</v>
      </c>
      <c r="Q9" s="26">
        <f t="shared" si="12"/>
        <v>-0.199999999949796</v>
      </c>
      <c r="R9" s="41"/>
      <c r="S9" s="21">
        <f t="shared" si="3"/>
        <v>44679</v>
      </c>
      <c r="T9" s="42">
        <v>8.7471999999999994</v>
      </c>
      <c r="U9" s="43">
        <f t="shared" si="13"/>
        <v>-9.99999999997669E-2</v>
      </c>
      <c r="V9" s="44">
        <f t="shared" si="14"/>
        <v>-0.50000000000061096</v>
      </c>
      <c r="W9" s="45">
        <f t="shared" si="15"/>
        <v>9.99999999997669E-2</v>
      </c>
      <c r="X9" s="29">
        <v>12.0099</v>
      </c>
      <c r="Y9" s="43">
        <f t="shared" si="16"/>
        <v>-0.29999999999930099</v>
      </c>
      <c r="Z9" s="44">
        <f t="shared" si="17"/>
        <v>-0.19999999999953399</v>
      </c>
      <c r="AA9" s="45">
        <f t="shared" si="18"/>
        <v>-0.29999999999930099</v>
      </c>
      <c r="AB9" s="49">
        <v>8.9468999999999994</v>
      </c>
      <c r="AC9" s="43">
        <f t="shared" si="19"/>
        <v>-9.99999999997669E-2</v>
      </c>
      <c r="AD9" s="44">
        <f t="shared" si="20"/>
        <v>-0.60000000000037801</v>
      </c>
      <c r="AE9" s="45">
        <f t="shared" si="21"/>
        <v>-9.99999999997669E-2</v>
      </c>
      <c r="AF9" s="50">
        <v>79706</v>
      </c>
      <c r="AG9" s="58">
        <f t="shared" si="22"/>
        <v>27</v>
      </c>
      <c r="AH9" s="61"/>
      <c r="AI9" s="60"/>
      <c r="AJ9"/>
      <c r="AK9"/>
      <c r="AL9"/>
      <c r="AM9"/>
    </row>
    <row r="10" spans="1:48">
      <c r="A10" s="21">
        <v>44680</v>
      </c>
      <c r="B10" s="22">
        <v>791.46479999999997</v>
      </c>
      <c r="C10" s="27">
        <v>5.3868</v>
      </c>
      <c r="D10" s="23">
        <f t="shared" si="0"/>
        <v>796.85159999999996</v>
      </c>
      <c r="E10" s="24">
        <f t="shared" si="4"/>
        <v>-0.30000000003838101</v>
      </c>
      <c r="F10" s="25">
        <f t="shared" si="5"/>
        <v>-0.70000000005165897</v>
      </c>
      <c r="G10" s="26">
        <f t="shared" si="6"/>
        <v>-0.30000000003838101</v>
      </c>
      <c r="H10" s="6">
        <v>6.6616999999999997</v>
      </c>
      <c r="I10" s="35">
        <f t="shared" si="1"/>
        <v>798.12649999999996</v>
      </c>
      <c r="J10" s="24">
        <f t="shared" si="7"/>
        <v>-0.30000000003838101</v>
      </c>
      <c r="K10" s="25">
        <f t="shared" si="8"/>
        <v>-0.49999999998817701</v>
      </c>
      <c r="L10" s="26">
        <f t="shared" si="9"/>
        <v>-0.30000000003838101</v>
      </c>
      <c r="M10" s="6">
        <v>5.4705000000000004</v>
      </c>
      <c r="N10" s="35">
        <f t="shared" si="2"/>
        <v>796.93529999999998</v>
      </c>
      <c r="O10" s="24">
        <f t="shared" si="10"/>
        <v>-0.30000000003838101</v>
      </c>
      <c r="P10" s="25">
        <f t="shared" si="11"/>
        <v>-0.90000000000145497</v>
      </c>
      <c r="Q10" s="26">
        <f t="shared" si="12"/>
        <v>-0.30000000003838101</v>
      </c>
      <c r="R10" s="41"/>
      <c r="S10" s="21">
        <f t="shared" si="3"/>
        <v>44680</v>
      </c>
      <c r="T10" s="42">
        <v>8.7469000000000001</v>
      </c>
      <c r="U10" s="43">
        <f t="shared" si="13"/>
        <v>-0.29999999999930099</v>
      </c>
      <c r="V10" s="44">
        <f t="shared" si="14"/>
        <v>-0.799999999999912</v>
      </c>
      <c r="W10" s="45">
        <f t="shared" si="15"/>
        <v>0.29999999999930099</v>
      </c>
      <c r="X10" s="29">
        <v>12.009600000000001</v>
      </c>
      <c r="Y10" s="43">
        <f t="shared" si="16"/>
        <v>-0.29999999999930099</v>
      </c>
      <c r="Z10" s="44">
        <f t="shared" si="17"/>
        <v>-0.49999999999883499</v>
      </c>
      <c r="AA10" s="45">
        <f t="shared" si="18"/>
        <v>-0.29999999999930099</v>
      </c>
      <c r="AB10" s="49">
        <v>8.9466000000000001</v>
      </c>
      <c r="AC10" s="43">
        <f t="shared" si="19"/>
        <v>-0.29999999999930099</v>
      </c>
      <c r="AD10" s="44">
        <f t="shared" si="20"/>
        <v>-0.89999999999967895</v>
      </c>
      <c r="AE10" s="45">
        <f t="shared" si="21"/>
        <v>-0.29999999999930099</v>
      </c>
      <c r="AF10" s="50">
        <v>79712</v>
      </c>
      <c r="AG10" s="58">
        <f t="shared" si="22"/>
        <v>33</v>
      </c>
      <c r="AH10" s="59"/>
      <c r="AI10" s="60"/>
      <c r="AJ10" s="61"/>
      <c r="AK10" s="62"/>
      <c r="AL10" s="52"/>
      <c r="AM10" s="52"/>
    </row>
    <row r="11" spans="1:48">
      <c r="A11" s="21">
        <v>44681</v>
      </c>
      <c r="B11" s="22">
        <v>791.46479999999997</v>
      </c>
      <c r="C11" s="27">
        <v>5.3865999999999996</v>
      </c>
      <c r="D11" s="23">
        <f t="shared" si="0"/>
        <v>796.85140000000001</v>
      </c>
      <c r="E11" s="24">
        <f t="shared" si="4"/>
        <v>-0.199999999949796</v>
      </c>
      <c r="F11" s="25">
        <f t="shared" si="5"/>
        <v>-0.90000000000145497</v>
      </c>
      <c r="G11" s="26">
        <f t="shared" si="6"/>
        <v>-0.199999999949796</v>
      </c>
      <c r="H11" s="6">
        <v>6.6618000000000004</v>
      </c>
      <c r="I11" s="35">
        <f t="shared" si="1"/>
        <v>798.12660000000005</v>
      </c>
      <c r="J11" s="24">
        <f t="shared" si="7"/>
        <v>9.9999999974897905E-2</v>
      </c>
      <c r="K11" s="25">
        <f t="shared" si="8"/>
        <v>-0.40000000001327901</v>
      </c>
      <c r="L11" s="26">
        <f t="shared" si="9"/>
        <v>9.9999999974897905E-2</v>
      </c>
      <c r="M11" s="6">
        <v>5.4703999999999997</v>
      </c>
      <c r="N11" s="35">
        <f t="shared" si="2"/>
        <v>796.93520000000001</v>
      </c>
      <c r="O11" s="24">
        <f t="shared" si="10"/>
        <v>-9.9999999974897905E-2</v>
      </c>
      <c r="P11" s="25">
        <f t="shared" si="11"/>
        <v>-0.99999999997635303</v>
      </c>
      <c r="Q11" s="26">
        <f t="shared" si="12"/>
        <v>-9.9999999974897905E-2</v>
      </c>
      <c r="R11" s="41"/>
      <c r="S11" s="21">
        <f t="shared" si="3"/>
        <v>44681</v>
      </c>
      <c r="T11" s="42">
        <v>8.7467000000000006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12.0099</v>
      </c>
      <c r="Y11" s="43">
        <f t="shared" si="16"/>
        <v>0.29999999999930099</v>
      </c>
      <c r="Z11" s="44">
        <f t="shared" si="17"/>
        <v>-0.19999999999953399</v>
      </c>
      <c r="AA11" s="45">
        <f t="shared" si="18"/>
        <v>0.29999999999930099</v>
      </c>
      <c r="AB11" s="49">
        <v>8.9465000000000003</v>
      </c>
      <c r="AC11" s="43">
        <f t="shared" si="19"/>
        <v>-9.99999999997669E-2</v>
      </c>
      <c r="AD11" s="44">
        <f t="shared" si="20"/>
        <v>-0.999999999999446</v>
      </c>
      <c r="AE11" s="45">
        <f t="shared" si="21"/>
        <v>-9.99999999997669E-2</v>
      </c>
      <c r="AF11" s="50">
        <v>79718</v>
      </c>
      <c r="AG11" s="58">
        <f t="shared" si="22"/>
        <v>39</v>
      </c>
      <c r="AH11" s="59"/>
      <c r="AI11" s="60"/>
      <c r="AJ11" s="52"/>
      <c r="AK11" s="52"/>
      <c r="AL11" s="52"/>
      <c r="AM11" s="52"/>
    </row>
    <row r="12" spans="1:48">
      <c r="A12" s="21">
        <v>44682</v>
      </c>
      <c r="B12" s="22">
        <v>791.46479999999997</v>
      </c>
      <c r="C12" s="27">
        <v>5.3864999999999998</v>
      </c>
      <c r="D12" s="23">
        <f t="shared" si="0"/>
        <v>796.85130000000004</v>
      </c>
      <c r="E12" s="24">
        <f t="shared" si="4"/>
        <v>-0.10000000008858501</v>
      </c>
      <c r="F12" s="25">
        <f t="shared" si="5"/>
        <v>-1.00000000009004</v>
      </c>
      <c r="G12" s="26">
        <f t="shared" si="6"/>
        <v>-0.10000000008858501</v>
      </c>
      <c r="H12" s="6">
        <v>6.6611000000000002</v>
      </c>
      <c r="I12" s="35">
        <f t="shared" si="1"/>
        <v>798.1259</v>
      </c>
      <c r="J12" s="24">
        <f t="shared" si="7"/>
        <v>-0.69999999993797202</v>
      </c>
      <c r="K12" s="25">
        <f t="shared" si="8"/>
        <v>-1.09999999995125</v>
      </c>
      <c r="L12" s="26">
        <f t="shared" si="9"/>
        <v>-0.69999999993797202</v>
      </c>
      <c r="M12" s="6">
        <v>5.4702000000000002</v>
      </c>
      <c r="N12" s="35">
        <f t="shared" si="2"/>
        <v>796.93499999999995</v>
      </c>
      <c r="O12" s="24">
        <f t="shared" si="10"/>
        <v>-0.20000000006348301</v>
      </c>
      <c r="P12" s="25">
        <f t="shared" si="11"/>
        <v>-1.2000000000398401</v>
      </c>
      <c r="Q12" s="26">
        <f t="shared" si="12"/>
        <v>-0.20000000006348301</v>
      </c>
      <c r="R12" s="41"/>
      <c r="S12" s="21">
        <f t="shared" si="3"/>
        <v>44682</v>
      </c>
      <c r="T12" s="42">
        <v>8.7469999999999999</v>
      </c>
      <c r="U12" s="43">
        <f t="shared" si="13"/>
        <v>0.29999999999930099</v>
      </c>
      <c r="V12" s="44">
        <f t="shared" si="14"/>
        <v>-0.70000000000014495</v>
      </c>
      <c r="W12" s="45">
        <f t="shared" si="15"/>
        <v>-0.29999999999930099</v>
      </c>
      <c r="X12" s="29">
        <v>12.009</v>
      </c>
      <c r="Y12" s="43">
        <f t="shared" si="16"/>
        <v>-0.89999999999967895</v>
      </c>
      <c r="Z12" s="44">
        <f t="shared" si="17"/>
        <v>-1.0999999999992101</v>
      </c>
      <c r="AA12" s="45">
        <f t="shared" si="18"/>
        <v>-0.89999999999967895</v>
      </c>
      <c r="AB12" s="49">
        <v>8.9463000000000008</v>
      </c>
      <c r="AC12" s="43">
        <f t="shared" si="19"/>
        <v>-0.19999999999953399</v>
      </c>
      <c r="AD12" s="44">
        <f t="shared" si="20"/>
        <v>-1.1999999999989801</v>
      </c>
      <c r="AE12" s="45">
        <f t="shared" si="21"/>
        <v>-0.19999999999953399</v>
      </c>
      <c r="AF12" s="50">
        <v>79724</v>
      </c>
      <c r="AG12" s="58">
        <f t="shared" si="22"/>
        <v>45</v>
      </c>
      <c r="AH12" s="61"/>
      <c r="AI12" s="60"/>
      <c r="AJ12"/>
      <c r="AK12"/>
      <c r="AL12"/>
      <c r="AM12"/>
    </row>
    <row r="13" spans="1:48">
      <c r="A13" s="21">
        <v>44683</v>
      </c>
      <c r="B13" s="22">
        <v>791.46479999999997</v>
      </c>
      <c r="C13" s="27">
        <v>5.3861999999999997</v>
      </c>
      <c r="D13" s="23">
        <f t="shared" si="0"/>
        <v>796.851</v>
      </c>
      <c r="E13" s="24">
        <f t="shared" si="4"/>
        <v>-0.29999999992469401</v>
      </c>
      <c r="F13" s="25">
        <f t="shared" si="5"/>
        <v>-1.30000000001473</v>
      </c>
      <c r="G13" s="26">
        <f t="shared" si="6"/>
        <v>-0.29999999992469401</v>
      </c>
      <c r="H13" s="6">
        <v>6.6608000000000001</v>
      </c>
      <c r="I13" s="35">
        <f t="shared" si="1"/>
        <v>798.12559999999996</v>
      </c>
      <c r="J13" s="24">
        <f t="shared" si="7"/>
        <v>-0.30000000003838101</v>
      </c>
      <c r="K13" s="25">
        <f t="shared" si="8"/>
        <v>-1.39999999998963</v>
      </c>
      <c r="L13" s="26">
        <f t="shared" si="9"/>
        <v>-0.30000000003838101</v>
      </c>
      <c r="M13" s="6">
        <v>5.4702999999999999</v>
      </c>
      <c r="N13" s="35">
        <f t="shared" si="2"/>
        <v>796.93510000000003</v>
      </c>
      <c r="O13" s="24">
        <f t="shared" si="10"/>
        <v>9.9999999974897905E-2</v>
      </c>
      <c r="P13" s="25">
        <f t="shared" si="11"/>
        <v>-1.1000000000649399</v>
      </c>
      <c r="Q13" s="26">
        <f t="shared" si="12"/>
        <v>9.9999999974897905E-2</v>
      </c>
      <c r="R13" s="41"/>
      <c r="S13" s="21">
        <f t="shared" si="3"/>
        <v>44683</v>
      </c>
      <c r="T13" s="42">
        <v>8.7462999999999997</v>
      </c>
      <c r="U13" s="43">
        <f t="shared" si="13"/>
        <v>-0.70000000000014495</v>
      </c>
      <c r="V13" s="44">
        <f t="shared" si="14"/>
        <v>-1.4000000000002899</v>
      </c>
      <c r="W13" s="45">
        <f t="shared" si="15"/>
        <v>0.70000000000014495</v>
      </c>
      <c r="X13" s="29">
        <v>12.0091</v>
      </c>
      <c r="Y13" s="43">
        <f t="shared" si="16"/>
        <v>9.99999999997669E-2</v>
      </c>
      <c r="Z13" s="44">
        <f t="shared" si="17"/>
        <v>-0.999999999999446</v>
      </c>
      <c r="AA13" s="45">
        <f t="shared" si="18"/>
        <v>9.99999999997669E-2</v>
      </c>
      <c r="AB13" s="49">
        <v>8.9461999999999993</v>
      </c>
      <c r="AC13" s="43">
        <f t="shared" si="19"/>
        <v>-0.10000000000154299</v>
      </c>
      <c r="AD13" s="44">
        <f t="shared" si="20"/>
        <v>-1.3000000000005201</v>
      </c>
      <c r="AE13" s="45">
        <f t="shared" si="21"/>
        <v>-0.10000000000154299</v>
      </c>
      <c r="AF13" s="50">
        <v>79730</v>
      </c>
      <c r="AG13" s="58">
        <f t="shared" si="22"/>
        <v>51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44684</v>
      </c>
      <c r="B14" s="22">
        <v>791.46479999999997</v>
      </c>
      <c r="C14" s="27">
        <v>5.3860000000000001</v>
      </c>
      <c r="D14" s="23">
        <f t="shared" si="0"/>
        <v>796.85080000000005</v>
      </c>
      <c r="E14" s="24">
        <f t="shared" si="4"/>
        <v>-0.20000000006348301</v>
      </c>
      <c r="F14" s="25">
        <f t="shared" si="5"/>
        <v>-1.5000000000782201</v>
      </c>
      <c r="G14" s="26">
        <f t="shared" si="6"/>
        <v>-0.20000000006348301</v>
      </c>
      <c r="H14" s="6">
        <v>6.6607000000000003</v>
      </c>
      <c r="I14" s="35">
        <f t="shared" si="1"/>
        <v>798.12549999999999</v>
      </c>
      <c r="J14" s="24">
        <f t="shared" si="7"/>
        <v>-9.9999999974897905E-2</v>
      </c>
      <c r="K14" s="25">
        <f t="shared" si="8"/>
        <v>-1.4999999999645299</v>
      </c>
      <c r="L14" s="26">
        <f t="shared" si="9"/>
        <v>-9.9999999974897905E-2</v>
      </c>
      <c r="M14" s="6">
        <v>5.4698000000000002</v>
      </c>
      <c r="N14" s="35">
        <f t="shared" si="2"/>
        <v>796.93460000000005</v>
      </c>
      <c r="O14" s="24">
        <f t="shared" si="10"/>
        <v>-0.49999999998817701</v>
      </c>
      <c r="P14" s="25">
        <f t="shared" si="11"/>
        <v>-1.60000000005311</v>
      </c>
      <c r="Q14" s="26">
        <f t="shared" si="12"/>
        <v>-0.49999999998817701</v>
      </c>
      <c r="R14" s="41"/>
      <c r="S14" s="21">
        <f t="shared" si="3"/>
        <v>44684</v>
      </c>
      <c r="T14" s="42">
        <v>8.7461000000000002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12.0084</v>
      </c>
      <c r="Y14" s="43">
        <f t="shared" si="16"/>
        <v>-0.70000000000014495</v>
      </c>
      <c r="Z14" s="44">
        <f t="shared" si="17"/>
        <v>-1.6999999999995901</v>
      </c>
      <c r="AA14" s="45">
        <f t="shared" si="18"/>
        <v>-0.70000000000014495</v>
      </c>
      <c r="AB14" s="49">
        <v>8.9459</v>
      </c>
      <c r="AC14" s="43">
        <f t="shared" si="19"/>
        <v>-0.29999999999930099</v>
      </c>
      <c r="AD14" s="44">
        <f t="shared" si="20"/>
        <v>-1.59999999999982</v>
      </c>
      <c r="AE14" s="45">
        <f t="shared" si="21"/>
        <v>-0.29999999999930099</v>
      </c>
      <c r="AF14" s="50">
        <v>79736</v>
      </c>
      <c r="AG14" s="58">
        <f t="shared" si="22"/>
        <v>57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44685</v>
      </c>
      <c r="B15" s="22">
        <v>791.46479999999997</v>
      </c>
      <c r="C15" s="27">
        <v>5.3863000000000003</v>
      </c>
      <c r="D15" s="23">
        <f t="shared" si="0"/>
        <v>796.85109999999997</v>
      </c>
      <c r="E15" s="24">
        <f t="shared" si="4"/>
        <v>0.30000000003838101</v>
      </c>
      <c r="F15" s="25">
        <f t="shared" si="5"/>
        <v>-1.2000000000398401</v>
      </c>
      <c r="G15" s="26">
        <f t="shared" si="6"/>
        <v>0.30000000003838101</v>
      </c>
      <c r="H15" s="6">
        <v>6.6601999999999997</v>
      </c>
      <c r="I15" s="35">
        <f t="shared" si="1"/>
        <v>798.125</v>
      </c>
      <c r="J15" s="24">
        <f t="shared" si="7"/>
        <v>-0.49999999998817701</v>
      </c>
      <c r="K15" s="25">
        <f t="shared" si="8"/>
        <v>-1.9999999999527101</v>
      </c>
      <c r="L15" s="26">
        <f t="shared" si="9"/>
        <v>-0.49999999998817701</v>
      </c>
      <c r="M15" s="6">
        <v>5.4695999999999998</v>
      </c>
      <c r="N15" s="35">
        <f t="shared" si="2"/>
        <v>796.93439999999998</v>
      </c>
      <c r="O15" s="24">
        <f t="shared" si="10"/>
        <v>-0.199999999949796</v>
      </c>
      <c r="P15" s="25">
        <f t="shared" si="11"/>
        <v>-1.8000000000029099</v>
      </c>
      <c r="Q15" s="26">
        <f t="shared" si="12"/>
        <v>-0.199999999949796</v>
      </c>
      <c r="R15" s="41"/>
      <c r="S15" s="21">
        <f t="shared" si="3"/>
        <v>44685</v>
      </c>
      <c r="T15" s="42">
        <v>8.7459000000000007</v>
      </c>
      <c r="U15" s="43">
        <f t="shared" si="13"/>
        <v>-0.19999999999953399</v>
      </c>
      <c r="V15" s="44">
        <f t="shared" si="14"/>
        <v>-1.7999999999993599</v>
      </c>
      <c r="W15" s="45">
        <f t="shared" si="15"/>
        <v>0.19999999999953399</v>
      </c>
      <c r="X15" s="29">
        <v>12.008100000000001</v>
      </c>
      <c r="Y15" s="43">
        <f t="shared" si="16"/>
        <v>-0.29999999999930099</v>
      </c>
      <c r="Z15" s="44">
        <f t="shared" si="17"/>
        <v>-1.99999999999889</v>
      </c>
      <c r="AA15" s="45">
        <f t="shared" si="18"/>
        <v>-0.29999999999930099</v>
      </c>
      <c r="AB15" s="49">
        <v>8.9459999999999997</v>
      </c>
      <c r="AC15" s="43">
        <f t="shared" si="19"/>
        <v>9.99999999997669E-2</v>
      </c>
      <c r="AD15" s="44">
        <f t="shared" si="20"/>
        <v>-1.50000000000006</v>
      </c>
      <c r="AE15" s="45">
        <f t="shared" si="21"/>
        <v>9.99999999997669E-2</v>
      </c>
      <c r="AF15" s="50">
        <v>79742</v>
      </c>
      <c r="AG15" s="58">
        <f t="shared" si="22"/>
        <v>63</v>
      </c>
      <c r="AH15" s="61"/>
      <c r="AI15" s="60"/>
      <c r="AJ15"/>
      <c r="AK15"/>
      <c r="AL15"/>
      <c r="AM15"/>
    </row>
    <row r="16" spans="1:48">
      <c r="A16" s="21">
        <v>44686</v>
      </c>
      <c r="B16" s="22">
        <v>791.46479999999997</v>
      </c>
      <c r="C16" s="27">
        <v>5.3856000000000002</v>
      </c>
      <c r="D16" s="23">
        <f t="shared" si="0"/>
        <v>796.85040000000004</v>
      </c>
      <c r="E16" s="24">
        <f t="shared" si="4"/>
        <v>-0.70000000005165897</v>
      </c>
      <c r="F16" s="25">
        <f t="shared" si="5"/>
        <v>-1.9000000000915001</v>
      </c>
      <c r="G16" s="26">
        <f t="shared" si="6"/>
        <v>-0.70000000005165897</v>
      </c>
      <c r="H16" s="6">
        <v>6.6604999999999999</v>
      </c>
      <c r="I16" s="35">
        <f t="shared" si="1"/>
        <v>798.12530000000004</v>
      </c>
      <c r="J16" s="24">
        <f t="shared" si="7"/>
        <v>0.29999999992469401</v>
      </c>
      <c r="K16" s="25">
        <f t="shared" si="8"/>
        <v>-1.70000000002801</v>
      </c>
      <c r="L16" s="26">
        <f t="shared" si="9"/>
        <v>0.29999999992469401</v>
      </c>
      <c r="M16" s="6">
        <v>5.4702000000000002</v>
      </c>
      <c r="N16" s="35">
        <f t="shared" si="2"/>
        <v>796.93499999999995</v>
      </c>
      <c r="O16" s="24">
        <f t="shared" si="10"/>
        <v>0.59999999996307496</v>
      </c>
      <c r="P16" s="25">
        <f t="shared" si="11"/>
        <v>-1.2000000000398401</v>
      </c>
      <c r="Q16" s="26">
        <f t="shared" si="12"/>
        <v>0.59999999996307496</v>
      </c>
      <c r="R16" s="41"/>
      <c r="S16" s="21">
        <f t="shared" si="3"/>
        <v>44686</v>
      </c>
      <c r="T16" s="42">
        <v>8.7462</v>
      </c>
      <c r="U16" s="43">
        <f t="shared" si="13"/>
        <v>0.29999999999930099</v>
      </c>
      <c r="V16" s="44">
        <f t="shared" si="14"/>
        <v>-1.50000000000006</v>
      </c>
      <c r="W16" s="45">
        <f t="shared" si="15"/>
        <v>-0.29999999999930099</v>
      </c>
      <c r="X16" s="29">
        <v>12.0083</v>
      </c>
      <c r="Y16" s="43">
        <f t="shared" si="16"/>
        <v>0.19999999999953399</v>
      </c>
      <c r="Z16" s="44">
        <f t="shared" si="17"/>
        <v>-1.7999999999993599</v>
      </c>
      <c r="AA16" s="45">
        <f t="shared" si="18"/>
        <v>0.19999999999953399</v>
      </c>
      <c r="AB16" s="49">
        <v>8.9454999999999991</v>
      </c>
      <c r="AC16" s="43">
        <f t="shared" si="19"/>
        <v>-0.50000000000061096</v>
      </c>
      <c r="AD16" s="44">
        <f t="shared" si="20"/>
        <v>-2.0000000000006701</v>
      </c>
      <c r="AE16" s="45">
        <f t="shared" si="21"/>
        <v>-0.50000000000061096</v>
      </c>
      <c r="AF16" s="50">
        <v>79748</v>
      </c>
      <c r="AG16" s="58">
        <f t="shared" si="22"/>
        <v>69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44687</v>
      </c>
      <c r="B17" s="22">
        <v>791.46479999999997</v>
      </c>
      <c r="C17" s="27">
        <v>5.3853999999999997</v>
      </c>
      <c r="D17" s="23">
        <f t="shared" si="0"/>
        <v>796.85019999999997</v>
      </c>
      <c r="E17" s="24">
        <f t="shared" si="4"/>
        <v>-0.199999999949796</v>
      </c>
      <c r="F17" s="25">
        <f t="shared" si="5"/>
        <v>-2.1000000000412902</v>
      </c>
      <c r="G17" s="26">
        <f t="shared" si="6"/>
        <v>-0.199999999949796</v>
      </c>
      <c r="H17" s="6">
        <v>6.6596000000000002</v>
      </c>
      <c r="I17" s="35">
        <f t="shared" si="1"/>
        <v>798.12440000000004</v>
      </c>
      <c r="J17" s="24">
        <f t="shared" si="7"/>
        <v>-0.90000000000145497</v>
      </c>
      <c r="K17" s="25">
        <f t="shared" si="8"/>
        <v>-2.6000000000294698</v>
      </c>
      <c r="L17" s="26">
        <f t="shared" si="9"/>
        <v>-0.90000000000145497</v>
      </c>
      <c r="M17" s="6">
        <v>5.4691999999999998</v>
      </c>
      <c r="N17" s="35">
        <f t="shared" si="2"/>
        <v>796.93399999999997</v>
      </c>
      <c r="O17" s="24">
        <f t="shared" si="10"/>
        <v>-0.99999999997635303</v>
      </c>
      <c r="P17" s="25">
        <f t="shared" si="11"/>
        <v>-2.2000000000161899</v>
      </c>
      <c r="Q17" s="26">
        <f t="shared" si="12"/>
        <v>-0.99999999997635303</v>
      </c>
      <c r="R17" s="41"/>
      <c r="S17" s="21">
        <f t="shared" si="3"/>
        <v>44687</v>
      </c>
      <c r="T17" s="42">
        <v>8.7455000000000105</v>
      </c>
      <c r="U17" s="43">
        <f t="shared" si="13"/>
        <v>-0.69999999998948703</v>
      </c>
      <c r="V17" s="44">
        <f t="shared" si="14"/>
        <v>-2.1999999999895401</v>
      </c>
      <c r="W17" s="45">
        <f t="shared" si="15"/>
        <v>0.69999999998948703</v>
      </c>
      <c r="X17" s="29">
        <v>12.0075</v>
      </c>
      <c r="Y17" s="43">
        <f t="shared" si="16"/>
        <v>-0.799999999999912</v>
      </c>
      <c r="Z17" s="44">
        <f t="shared" si="17"/>
        <v>-2.59999999999927</v>
      </c>
      <c r="AA17" s="45">
        <f t="shared" si="18"/>
        <v>-0.799999999999912</v>
      </c>
      <c r="AB17" s="49">
        <v>8.9452999999999996</v>
      </c>
      <c r="AC17" s="43">
        <f t="shared" si="19"/>
        <v>-0.19999999999953399</v>
      </c>
      <c r="AD17" s="44">
        <f t="shared" si="20"/>
        <v>-2.2000000000002</v>
      </c>
      <c r="AE17" s="45">
        <f t="shared" si="21"/>
        <v>-0.19999999999953399</v>
      </c>
      <c r="AF17" s="50">
        <v>79754</v>
      </c>
      <c r="AG17" s="58">
        <f t="shared" si="22"/>
        <v>75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44688</v>
      </c>
      <c r="B18" s="22">
        <v>791.46479999999997</v>
      </c>
      <c r="C18" s="27">
        <v>5.3855000000000004</v>
      </c>
      <c r="D18" s="23">
        <f t="shared" si="0"/>
        <v>796.85029999999995</v>
      </c>
      <c r="E18" s="24">
        <f t="shared" si="4"/>
        <v>9.9999999974897905E-2</v>
      </c>
      <c r="F18" s="25">
        <f t="shared" si="5"/>
        <v>-2.00000000006639</v>
      </c>
      <c r="G18" s="26">
        <f t="shared" si="6"/>
        <v>9.9999999974897905E-2</v>
      </c>
      <c r="H18" s="6">
        <v>6.6601999999999997</v>
      </c>
      <c r="I18" s="35">
        <f t="shared" si="1"/>
        <v>798.125</v>
      </c>
      <c r="J18" s="24">
        <f t="shared" si="7"/>
        <v>0.60000000007676102</v>
      </c>
      <c r="K18" s="25">
        <f t="shared" si="8"/>
        <v>-1.9999999999527101</v>
      </c>
      <c r="L18" s="26">
        <f t="shared" si="9"/>
        <v>0.60000000007676102</v>
      </c>
      <c r="M18" s="6">
        <v>5.4690000000000003</v>
      </c>
      <c r="N18" s="35">
        <f t="shared" si="2"/>
        <v>796.93380000000002</v>
      </c>
      <c r="O18" s="24">
        <f t="shared" si="10"/>
        <v>-0.199999999949796</v>
      </c>
      <c r="P18" s="25">
        <f t="shared" si="11"/>
        <v>-2.39999999996598</v>
      </c>
      <c r="Q18" s="26">
        <f t="shared" si="12"/>
        <v>-0.199999999949796</v>
      </c>
      <c r="R18" s="41"/>
      <c r="S18" s="21">
        <f t="shared" si="3"/>
        <v>44688</v>
      </c>
      <c r="T18" s="42">
        <v>8.7453000000000092</v>
      </c>
      <c r="U18" s="43">
        <f t="shared" si="13"/>
        <v>-0.20000000000130999</v>
      </c>
      <c r="V18" s="44">
        <f t="shared" si="14"/>
        <v>-2.3999999999908499</v>
      </c>
      <c r="W18" s="45">
        <f t="shared" si="15"/>
        <v>0.20000000000130999</v>
      </c>
      <c r="X18" s="29">
        <v>12.007199999999999</v>
      </c>
      <c r="Y18" s="43">
        <f t="shared" si="16"/>
        <v>-0.30000000000107702</v>
      </c>
      <c r="Z18" s="44">
        <f t="shared" si="17"/>
        <v>-2.9000000000003499</v>
      </c>
      <c r="AA18" s="45">
        <f t="shared" si="18"/>
        <v>-0.30000000000107702</v>
      </c>
      <c r="AB18" s="49">
        <v>8.9454999999999991</v>
      </c>
      <c r="AC18" s="43">
        <f t="shared" si="19"/>
        <v>0.19999999999953399</v>
      </c>
      <c r="AD18" s="44">
        <f t="shared" si="20"/>
        <v>-2.0000000000006701</v>
      </c>
      <c r="AE18" s="45">
        <f t="shared" si="21"/>
        <v>0.19999999999953399</v>
      </c>
      <c r="AF18" s="50">
        <v>79760</v>
      </c>
      <c r="AG18" s="58">
        <f t="shared" si="22"/>
        <v>81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44689</v>
      </c>
      <c r="B19" s="22">
        <v>791.46479999999997</v>
      </c>
      <c r="C19" s="27">
        <v>5.3849999999999998</v>
      </c>
      <c r="D19" s="23">
        <f t="shared" si="0"/>
        <v>796.84979999999996</v>
      </c>
      <c r="E19" s="24">
        <f t="shared" si="4"/>
        <v>-0.49999999998817701</v>
      </c>
      <c r="F19" s="25">
        <f t="shared" si="5"/>
        <v>-2.5000000000545701</v>
      </c>
      <c r="G19" s="26">
        <f t="shared" si="6"/>
        <v>-0.49999999998817701</v>
      </c>
      <c r="H19" s="6">
        <v>6.6597999999999997</v>
      </c>
      <c r="I19" s="35">
        <f t="shared" si="1"/>
        <v>798.12459999999999</v>
      </c>
      <c r="J19" s="24">
        <f t="shared" si="7"/>
        <v>-0.40000000001327901</v>
      </c>
      <c r="K19" s="25">
        <f t="shared" si="8"/>
        <v>-2.39999999996598</v>
      </c>
      <c r="L19" s="26">
        <f t="shared" si="9"/>
        <v>-0.40000000001327901</v>
      </c>
      <c r="M19" s="6">
        <v>5.4691000000000001</v>
      </c>
      <c r="N19" s="35">
        <f t="shared" si="2"/>
        <v>796.93389999999999</v>
      </c>
      <c r="O19" s="24">
        <f t="shared" si="10"/>
        <v>9.9999999974897905E-2</v>
      </c>
      <c r="P19" s="25">
        <f t="shared" si="11"/>
        <v>-2.2999999999910901</v>
      </c>
      <c r="Q19" s="26">
        <f t="shared" si="12"/>
        <v>9.9999999974897905E-2</v>
      </c>
      <c r="R19" s="41"/>
      <c r="S19" s="21">
        <f t="shared" si="3"/>
        <v>44689</v>
      </c>
      <c r="T19" s="42">
        <v>8.7454999999999998</v>
      </c>
      <c r="U19" s="43">
        <f t="shared" si="13"/>
        <v>0.19999999999065199</v>
      </c>
      <c r="V19" s="44">
        <f t="shared" si="14"/>
        <v>-2.2000000000002</v>
      </c>
      <c r="W19" s="45">
        <f t="shared" si="15"/>
        <v>-0.19999999999065199</v>
      </c>
      <c r="X19" s="29">
        <v>12.0069</v>
      </c>
      <c r="Y19" s="43">
        <f t="shared" si="16"/>
        <v>-0.29999999999930099</v>
      </c>
      <c r="Z19" s="44">
        <f t="shared" si="17"/>
        <v>-3.1999999999996498</v>
      </c>
      <c r="AA19" s="45">
        <f t="shared" si="18"/>
        <v>-0.29999999999930099</v>
      </c>
      <c r="AB19" s="49">
        <v>8.9449000000000094</v>
      </c>
      <c r="AC19" s="43">
        <f t="shared" si="19"/>
        <v>-0.59999999998971998</v>
      </c>
      <c r="AD19" s="44">
        <f t="shared" si="20"/>
        <v>-2.59999999999039</v>
      </c>
      <c r="AE19" s="45">
        <f t="shared" si="21"/>
        <v>-0.59999999998971998</v>
      </c>
      <c r="AF19" s="50">
        <v>79766</v>
      </c>
      <c r="AG19" s="58">
        <f t="shared" si="22"/>
        <v>87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44690</v>
      </c>
      <c r="B20" s="22">
        <v>791.46479999999997</v>
      </c>
      <c r="C20" s="27">
        <v>5.3847999999999896</v>
      </c>
      <c r="D20" s="23">
        <f t="shared" si="0"/>
        <v>796.84960000000001</v>
      </c>
      <c r="E20" s="24">
        <f t="shared" si="4"/>
        <v>-0.199999999949796</v>
      </c>
      <c r="F20" s="25">
        <f t="shared" si="5"/>
        <v>-2.70000000000437</v>
      </c>
      <c r="G20" s="26">
        <f t="shared" si="6"/>
        <v>-0.199999999949796</v>
      </c>
      <c r="H20" s="6">
        <v>6.6592000000000002</v>
      </c>
      <c r="I20" s="35">
        <f t="shared" si="1"/>
        <v>798.12400000000002</v>
      </c>
      <c r="J20" s="24">
        <f t="shared" si="7"/>
        <v>-0.59999999996307496</v>
      </c>
      <c r="K20" s="25">
        <f t="shared" si="8"/>
        <v>-2.9999999999290599</v>
      </c>
      <c r="L20" s="26">
        <f t="shared" si="9"/>
        <v>-0.59999999996307496</v>
      </c>
      <c r="M20" s="6">
        <v>5.4686000000000003</v>
      </c>
      <c r="N20" s="35">
        <f t="shared" si="2"/>
        <v>796.93340000000001</v>
      </c>
      <c r="O20" s="24">
        <f t="shared" si="10"/>
        <v>-0.49999999998817701</v>
      </c>
      <c r="P20" s="25">
        <f t="shared" si="11"/>
        <v>-2.79999999997926</v>
      </c>
      <c r="Q20" s="26">
        <f t="shared" si="12"/>
        <v>-0.49999999998817701</v>
      </c>
      <c r="R20" s="41"/>
      <c r="S20" s="21">
        <f t="shared" si="3"/>
        <v>44690</v>
      </c>
      <c r="T20" s="42">
        <v>8.7449000000000101</v>
      </c>
      <c r="U20" s="43">
        <f t="shared" si="13"/>
        <v>-0.59999999998971998</v>
      </c>
      <c r="V20" s="44">
        <f t="shared" si="14"/>
        <v>-2.7999999999899199</v>
      </c>
      <c r="W20" s="45">
        <f t="shared" si="15"/>
        <v>0.59999999998971998</v>
      </c>
      <c r="X20" s="29">
        <v>12.006500000000001</v>
      </c>
      <c r="Y20" s="43">
        <f t="shared" si="16"/>
        <v>-0.39999999999906799</v>
      </c>
      <c r="Z20" s="44">
        <f t="shared" si="17"/>
        <v>-3.5999999999987198</v>
      </c>
      <c r="AA20" s="45">
        <f t="shared" si="18"/>
        <v>-0.39999999999906799</v>
      </c>
      <c r="AB20" s="49">
        <v>8.9447000000000099</v>
      </c>
      <c r="AC20" s="43">
        <f t="shared" si="19"/>
        <v>-0.19999999999953399</v>
      </c>
      <c r="AD20" s="44">
        <f t="shared" si="20"/>
        <v>-2.7999999999899199</v>
      </c>
      <c r="AE20" s="45">
        <f t="shared" si="21"/>
        <v>-0.19999999999953399</v>
      </c>
      <c r="AF20" s="50">
        <v>79772</v>
      </c>
      <c r="AG20" s="58">
        <f t="shared" si="22"/>
        <v>93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44692</v>
      </c>
      <c r="B21" s="22">
        <v>791.46479999999997</v>
      </c>
      <c r="C21" s="27">
        <v>5.3846999999999996</v>
      </c>
      <c r="D21" s="23">
        <f t="shared" si="0"/>
        <v>796.84950000000003</v>
      </c>
      <c r="E21" s="24">
        <f t="shared" ref="E21:E25" si="23">(D21-D20)*1000</f>
        <v>-0.10000000008858501</v>
      </c>
      <c r="F21" s="25">
        <f t="shared" ref="F21:F25" si="24">F20+E21</f>
        <v>-2.8000000000929499</v>
      </c>
      <c r="G21" s="26">
        <f t="shared" ref="G21:G25" si="25">E21/(A21-A20)</f>
        <v>-5.0000000044292399E-2</v>
      </c>
      <c r="H21" s="6">
        <v>6.6590999999999996</v>
      </c>
      <c r="I21" s="35">
        <f t="shared" si="1"/>
        <v>798.12390000000005</v>
      </c>
      <c r="J21" s="24">
        <f t="shared" ref="J21:J25" si="26">(I21-I20)*1000</f>
        <v>-0.10000000008858501</v>
      </c>
      <c r="K21" s="25">
        <f t="shared" ref="K21:K25" si="27">K20+J21</f>
        <v>-3.1000000000176402</v>
      </c>
      <c r="L21" s="26">
        <f t="shared" ref="L21:L25" si="28">J21/(A21-A20)</f>
        <v>-5.0000000044292399E-2</v>
      </c>
      <c r="M21" s="6">
        <v>5.4683000000000002</v>
      </c>
      <c r="N21" s="35">
        <f t="shared" si="2"/>
        <v>796.93309999999997</v>
      </c>
      <c r="O21" s="24">
        <f t="shared" ref="O21:O25" si="29">(N21-N20)*1000</f>
        <v>-0.30000000003838101</v>
      </c>
      <c r="P21" s="25">
        <f t="shared" ref="P21:P25" si="30">P20+O21</f>
        <v>-3.1000000000176402</v>
      </c>
      <c r="Q21" s="26">
        <f t="shared" ref="Q21:Q25" si="31">O21/(A21-A20)</f>
        <v>-0.15000000001919001</v>
      </c>
      <c r="R21" s="41"/>
      <c r="S21" s="21">
        <f t="shared" si="3"/>
        <v>44692</v>
      </c>
      <c r="T21" s="42">
        <v>8.7446999999999999</v>
      </c>
      <c r="U21" s="43">
        <f t="shared" ref="U21:U25" si="32">(T21-T20)*1000</f>
        <v>-0.200000000010192</v>
      </c>
      <c r="V21" s="44">
        <f t="shared" ref="V21:V25" si="33">V20+U21</f>
        <v>-3.0000000000001101</v>
      </c>
      <c r="W21" s="45">
        <f t="shared" ref="W21:W25" si="34">U21/(S20-S21)</f>
        <v>0.100000000005096</v>
      </c>
      <c r="X21" s="29">
        <v>12.0062</v>
      </c>
      <c r="Y21" s="43">
        <f t="shared" ref="Y21:Y25" si="35">(X21-X20)*1000</f>
        <v>-0.30000000000107702</v>
      </c>
      <c r="Z21" s="44">
        <f t="shared" ref="Z21:Z25" si="36">Z20+Y21</f>
        <v>-3.8999999999997899</v>
      </c>
      <c r="AA21" s="45">
        <f t="shared" ref="AA21:AA25" si="37">Y21/(S21-S20)</f>
        <v>-0.15000000000053901</v>
      </c>
      <c r="AB21" s="49">
        <v>8.9443000000000001</v>
      </c>
      <c r="AC21" s="43">
        <f t="shared" ref="AC21:AC25" si="38">(AB21-AB20)*1000</f>
        <v>-0.40000000000972602</v>
      </c>
      <c r="AD21" s="44">
        <f t="shared" ref="AD21:AD25" si="39">AD20+AC21</f>
        <v>-3.1999999999996498</v>
      </c>
      <c r="AE21" s="45">
        <f t="shared" ref="AE21:AE25" si="40">AC21/(S21-S20)</f>
        <v>-0.20000000000486301</v>
      </c>
      <c r="AF21" s="50">
        <v>79778</v>
      </c>
      <c r="AG21" s="58">
        <f t="shared" si="22"/>
        <v>99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44694</v>
      </c>
      <c r="B22" s="22">
        <v>791.46479999999997</v>
      </c>
      <c r="C22" s="27">
        <v>5.3842999999999996</v>
      </c>
      <c r="D22" s="23">
        <f t="shared" si="0"/>
        <v>796.84910000000002</v>
      </c>
      <c r="E22" s="24">
        <f t="shared" si="23"/>
        <v>-0.39999999989959201</v>
      </c>
      <c r="F22" s="25">
        <f t="shared" si="24"/>
        <v>-3.1999999999925399</v>
      </c>
      <c r="G22" s="26">
        <f t="shared" si="25"/>
        <v>-0.199999999949796</v>
      </c>
      <c r="H22" s="6">
        <v>6.6585999999999999</v>
      </c>
      <c r="I22" s="35">
        <f t="shared" si="1"/>
        <v>798.12339999999995</v>
      </c>
      <c r="J22" s="24">
        <f t="shared" si="26"/>
        <v>-0.49999999998817701</v>
      </c>
      <c r="K22" s="25">
        <f t="shared" si="27"/>
        <v>-3.6000000000058199</v>
      </c>
      <c r="L22" s="26">
        <f t="shared" si="28"/>
        <v>-0.24999999999408801</v>
      </c>
      <c r="M22" s="6">
        <v>5.4680999999999997</v>
      </c>
      <c r="N22" s="35">
        <f t="shared" si="2"/>
        <v>796.93290000000002</v>
      </c>
      <c r="O22" s="24">
        <f t="shared" si="29"/>
        <v>-0.199999999949796</v>
      </c>
      <c r="P22" s="25">
        <f t="shared" si="30"/>
        <v>-3.2999999999674401</v>
      </c>
      <c r="Q22" s="26">
        <f t="shared" si="31"/>
        <v>-9.9999999974897905E-2</v>
      </c>
      <c r="R22" s="41"/>
      <c r="S22" s="21">
        <f t="shared" si="3"/>
        <v>44694</v>
      </c>
      <c r="T22" s="42">
        <v>8.7443000000000008</v>
      </c>
      <c r="U22" s="43">
        <f t="shared" si="32"/>
        <v>-0.39999999999906799</v>
      </c>
      <c r="V22" s="44">
        <f t="shared" si="33"/>
        <v>-3.3999999999991801</v>
      </c>
      <c r="W22" s="45">
        <f t="shared" si="34"/>
        <v>0.19999999999953399</v>
      </c>
      <c r="X22" s="29">
        <v>12.006</v>
      </c>
      <c r="Y22" s="43">
        <f t="shared" si="35"/>
        <v>-0.19999999999953399</v>
      </c>
      <c r="Z22" s="44">
        <f t="shared" si="36"/>
        <v>-4.09999999999933</v>
      </c>
      <c r="AA22" s="45">
        <f t="shared" si="37"/>
        <v>-9.99999999997669E-2</v>
      </c>
      <c r="AB22" s="49">
        <v>8.9444999999999997</v>
      </c>
      <c r="AC22" s="43">
        <f t="shared" si="38"/>
        <v>0.19999999999953399</v>
      </c>
      <c r="AD22" s="44">
        <f t="shared" si="39"/>
        <v>-3.0000000000001101</v>
      </c>
      <c r="AE22" s="45">
        <f t="shared" si="40"/>
        <v>9.99999999997669E-2</v>
      </c>
      <c r="AF22" s="50">
        <v>79784</v>
      </c>
      <c r="AG22" s="58">
        <f t="shared" si="22"/>
        <v>105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44696</v>
      </c>
      <c r="B23" s="22">
        <v>791.46479999999997</v>
      </c>
      <c r="C23" s="27">
        <v>5.3845999999999998</v>
      </c>
      <c r="D23" s="23">
        <f t="shared" si="0"/>
        <v>796.84939999999995</v>
      </c>
      <c r="E23" s="24">
        <f t="shared" si="23"/>
        <v>0.29999999992469401</v>
      </c>
      <c r="F23" s="25">
        <f t="shared" si="24"/>
        <v>-2.9000000000678501</v>
      </c>
      <c r="G23" s="26">
        <f t="shared" si="25"/>
        <v>0.149999999962347</v>
      </c>
      <c r="H23" s="6">
        <v>6.6582999999999997</v>
      </c>
      <c r="I23" s="35">
        <f t="shared" si="1"/>
        <v>798.12310000000002</v>
      </c>
      <c r="J23" s="24">
        <f t="shared" si="26"/>
        <v>-0.29999999992469401</v>
      </c>
      <c r="K23" s="25">
        <f t="shared" si="27"/>
        <v>-3.8999999999305102</v>
      </c>
      <c r="L23" s="26">
        <f t="shared" si="28"/>
        <v>-0.149999999962347</v>
      </c>
      <c r="M23" s="6">
        <v>5.4682000000000004</v>
      </c>
      <c r="N23" s="35">
        <f t="shared" si="2"/>
        <v>796.93299999999999</v>
      </c>
      <c r="O23" s="24">
        <f t="shared" si="29"/>
        <v>9.9999999974897905E-2</v>
      </c>
      <c r="P23" s="25">
        <f t="shared" si="30"/>
        <v>-3.1999999999925399</v>
      </c>
      <c r="Q23" s="26">
        <f t="shared" si="31"/>
        <v>4.9999999987449001E-2</v>
      </c>
      <c r="R23" s="41"/>
      <c r="S23" s="21">
        <f t="shared" si="3"/>
        <v>44696</v>
      </c>
      <c r="T23" s="42">
        <v>8.7445000000000004</v>
      </c>
      <c r="U23" s="43">
        <f t="shared" si="32"/>
        <v>0.19999999999953399</v>
      </c>
      <c r="V23" s="44">
        <f t="shared" si="33"/>
        <v>-3.1999999999996498</v>
      </c>
      <c r="W23" s="45">
        <f t="shared" si="34"/>
        <v>-9.99999999997669E-2</v>
      </c>
      <c r="X23" s="29">
        <v>12.0063</v>
      </c>
      <c r="Y23" s="43">
        <f t="shared" si="35"/>
        <v>0.29999999999930099</v>
      </c>
      <c r="Z23" s="44">
        <f t="shared" si="36"/>
        <v>-3.80000000000003</v>
      </c>
      <c r="AA23" s="45">
        <f t="shared" si="37"/>
        <v>0.14999999999965</v>
      </c>
      <c r="AB23" s="49">
        <v>8.9445999999999994</v>
      </c>
      <c r="AC23" s="43">
        <f t="shared" si="38"/>
        <v>9.99999999997669E-2</v>
      </c>
      <c r="AD23" s="44">
        <f t="shared" si="39"/>
        <v>-2.9000000000003499</v>
      </c>
      <c r="AE23" s="45">
        <f t="shared" si="40"/>
        <v>4.9999999999883499E-2</v>
      </c>
      <c r="AF23" s="50">
        <v>79790</v>
      </c>
      <c r="AG23" s="58">
        <f t="shared" si="22"/>
        <v>111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44698</v>
      </c>
      <c r="B24" s="22">
        <v>791.46479999999997</v>
      </c>
      <c r="C24" s="27">
        <v>5.3844000000000003</v>
      </c>
      <c r="D24" s="23">
        <f t="shared" si="0"/>
        <v>796.8492</v>
      </c>
      <c r="E24" s="24">
        <f t="shared" si="23"/>
        <v>-0.199999999949796</v>
      </c>
      <c r="F24" s="25">
        <f t="shared" si="24"/>
        <v>-3.1000000000176402</v>
      </c>
      <c r="G24" s="26">
        <f t="shared" si="25"/>
        <v>-9.9999999974897905E-2</v>
      </c>
      <c r="H24" s="6">
        <v>6.6581999999999999</v>
      </c>
      <c r="I24" s="35">
        <f t="shared" si="1"/>
        <v>798.12300000000005</v>
      </c>
      <c r="J24" s="24">
        <f t="shared" si="26"/>
        <v>-0.10000000008858501</v>
      </c>
      <c r="K24" s="25">
        <f t="shared" si="27"/>
        <v>-4.0000000000191003</v>
      </c>
      <c r="L24" s="26">
        <f t="shared" si="28"/>
        <v>-5.0000000044292399E-2</v>
      </c>
      <c r="M24" s="6">
        <v>5.4684999999999997</v>
      </c>
      <c r="N24" s="35">
        <f t="shared" si="2"/>
        <v>796.93330000000003</v>
      </c>
      <c r="O24" s="24">
        <f t="shared" si="29"/>
        <v>0.29999999992469401</v>
      </c>
      <c r="P24" s="25">
        <f t="shared" si="30"/>
        <v>-2.9000000000678501</v>
      </c>
      <c r="Q24" s="26">
        <f t="shared" si="31"/>
        <v>0.149999999962347</v>
      </c>
      <c r="R24" s="41"/>
      <c r="S24" s="21">
        <f t="shared" si="3"/>
        <v>44698</v>
      </c>
      <c r="T24" s="42">
        <v>8.7446000000000002</v>
      </c>
      <c r="U24" s="43">
        <f t="shared" si="32"/>
        <v>9.99999999997669E-2</v>
      </c>
      <c r="V24" s="44">
        <f t="shared" si="33"/>
        <v>-3.0999999999998802</v>
      </c>
      <c r="W24" s="45">
        <f t="shared" si="34"/>
        <v>-4.9999999999883499E-2</v>
      </c>
      <c r="X24" s="29">
        <v>12.0062</v>
      </c>
      <c r="Y24" s="43">
        <f t="shared" si="35"/>
        <v>-9.99999999997669E-2</v>
      </c>
      <c r="Z24" s="44">
        <f t="shared" si="36"/>
        <v>-3.8999999999997899</v>
      </c>
      <c r="AA24" s="45">
        <f t="shared" si="37"/>
        <v>-4.9999999999883499E-2</v>
      </c>
      <c r="AB24" s="49">
        <v>8.9442000000000004</v>
      </c>
      <c r="AC24" s="43">
        <f t="shared" si="38"/>
        <v>-0.39999999999906799</v>
      </c>
      <c r="AD24" s="44">
        <f t="shared" si="39"/>
        <v>-3.2999999999994101</v>
      </c>
      <c r="AE24" s="45">
        <f t="shared" si="40"/>
        <v>-0.19999999999953399</v>
      </c>
      <c r="AF24" s="50">
        <v>79796</v>
      </c>
      <c r="AG24" s="58">
        <f t="shared" si="22"/>
        <v>117</v>
      </c>
      <c r="AH24" s="61"/>
      <c r="AI24" s="52"/>
      <c r="AJ24" s="52"/>
      <c r="AK24" s="52"/>
      <c r="AL24" s="52"/>
      <c r="AM24" s="52"/>
      <c r="AN24" s="63"/>
      <c r="AO24" s="63"/>
      <c r="AP24" s="63"/>
      <c r="AQ24" s="63"/>
      <c r="AR24" s="63"/>
      <c r="AS24" s="63"/>
      <c r="AT24" s="63"/>
      <c r="AU24" s="63"/>
      <c r="AV24" s="63"/>
    </row>
    <row r="25" spans="1:48">
      <c r="A25" s="21">
        <v>44700</v>
      </c>
      <c r="B25" s="22">
        <v>791.46479999999997</v>
      </c>
      <c r="C25" s="27">
        <v>5.3845999999999901</v>
      </c>
      <c r="D25" s="23">
        <f t="shared" si="0"/>
        <v>796.84939999999995</v>
      </c>
      <c r="E25" s="24">
        <f t="shared" si="23"/>
        <v>0.199999999949796</v>
      </c>
      <c r="F25" s="25">
        <f t="shared" si="24"/>
        <v>-2.9000000000678501</v>
      </c>
      <c r="G25" s="26">
        <f t="shared" si="25"/>
        <v>9.9999999974897905E-2</v>
      </c>
      <c r="H25" s="6">
        <v>6.6584000000000003</v>
      </c>
      <c r="I25" s="35">
        <f t="shared" si="1"/>
        <v>798.1232</v>
      </c>
      <c r="J25" s="24">
        <f t="shared" si="26"/>
        <v>0.20000000006348301</v>
      </c>
      <c r="K25" s="25">
        <f t="shared" si="27"/>
        <v>-3.7999999999556202</v>
      </c>
      <c r="L25" s="26">
        <f t="shared" si="28"/>
        <v>0.100000000031741</v>
      </c>
      <c r="M25" s="6">
        <v>5.4683999999999902</v>
      </c>
      <c r="N25" s="35">
        <f t="shared" si="2"/>
        <v>796.93320000000006</v>
      </c>
      <c r="O25" s="24">
        <f t="shared" si="29"/>
        <v>-9.9999999974897905E-2</v>
      </c>
      <c r="P25" s="25">
        <f t="shared" si="30"/>
        <v>-3.0000000000427498</v>
      </c>
      <c r="Q25" s="26">
        <f t="shared" si="31"/>
        <v>-4.9999999987449001E-2</v>
      </c>
      <c r="R25" s="41"/>
      <c r="S25" s="21">
        <f t="shared" si="3"/>
        <v>44700</v>
      </c>
      <c r="T25" s="42">
        <v>8.7447000000000106</v>
      </c>
      <c r="U25" s="43">
        <f t="shared" si="32"/>
        <v>0.100000000010425</v>
      </c>
      <c r="V25" s="44">
        <f t="shared" si="33"/>
        <v>-2.99999999998946</v>
      </c>
      <c r="W25" s="45">
        <f t="shared" si="34"/>
        <v>-5.00000000052125E-2</v>
      </c>
      <c r="X25" s="29">
        <v>12.0063</v>
      </c>
      <c r="Y25" s="43">
        <f t="shared" si="35"/>
        <v>9.99999999997669E-2</v>
      </c>
      <c r="Z25" s="44">
        <f t="shared" si="36"/>
        <v>-3.80000000000003</v>
      </c>
      <c r="AA25" s="45">
        <f t="shared" si="37"/>
        <v>4.9999999999883499E-2</v>
      </c>
      <c r="AB25" s="49">
        <v>8.9444999999999997</v>
      </c>
      <c r="AC25" s="43">
        <f t="shared" si="38"/>
        <v>0.29999999999930099</v>
      </c>
      <c r="AD25" s="44">
        <f t="shared" si="39"/>
        <v>-3.0000000000001101</v>
      </c>
      <c r="AE25" s="45">
        <f t="shared" si="40"/>
        <v>0.14999999999965</v>
      </c>
      <c r="AF25" s="50">
        <v>79812</v>
      </c>
      <c r="AG25" s="58">
        <f t="shared" si="22"/>
        <v>133</v>
      </c>
      <c r="AH25" s="61"/>
      <c r="AI25" s="52"/>
      <c r="AJ25" s="52"/>
      <c r="AK25" s="52"/>
      <c r="AL25" s="52"/>
      <c r="AM25" s="52"/>
      <c r="AN25" s="63"/>
      <c r="AO25" s="63"/>
      <c r="AP25" s="63"/>
      <c r="AQ25" s="63"/>
      <c r="AR25" s="63"/>
      <c r="AS25" s="63"/>
      <c r="AT25" s="63"/>
      <c r="AU25" s="63"/>
      <c r="AV25" s="63">
        <v>0.7</v>
      </c>
    </row>
    <row r="26" spans="1:48">
      <c r="A26" s="21"/>
      <c r="B26" s="22"/>
      <c r="C26" s="27"/>
      <c r="D26" s="23"/>
      <c r="E26" s="65">
        <f>F25-F6</f>
        <v>-2.9000000000678501</v>
      </c>
      <c r="F26" s="33">
        <f>K25-K6</f>
        <v>-3.7999999999556202</v>
      </c>
      <c r="G26" s="33">
        <f>P25-P6</f>
        <v>-3.0000000000427498</v>
      </c>
      <c r="H26" s="33">
        <f>F25</f>
        <v>-2.9000000000678501</v>
      </c>
      <c r="I26" s="66">
        <f>K25</f>
        <v>-3.7999999999556202</v>
      </c>
      <c r="J26" s="65">
        <f>P25</f>
        <v>-3.0000000000427498</v>
      </c>
      <c r="K26" s="33">
        <f>(K25-K6)/25</f>
        <v>-0.151999999998225</v>
      </c>
      <c r="L26" s="26"/>
      <c r="N26" s="35"/>
      <c r="O26" s="24"/>
      <c r="P26" s="25"/>
      <c r="Q26" s="26"/>
      <c r="R26" s="41"/>
      <c r="S26" s="21"/>
      <c r="T26" s="42"/>
      <c r="U26" s="65">
        <f>V25-V6</f>
        <v>-2.99999999998946</v>
      </c>
      <c r="V26" s="33">
        <f>Z25-Z6</f>
        <v>-3.80000000000003</v>
      </c>
      <c r="W26" s="33">
        <f>AD25-AD6</f>
        <v>-3.0000000000001101</v>
      </c>
      <c r="X26" s="33">
        <f>V25</f>
        <v>-2.99999999998946</v>
      </c>
      <c r="Y26" s="65">
        <f>Z25</f>
        <v>-3.80000000000003</v>
      </c>
      <c r="Z26" s="33">
        <f>AD25</f>
        <v>-3.0000000000001101</v>
      </c>
      <c r="AA26" s="33">
        <f>(V25-V6)/25</f>
        <v>-0.119999999999578</v>
      </c>
      <c r="AB26" s="49"/>
      <c r="AC26" s="43"/>
      <c r="AD26" s="44"/>
      <c r="AE26" s="45"/>
      <c r="AF26" s="50"/>
      <c r="AG26" s="58"/>
      <c r="AH26" s="61"/>
      <c r="AI26" s="60"/>
      <c r="AJ26"/>
      <c r="AK26"/>
      <c r="AL26"/>
      <c r="AM26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61"/>
      <c r="AI27" s="52"/>
      <c r="AJ27" s="52"/>
      <c r="AK27" s="52"/>
      <c r="AL27" s="52"/>
      <c r="AM27" s="52"/>
      <c r="AN27" s="63"/>
      <c r="AO27" s="63"/>
      <c r="AP27" s="63"/>
      <c r="AQ27" s="63"/>
      <c r="AR27" s="63"/>
      <c r="AS27" s="63"/>
      <c r="AT27" s="63"/>
      <c r="AU27" s="63"/>
      <c r="AV27" s="63">
        <v>0.7</v>
      </c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52"/>
      <c r="AJ28" s="52"/>
      <c r="AK28" s="52"/>
      <c r="AL28" s="52"/>
      <c r="AM28" s="52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52"/>
      <c r="AJ29" s="52"/>
      <c r="AK29" s="52"/>
      <c r="AL29" s="52"/>
      <c r="AM29" s="52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2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7"/>
      <c r="D36" s="23"/>
      <c r="E36" s="24"/>
      <c r="F36" s="25"/>
      <c r="G36" s="26"/>
      <c r="I36" s="35"/>
      <c r="J36" s="24"/>
      <c r="K36" s="25"/>
      <c r="L36" s="26"/>
      <c r="N36" s="35"/>
      <c r="O36" s="24"/>
      <c r="P36" s="25"/>
      <c r="Q36" s="26"/>
      <c r="R36" s="41"/>
      <c r="S36" s="21"/>
      <c r="T36" s="42"/>
      <c r="U36" s="43"/>
      <c r="V36" s="44"/>
      <c r="W36" s="45"/>
      <c r="X36" s="29"/>
      <c r="Y36" s="43"/>
      <c r="Z36" s="44"/>
      <c r="AA36" s="45"/>
      <c r="AB36" s="49"/>
      <c r="AC36" s="43"/>
      <c r="AD36" s="44"/>
      <c r="AE36" s="45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21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61"/>
      <c r="AI37" s="60"/>
      <c r="AJ37" s="61"/>
      <c r="AK37" s="62"/>
      <c r="AL37" s="60"/>
      <c r="AM37" s="64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47"/>
      <c r="Y41" s="24"/>
      <c r="Z41" s="25"/>
      <c r="AA41" s="26"/>
      <c r="AB41" s="47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2"/>
      <c r="U43" s="24"/>
      <c r="V43" s="25"/>
      <c r="W43" s="26"/>
      <c r="X43" s="29"/>
      <c r="Y43" s="24"/>
      <c r="Z43" s="25"/>
      <c r="AA43" s="26"/>
      <c r="AB43" s="29"/>
      <c r="AC43" s="24"/>
      <c r="AD43" s="25"/>
      <c r="AE43" s="26"/>
      <c r="AF43" s="26"/>
      <c r="AG43" s="26"/>
      <c r="AH43" s="51"/>
    </row>
    <row r="44" spans="1:39">
      <c r="A44" s="31"/>
      <c r="B44" s="30"/>
      <c r="C44" s="32"/>
      <c r="E44" s="24"/>
      <c r="F44" s="25"/>
      <c r="G44" s="26"/>
      <c r="H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0"/>
      <c r="C45" s="32"/>
      <c r="D45" s="32"/>
      <c r="E45" s="24"/>
      <c r="F45" s="25"/>
      <c r="G45" s="26"/>
      <c r="H45" s="29"/>
      <c r="I45" s="29"/>
      <c r="J45" s="24"/>
      <c r="K45" s="25"/>
      <c r="L45" s="26"/>
      <c r="M45" s="29"/>
      <c r="O45" s="24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  <row r="57" spans="1:34">
      <c r="A57" s="31"/>
      <c r="C57" s="32"/>
      <c r="H57" s="29"/>
      <c r="M57" s="29"/>
      <c r="R57" s="41"/>
      <c r="AH57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O28" workbookViewId="0">
      <selection activeCell="U25" sqref="U25:AA2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44683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44683</v>
      </c>
      <c r="B6" s="22">
        <v>791.46479999999997</v>
      </c>
      <c r="C6" s="27">
        <v>5.2857000000000003</v>
      </c>
      <c r="D6" s="23">
        <f t="shared" ref="D6:D24" si="0">C6+B6</f>
        <v>796.75049999999999</v>
      </c>
      <c r="E6" s="24">
        <v>0</v>
      </c>
      <c r="F6" s="25">
        <v>0</v>
      </c>
      <c r="G6" s="26">
        <v>0</v>
      </c>
      <c r="H6" s="6">
        <v>6.7123999999999997</v>
      </c>
      <c r="I6" s="35">
        <f t="shared" ref="I6:I24" si="1">H6+B6</f>
        <v>798.17719999999997</v>
      </c>
      <c r="J6" s="24">
        <v>0</v>
      </c>
      <c r="K6" s="25">
        <v>0</v>
      </c>
      <c r="L6" s="26">
        <v>0</v>
      </c>
      <c r="M6" s="6">
        <v>5.2305999999999999</v>
      </c>
      <c r="N6" s="35">
        <f t="shared" ref="N6:N24" si="2">M6+B6</f>
        <v>796.69539999999995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44683</v>
      </c>
      <c r="T6" s="42">
        <v>5.4470000000000001</v>
      </c>
      <c r="U6" s="43">
        <v>0</v>
      </c>
      <c r="V6" s="44">
        <v>0</v>
      </c>
      <c r="W6" s="45">
        <f>U6/(S6-S11)</f>
        <v>0</v>
      </c>
      <c r="X6" s="29">
        <v>12.0709</v>
      </c>
      <c r="Y6" s="43">
        <v>0</v>
      </c>
      <c r="Z6" s="44">
        <v>0</v>
      </c>
      <c r="AA6" s="45">
        <v>0</v>
      </c>
      <c r="AB6" s="49">
        <v>11.428000000000001</v>
      </c>
      <c r="AC6" s="43">
        <v>0</v>
      </c>
      <c r="AD6" s="44">
        <v>0</v>
      </c>
      <c r="AE6" s="45">
        <v>0</v>
      </c>
      <c r="AF6" s="50">
        <v>79725</v>
      </c>
      <c r="AG6" s="58">
        <f>AF6-79719</f>
        <v>6</v>
      </c>
      <c r="AH6" s="59"/>
      <c r="AI6" s="60"/>
      <c r="AJ6" s="61"/>
      <c r="AK6" s="62"/>
      <c r="AL6" s="52"/>
      <c r="AM6" s="52"/>
    </row>
    <row r="7" spans="1:48">
      <c r="A7" s="21">
        <v>44684</v>
      </c>
      <c r="B7" s="22">
        <v>791.46479999999997</v>
      </c>
      <c r="C7" s="27">
        <v>5.2855999999999996</v>
      </c>
      <c r="D7" s="23">
        <f t="shared" si="0"/>
        <v>796.75040000000001</v>
      </c>
      <c r="E7" s="24">
        <f t="shared" ref="E7:E24" si="4">(D7-D6)*1000</f>
        <v>-9.9999999974897905E-2</v>
      </c>
      <c r="F7" s="25">
        <f t="shared" ref="F7:F24" si="5">F6+E7</f>
        <v>-9.9999999974897905E-2</v>
      </c>
      <c r="G7" s="26">
        <f t="shared" ref="G7:G24" si="6">E7/(A7-A6)</f>
        <v>-9.9999999974897905E-2</v>
      </c>
      <c r="H7" s="6">
        <v>6.7122999999999999</v>
      </c>
      <c r="I7" s="35">
        <f t="shared" si="1"/>
        <v>798.1771</v>
      </c>
      <c r="J7" s="24">
        <f t="shared" ref="J7:J24" si="7">(I7-I6)*1000</f>
        <v>-9.9999999974897905E-2</v>
      </c>
      <c r="K7" s="25">
        <f t="shared" ref="K7:K24" si="8">K6+J7</f>
        <v>-9.9999999974897905E-2</v>
      </c>
      <c r="L7" s="26">
        <f t="shared" ref="L7:L24" si="9">J7/(A7-A6)</f>
        <v>-9.9999999974897905E-2</v>
      </c>
      <c r="M7" s="6">
        <v>5.2302</v>
      </c>
      <c r="N7" s="35">
        <f t="shared" si="2"/>
        <v>796.69500000000005</v>
      </c>
      <c r="O7" s="24">
        <f t="shared" ref="O7:O24" si="10">(N7-N6)*1000</f>
        <v>-0.40000000001327901</v>
      </c>
      <c r="P7" s="25">
        <f t="shared" ref="P7:P24" si="11">P6+O7</f>
        <v>-0.40000000001327901</v>
      </c>
      <c r="Q7" s="26">
        <f t="shared" ref="Q7:Q24" si="12">O7/(A7-A6)</f>
        <v>-0.40000000001327901</v>
      </c>
      <c r="R7" s="41"/>
      <c r="S7" s="21">
        <f t="shared" si="3"/>
        <v>44684</v>
      </c>
      <c r="T7" s="42">
        <v>5.4473000000000003</v>
      </c>
      <c r="U7" s="43">
        <f t="shared" ref="U7:U24" si="13">(T7-T6)*1000</f>
        <v>0.300000000000189</v>
      </c>
      <c r="V7" s="44">
        <f t="shared" ref="V7:V24" si="14">V6+U7</f>
        <v>0.300000000000189</v>
      </c>
      <c r="W7" s="45">
        <f t="shared" ref="W7:W24" si="15">U7/(S6-S7)</f>
        <v>-0.300000000000189</v>
      </c>
      <c r="X7" s="29">
        <v>12.070499999999999</v>
      </c>
      <c r="Y7" s="43">
        <f t="shared" ref="Y7:Y24" si="16">(X7-X6)*1000</f>
        <v>-0.40000000000084401</v>
      </c>
      <c r="Z7" s="44">
        <f t="shared" ref="Z7:Z24" si="17">Z6+Y7</f>
        <v>-0.40000000000084401</v>
      </c>
      <c r="AA7" s="45">
        <f t="shared" ref="AA7:AA24" si="18">Y7/(S7-S6)</f>
        <v>-0.40000000000084401</v>
      </c>
      <c r="AB7" s="49">
        <v>11.4278</v>
      </c>
      <c r="AC7" s="43">
        <f t="shared" ref="AC7:AC24" si="19">(AB7-AB6)*1000</f>
        <v>-0.20000000000130999</v>
      </c>
      <c r="AD7" s="44">
        <f t="shared" ref="AD7:AD24" si="20">AD6+AC7</f>
        <v>-0.20000000000130999</v>
      </c>
      <c r="AE7" s="45">
        <f t="shared" ref="AE7:AE24" si="21">AC7/(S7-S6)</f>
        <v>-0.20000000000130999</v>
      </c>
      <c r="AF7" s="50">
        <v>79730</v>
      </c>
      <c r="AG7" s="58">
        <f t="shared" ref="AG7:AG24" si="22">AF7-79719</f>
        <v>11</v>
      </c>
      <c r="AH7" s="59"/>
      <c r="AI7" s="60"/>
      <c r="AJ7" s="61"/>
      <c r="AK7" s="62"/>
      <c r="AL7" s="52"/>
      <c r="AM7" s="52"/>
    </row>
    <row r="8" spans="1:48">
      <c r="A8" s="21">
        <v>44685</v>
      </c>
      <c r="B8" s="22">
        <v>791.46479999999997</v>
      </c>
      <c r="C8" s="27">
        <v>5.2854000000000001</v>
      </c>
      <c r="D8" s="23">
        <f t="shared" si="0"/>
        <v>796.75019999999995</v>
      </c>
      <c r="E8" s="24">
        <f t="shared" si="4"/>
        <v>-0.20000000006348301</v>
      </c>
      <c r="F8" s="25">
        <f t="shared" si="5"/>
        <v>-0.30000000003838101</v>
      </c>
      <c r="G8" s="26">
        <f t="shared" si="6"/>
        <v>-0.20000000006348301</v>
      </c>
      <c r="H8" s="6">
        <v>6.7123999999999997</v>
      </c>
      <c r="I8" s="35">
        <f t="shared" si="1"/>
        <v>798.17719999999997</v>
      </c>
      <c r="J8" s="24">
        <f t="shared" si="7"/>
        <v>9.9999999974897905E-2</v>
      </c>
      <c r="K8" s="25">
        <f t="shared" si="8"/>
        <v>0</v>
      </c>
      <c r="L8" s="26">
        <f t="shared" si="9"/>
        <v>9.9999999974897905E-2</v>
      </c>
      <c r="M8" s="6">
        <v>5.2304000000000004</v>
      </c>
      <c r="N8" s="35">
        <f t="shared" si="2"/>
        <v>796.6952</v>
      </c>
      <c r="O8" s="24">
        <f t="shared" si="10"/>
        <v>0.20000000006348301</v>
      </c>
      <c r="P8" s="25">
        <f t="shared" si="11"/>
        <v>-0.199999999949796</v>
      </c>
      <c r="Q8" s="26">
        <f t="shared" si="12"/>
        <v>0.20000000006348301</v>
      </c>
      <c r="R8" s="41"/>
      <c r="S8" s="21">
        <f t="shared" si="3"/>
        <v>44685</v>
      </c>
      <c r="T8" s="42">
        <v>5.4470999999999998</v>
      </c>
      <c r="U8" s="43">
        <f t="shared" si="13"/>
        <v>-0.20000000000042201</v>
      </c>
      <c r="V8" s="44">
        <f t="shared" si="14"/>
        <v>9.99999999997669E-2</v>
      </c>
      <c r="W8" s="45">
        <f t="shared" si="15"/>
        <v>0.20000000000042201</v>
      </c>
      <c r="X8" s="29">
        <v>12.070399999999999</v>
      </c>
      <c r="Y8" s="43">
        <f t="shared" si="16"/>
        <v>-9.99999999997669E-2</v>
      </c>
      <c r="Z8" s="44">
        <f t="shared" si="17"/>
        <v>-0.50000000000061096</v>
      </c>
      <c r="AA8" s="45">
        <f t="shared" si="18"/>
        <v>-9.99999999997669E-2</v>
      </c>
      <c r="AB8" s="49">
        <v>11.4275</v>
      </c>
      <c r="AC8" s="43">
        <f t="shared" si="19"/>
        <v>-0.29999999999930099</v>
      </c>
      <c r="AD8" s="44">
        <f t="shared" si="20"/>
        <v>-0.50000000000061096</v>
      </c>
      <c r="AE8" s="45">
        <f t="shared" si="21"/>
        <v>-0.29999999999930099</v>
      </c>
      <c r="AF8" s="50">
        <v>79735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44686</v>
      </c>
      <c r="B9" s="22">
        <v>791.46479999999997</v>
      </c>
      <c r="C9" s="27">
        <v>5.2853000000000003</v>
      </c>
      <c r="D9" s="23">
        <f t="shared" si="0"/>
        <v>796.75009999999997</v>
      </c>
      <c r="E9" s="24">
        <f t="shared" si="4"/>
        <v>-9.9999999974897905E-2</v>
      </c>
      <c r="F9" s="25">
        <f t="shared" si="5"/>
        <v>-0.40000000001327901</v>
      </c>
      <c r="G9" s="26">
        <f t="shared" si="6"/>
        <v>-9.9999999974897905E-2</v>
      </c>
      <c r="H9" s="6">
        <v>6.7121000000000004</v>
      </c>
      <c r="I9" s="35">
        <f t="shared" si="1"/>
        <v>798.17690000000005</v>
      </c>
      <c r="J9" s="24">
        <f t="shared" si="7"/>
        <v>-0.30000000003838101</v>
      </c>
      <c r="K9" s="25">
        <f t="shared" si="8"/>
        <v>-0.30000000003838101</v>
      </c>
      <c r="L9" s="26">
        <f t="shared" si="9"/>
        <v>-0.30000000003838101</v>
      </c>
      <c r="M9" s="6">
        <v>5.2302999999999997</v>
      </c>
      <c r="N9" s="35">
        <f t="shared" si="2"/>
        <v>796.69510000000002</v>
      </c>
      <c r="O9" s="24">
        <f t="shared" si="10"/>
        <v>-0.10000000008858501</v>
      </c>
      <c r="P9" s="25">
        <f t="shared" si="11"/>
        <v>-0.30000000003838101</v>
      </c>
      <c r="Q9" s="26">
        <f t="shared" si="12"/>
        <v>-0.10000000008858501</v>
      </c>
      <c r="R9" s="41"/>
      <c r="S9" s="21">
        <f t="shared" si="3"/>
        <v>44686</v>
      </c>
      <c r="T9" s="42">
        <v>5.4471999999999996</v>
      </c>
      <c r="U9" s="43">
        <f t="shared" si="13"/>
        <v>9.99999999997669E-2</v>
      </c>
      <c r="V9" s="44">
        <f t="shared" si="14"/>
        <v>0.19999999999953399</v>
      </c>
      <c r="W9" s="45">
        <f t="shared" si="15"/>
        <v>-9.99999999997669E-2</v>
      </c>
      <c r="X9" s="29">
        <v>12.0703</v>
      </c>
      <c r="Y9" s="43">
        <f t="shared" si="16"/>
        <v>-9.99999999997669E-2</v>
      </c>
      <c r="Z9" s="44">
        <f t="shared" si="17"/>
        <v>-0.60000000000037801</v>
      </c>
      <c r="AA9" s="45">
        <f t="shared" si="18"/>
        <v>-9.99999999997669E-2</v>
      </c>
      <c r="AB9" s="49">
        <v>11.4274</v>
      </c>
      <c r="AC9" s="43">
        <f t="shared" si="19"/>
        <v>-9.99999999997669E-2</v>
      </c>
      <c r="AD9" s="44">
        <f t="shared" si="20"/>
        <v>-0.60000000000037801</v>
      </c>
      <c r="AE9" s="45">
        <f t="shared" si="21"/>
        <v>-9.99999999997669E-2</v>
      </c>
      <c r="AF9" s="50">
        <v>79740</v>
      </c>
      <c r="AG9" s="58">
        <f t="shared" si="22"/>
        <v>21</v>
      </c>
      <c r="AH9" s="61"/>
      <c r="AI9" s="60"/>
      <c r="AJ9"/>
      <c r="AK9"/>
      <c r="AL9"/>
      <c r="AM9"/>
    </row>
    <row r="10" spans="1:48">
      <c r="A10" s="21">
        <v>44687</v>
      </c>
      <c r="B10" s="22">
        <v>791.46479999999997</v>
      </c>
      <c r="C10" s="27">
        <v>5.2850000000000001</v>
      </c>
      <c r="D10" s="23">
        <f t="shared" si="0"/>
        <v>796.74980000000005</v>
      </c>
      <c r="E10" s="24">
        <f t="shared" si="4"/>
        <v>-0.30000000003838101</v>
      </c>
      <c r="F10" s="25">
        <f t="shared" si="5"/>
        <v>-0.70000000005165897</v>
      </c>
      <c r="G10" s="26">
        <f t="shared" si="6"/>
        <v>-0.30000000003838101</v>
      </c>
      <c r="H10" s="6">
        <v>6.7122000000000002</v>
      </c>
      <c r="I10" s="35">
        <f t="shared" si="1"/>
        <v>798.17700000000002</v>
      </c>
      <c r="J10" s="24">
        <f t="shared" si="7"/>
        <v>0.10000000008858501</v>
      </c>
      <c r="K10" s="25">
        <f t="shared" si="8"/>
        <v>-0.199999999949796</v>
      </c>
      <c r="L10" s="26">
        <f t="shared" si="9"/>
        <v>0.10000000008858501</v>
      </c>
      <c r="M10" s="6">
        <v>5.2301000000000002</v>
      </c>
      <c r="N10" s="35">
        <f t="shared" si="2"/>
        <v>796.69489999999996</v>
      </c>
      <c r="O10" s="24">
        <f t="shared" si="10"/>
        <v>-0.199999999949796</v>
      </c>
      <c r="P10" s="25">
        <f t="shared" si="11"/>
        <v>-0.49999999998817701</v>
      </c>
      <c r="Q10" s="26">
        <f t="shared" si="12"/>
        <v>-0.199999999949796</v>
      </c>
      <c r="R10" s="41"/>
      <c r="S10" s="21">
        <f t="shared" si="3"/>
        <v>44687</v>
      </c>
      <c r="T10" s="42">
        <v>5.4466999999999999</v>
      </c>
      <c r="U10" s="43">
        <f t="shared" si="13"/>
        <v>-0.499999999999723</v>
      </c>
      <c r="V10" s="44">
        <f t="shared" si="14"/>
        <v>-0.300000000000189</v>
      </c>
      <c r="W10" s="45">
        <f t="shared" si="15"/>
        <v>0.499999999999723</v>
      </c>
      <c r="X10" s="29">
        <v>12.070499999999999</v>
      </c>
      <c r="Y10" s="43">
        <f t="shared" si="16"/>
        <v>0.19999999999953399</v>
      </c>
      <c r="Z10" s="44">
        <f t="shared" si="17"/>
        <v>-0.40000000000084401</v>
      </c>
      <c r="AA10" s="45">
        <f t="shared" si="18"/>
        <v>0.19999999999953399</v>
      </c>
      <c r="AB10" s="49">
        <v>11.427199999999999</v>
      </c>
      <c r="AC10" s="43">
        <f t="shared" si="19"/>
        <v>-0.20000000000130999</v>
      </c>
      <c r="AD10" s="44">
        <f t="shared" si="20"/>
        <v>-0.80000000000168803</v>
      </c>
      <c r="AE10" s="45">
        <f t="shared" si="21"/>
        <v>-0.20000000000130999</v>
      </c>
      <c r="AF10" s="50">
        <v>79745</v>
      </c>
      <c r="AG10" s="58">
        <f t="shared" si="22"/>
        <v>26</v>
      </c>
      <c r="AH10" s="59"/>
      <c r="AI10" s="60"/>
      <c r="AJ10" s="61"/>
      <c r="AK10" s="62"/>
      <c r="AL10" s="52"/>
      <c r="AM10" s="52"/>
    </row>
    <row r="11" spans="1:48">
      <c r="A11" s="21">
        <v>44688</v>
      </c>
      <c r="B11" s="22">
        <v>791.46479999999997</v>
      </c>
      <c r="C11" s="27">
        <v>5.2847999999999997</v>
      </c>
      <c r="D11" s="23">
        <f t="shared" si="0"/>
        <v>796.74959999999999</v>
      </c>
      <c r="E11" s="24">
        <f t="shared" si="4"/>
        <v>-0.199999999949796</v>
      </c>
      <c r="F11" s="25">
        <f t="shared" si="5"/>
        <v>-0.90000000000145497</v>
      </c>
      <c r="G11" s="26">
        <f t="shared" si="6"/>
        <v>-0.199999999949796</v>
      </c>
      <c r="H11" s="6">
        <v>6.7119</v>
      </c>
      <c r="I11" s="35">
        <f t="shared" si="1"/>
        <v>798.17669999999998</v>
      </c>
      <c r="J11" s="24">
        <f t="shared" si="7"/>
        <v>-0.30000000003838101</v>
      </c>
      <c r="K11" s="25">
        <f t="shared" si="8"/>
        <v>-0.49999999998817701</v>
      </c>
      <c r="L11" s="26">
        <f t="shared" si="9"/>
        <v>-0.30000000003838101</v>
      </c>
      <c r="M11" s="6">
        <v>5.23</v>
      </c>
      <c r="N11" s="35">
        <f t="shared" si="2"/>
        <v>796.69479999999999</v>
      </c>
      <c r="O11" s="24">
        <f t="shared" si="10"/>
        <v>-9.9999999974897905E-2</v>
      </c>
      <c r="P11" s="25">
        <f t="shared" si="11"/>
        <v>-0.59999999996307496</v>
      </c>
      <c r="Q11" s="26">
        <f t="shared" si="12"/>
        <v>-9.9999999974897905E-2</v>
      </c>
      <c r="R11" s="41"/>
      <c r="S11" s="21">
        <f t="shared" si="3"/>
        <v>44688</v>
      </c>
      <c r="T11" s="42">
        <v>5.4465000000000003</v>
      </c>
      <c r="U11" s="43">
        <f t="shared" si="13"/>
        <v>-0.19999999999953399</v>
      </c>
      <c r="V11" s="44">
        <f t="shared" si="14"/>
        <v>-0.499999999999723</v>
      </c>
      <c r="W11" s="45">
        <f t="shared" si="15"/>
        <v>0.19999999999953399</v>
      </c>
      <c r="X11" s="29">
        <v>12.0701</v>
      </c>
      <c r="Y11" s="43">
        <f t="shared" si="16"/>
        <v>-0.39999999999906799</v>
      </c>
      <c r="Z11" s="44">
        <f t="shared" si="17"/>
        <v>-0.799999999999912</v>
      </c>
      <c r="AA11" s="45">
        <f t="shared" si="18"/>
        <v>-0.39999999999906799</v>
      </c>
      <c r="AB11" s="49">
        <v>11.427199999999999</v>
      </c>
      <c r="AC11" s="43">
        <f t="shared" si="19"/>
        <v>0</v>
      </c>
      <c r="AD11" s="44">
        <f t="shared" si="20"/>
        <v>-0.80000000000168803</v>
      </c>
      <c r="AE11" s="45">
        <f t="shared" si="21"/>
        <v>0</v>
      </c>
      <c r="AF11" s="50">
        <v>79750</v>
      </c>
      <c r="AG11" s="58">
        <f t="shared" si="22"/>
        <v>31</v>
      </c>
      <c r="AH11" s="59"/>
      <c r="AI11" s="60"/>
      <c r="AJ11" s="52"/>
      <c r="AK11" s="52"/>
      <c r="AL11" s="52"/>
      <c r="AM11" s="52"/>
    </row>
    <row r="12" spans="1:48">
      <c r="A12" s="21">
        <v>44689</v>
      </c>
      <c r="B12" s="22">
        <v>791.46479999999997</v>
      </c>
      <c r="C12" s="27">
        <v>5.2850000000000001</v>
      </c>
      <c r="D12" s="23">
        <f t="shared" si="0"/>
        <v>796.74980000000005</v>
      </c>
      <c r="E12" s="24">
        <f t="shared" si="4"/>
        <v>0.199999999949796</v>
      </c>
      <c r="F12" s="25">
        <f t="shared" si="5"/>
        <v>-0.70000000005165897</v>
      </c>
      <c r="G12" s="26">
        <f t="shared" si="6"/>
        <v>0.199999999949796</v>
      </c>
      <c r="H12" s="6">
        <v>6.7118000000000002</v>
      </c>
      <c r="I12" s="35">
        <f t="shared" si="1"/>
        <v>798.17660000000001</v>
      </c>
      <c r="J12" s="24">
        <f t="shared" si="7"/>
        <v>-9.9999999974897905E-2</v>
      </c>
      <c r="K12" s="25">
        <f t="shared" si="8"/>
        <v>-0.59999999996307496</v>
      </c>
      <c r="L12" s="26">
        <f t="shared" si="9"/>
        <v>-9.9999999974897905E-2</v>
      </c>
      <c r="M12" s="6">
        <v>5.2297000000000002</v>
      </c>
      <c r="N12" s="35">
        <f t="shared" si="2"/>
        <v>796.69449999999995</v>
      </c>
      <c r="O12" s="24">
        <f t="shared" si="10"/>
        <v>-0.30000000003838101</v>
      </c>
      <c r="P12" s="25">
        <f t="shared" si="11"/>
        <v>-0.90000000000145497</v>
      </c>
      <c r="Q12" s="26">
        <f t="shared" si="12"/>
        <v>-0.30000000003838101</v>
      </c>
      <c r="R12" s="41"/>
      <c r="S12" s="21">
        <f t="shared" si="3"/>
        <v>44689</v>
      </c>
      <c r="T12" s="42">
        <v>5.4463999999999997</v>
      </c>
      <c r="U12" s="43">
        <f t="shared" si="13"/>
        <v>-0.100000000000655</v>
      </c>
      <c r="V12" s="44">
        <f t="shared" si="14"/>
        <v>-0.60000000000037801</v>
      </c>
      <c r="W12" s="45">
        <f t="shared" si="15"/>
        <v>0.100000000000655</v>
      </c>
      <c r="X12" s="29">
        <v>12.07</v>
      </c>
      <c r="Y12" s="43">
        <f t="shared" si="16"/>
        <v>-9.99999999997669E-2</v>
      </c>
      <c r="Z12" s="44">
        <f t="shared" si="17"/>
        <v>-0.89999999999967895</v>
      </c>
      <c r="AA12" s="45">
        <f t="shared" si="18"/>
        <v>-9.99999999997669E-2</v>
      </c>
      <c r="AB12" s="49">
        <v>11.4268</v>
      </c>
      <c r="AC12" s="43">
        <f t="shared" si="19"/>
        <v>-0.39999999999906799</v>
      </c>
      <c r="AD12" s="44">
        <f t="shared" si="20"/>
        <v>-1.20000000000076</v>
      </c>
      <c r="AE12" s="45">
        <f t="shared" si="21"/>
        <v>-0.39999999999906799</v>
      </c>
      <c r="AF12" s="50">
        <v>79755</v>
      </c>
      <c r="AG12" s="58">
        <f t="shared" si="22"/>
        <v>36</v>
      </c>
      <c r="AH12" s="61"/>
      <c r="AI12" s="60"/>
      <c r="AJ12"/>
      <c r="AK12"/>
      <c r="AL12"/>
      <c r="AM12"/>
    </row>
    <row r="13" spans="1:48">
      <c r="A13" s="21">
        <v>44690</v>
      </c>
      <c r="B13" s="22">
        <v>791.46479999999997</v>
      </c>
      <c r="C13" s="27">
        <v>5.2843999999999998</v>
      </c>
      <c r="D13" s="23">
        <f t="shared" si="0"/>
        <v>796.74919999999997</v>
      </c>
      <c r="E13" s="24">
        <f t="shared" si="4"/>
        <v>-0.59999999996307496</v>
      </c>
      <c r="F13" s="25">
        <f t="shared" si="5"/>
        <v>-1.30000000001473</v>
      </c>
      <c r="G13" s="26">
        <f t="shared" si="6"/>
        <v>-0.59999999996307496</v>
      </c>
      <c r="H13" s="6">
        <v>6.7119999999999997</v>
      </c>
      <c r="I13" s="35">
        <f t="shared" si="1"/>
        <v>798.17679999999996</v>
      </c>
      <c r="J13" s="24">
        <f t="shared" si="7"/>
        <v>0.199999999949796</v>
      </c>
      <c r="K13" s="25">
        <f t="shared" si="8"/>
        <v>-0.40000000001327901</v>
      </c>
      <c r="L13" s="26">
        <f t="shared" si="9"/>
        <v>0.199999999949796</v>
      </c>
      <c r="M13" s="6">
        <v>5.2298</v>
      </c>
      <c r="N13" s="35">
        <f t="shared" si="2"/>
        <v>796.69460000000004</v>
      </c>
      <c r="O13" s="24">
        <f t="shared" si="10"/>
        <v>9.9999999974897905E-2</v>
      </c>
      <c r="P13" s="25">
        <f t="shared" si="11"/>
        <v>-0.80000000002655702</v>
      </c>
      <c r="Q13" s="26">
        <f t="shared" si="12"/>
        <v>9.9999999974897905E-2</v>
      </c>
      <c r="R13" s="41"/>
      <c r="S13" s="21">
        <f t="shared" si="3"/>
        <v>44690</v>
      </c>
      <c r="T13" s="42">
        <v>5.4461000000000004</v>
      </c>
      <c r="U13" s="43">
        <f t="shared" si="13"/>
        <v>-0.29999999999930099</v>
      </c>
      <c r="V13" s="44">
        <f t="shared" si="14"/>
        <v>-0.89999999999967895</v>
      </c>
      <c r="W13" s="45">
        <f t="shared" si="15"/>
        <v>0.29999999999930099</v>
      </c>
      <c r="X13" s="29">
        <v>12.0702</v>
      </c>
      <c r="Y13" s="43">
        <f t="shared" si="16"/>
        <v>0.19999999999953399</v>
      </c>
      <c r="Z13" s="44">
        <f t="shared" si="17"/>
        <v>-0.70000000000014495</v>
      </c>
      <c r="AA13" s="45">
        <f t="shared" si="18"/>
        <v>0.19999999999953399</v>
      </c>
      <c r="AB13" s="49">
        <v>11.426600000000001</v>
      </c>
      <c r="AC13" s="43">
        <f t="shared" si="19"/>
        <v>-0.19999999999953399</v>
      </c>
      <c r="AD13" s="44">
        <f t="shared" si="20"/>
        <v>-1.4000000000002899</v>
      </c>
      <c r="AE13" s="45">
        <f t="shared" si="21"/>
        <v>-0.19999999999953399</v>
      </c>
      <c r="AF13" s="50">
        <v>79760</v>
      </c>
      <c r="AG13" s="58">
        <f t="shared" si="22"/>
        <v>41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44691</v>
      </c>
      <c r="B14" s="22">
        <v>791.46479999999997</v>
      </c>
      <c r="C14" s="27">
        <v>5.2843</v>
      </c>
      <c r="D14" s="23">
        <f t="shared" si="0"/>
        <v>796.7491</v>
      </c>
      <c r="E14" s="24">
        <f t="shared" si="4"/>
        <v>-9.9999999974897905E-2</v>
      </c>
      <c r="F14" s="25">
        <f t="shared" si="5"/>
        <v>-1.39999999998963</v>
      </c>
      <c r="G14" s="26">
        <f t="shared" si="6"/>
        <v>-9.9999999974897905E-2</v>
      </c>
      <c r="H14" s="6">
        <v>6.7115999999999998</v>
      </c>
      <c r="I14" s="35">
        <f t="shared" si="1"/>
        <v>798.17639999999994</v>
      </c>
      <c r="J14" s="24">
        <f t="shared" si="7"/>
        <v>-0.40000000001327901</v>
      </c>
      <c r="K14" s="25">
        <f t="shared" si="8"/>
        <v>-0.80000000002655702</v>
      </c>
      <c r="L14" s="26">
        <f t="shared" si="9"/>
        <v>-0.40000000001327901</v>
      </c>
      <c r="M14" s="6">
        <v>5.2293000000000003</v>
      </c>
      <c r="N14" s="35">
        <f t="shared" si="2"/>
        <v>796.69410000000005</v>
      </c>
      <c r="O14" s="24">
        <f t="shared" si="10"/>
        <v>-0.49999999998817701</v>
      </c>
      <c r="P14" s="25">
        <f t="shared" si="11"/>
        <v>-1.30000000001473</v>
      </c>
      <c r="Q14" s="26">
        <f t="shared" si="12"/>
        <v>-0.49999999998817701</v>
      </c>
      <c r="R14" s="41"/>
      <c r="S14" s="21">
        <f t="shared" si="3"/>
        <v>44691</v>
      </c>
      <c r="T14" s="42">
        <v>5.4459</v>
      </c>
      <c r="U14" s="43">
        <f t="shared" si="13"/>
        <v>-0.20000000000042201</v>
      </c>
      <c r="V14" s="44">
        <f t="shared" si="14"/>
        <v>-1.1000000000001</v>
      </c>
      <c r="W14" s="45">
        <f t="shared" si="15"/>
        <v>0.20000000000042201</v>
      </c>
      <c r="X14" s="29">
        <v>12.069800000000001</v>
      </c>
      <c r="Y14" s="43">
        <f t="shared" si="16"/>
        <v>-0.39999999999906799</v>
      </c>
      <c r="Z14" s="44">
        <f t="shared" si="17"/>
        <v>-1.0999999999992101</v>
      </c>
      <c r="AA14" s="45">
        <f t="shared" si="18"/>
        <v>-0.39999999999906799</v>
      </c>
      <c r="AB14" s="49">
        <v>11.426500000000001</v>
      </c>
      <c r="AC14" s="43">
        <f t="shared" si="19"/>
        <v>-9.99999999997669E-2</v>
      </c>
      <c r="AD14" s="44">
        <f t="shared" si="20"/>
        <v>-1.50000000000006</v>
      </c>
      <c r="AE14" s="45">
        <f t="shared" si="21"/>
        <v>-9.99999999997669E-2</v>
      </c>
      <c r="AF14" s="50">
        <v>79765</v>
      </c>
      <c r="AG14" s="58">
        <f t="shared" si="22"/>
        <v>46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44692</v>
      </c>
      <c r="B15" s="22">
        <v>791.46479999999997</v>
      </c>
      <c r="C15" s="27">
        <v>5.2839999999999998</v>
      </c>
      <c r="D15" s="23">
        <f t="shared" si="0"/>
        <v>796.74879999999996</v>
      </c>
      <c r="E15" s="24">
        <f t="shared" si="4"/>
        <v>-0.30000000003838101</v>
      </c>
      <c r="F15" s="25">
        <f t="shared" si="5"/>
        <v>-1.70000000002801</v>
      </c>
      <c r="G15" s="26">
        <f t="shared" si="6"/>
        <v>-0.30000000003838101</v>
      </c>
      <c r="H15" s="6">
        <v>6.7115</v>
      </c>
      <c r="I15" s="35">
        <f t="shared" si="1"/>
        <v>798.17629999999997</v>
      </c>
      <c r="J15" s="24">
        <f t="shared" si="7"/>
        <v>-9.9999999974897905E-2</v>
      </c>
      <c r="K15" s="25">
        <f t="shared" si="8"/>
        <v>-0.90000000000145497</v>
      </c>
      <c r="L15" s="26">
        <f t="shared" si="9"/>
        <v>-9.9999999974897905E-2</v>
      </c>
      <c r="M15" s="6">
        <v>5.2290999999999999</v>
      </c>
      <c r="N15" s="35">
        <f t="shared" si="2"/>
        <v>796.69389999999999</v>
      </c>
      <c r="O15" s="24">
        <f t="shared" si="10"/>
        <v>-0.199999999949796</v>
      </c>
      <c r="P15" s="25">
        <f t="shared" si="11"/>
        <v>-1.4999999999645299</v>
      </c>
      <c r="Q15" s="26">
        <f t="shared" si="12"/>
        <v>-0.199999999949796</v>
      </c>
      <c r="R15" s="41"/>
      <c r="S15" s="21">
        <f t="shared" si="3"/>
        <v>44692</v>
      </c>
      <c r="T15" s="42">
        <v>5.4459999999999997</v>
      </c>
      <c r="U15" s="43">
        <f t="shared" si="13"/>
        <v>9.99999999997669E-2</v>
      </c>
      <c r="V15" s="44">
        <f t="shared" si="14"/>
        <v>-1.00000000000033</v>
      </c>
      <c r="W15" s="45">
        <f t="shared" si="15"/>
        <v>-9.99999999997669E-2</v>
      </c>
      <c r="X15" s="29">
        <v>12.069699999999999</v>
      </c>
      <c r="Y15" s="43">
        <f t="shared" si="16"/>
        <v>-0.10000000000154299</v>
      </c>
      <c r="Z15" s="44">
        <f t="shared" si="17"/>
        <v>-1.20000000000076</v>
      </c>
      <c r="AA15" s="45">
        <f t="shared" si="18"/>
        <v>-0.10000000000154299</v>
      </c>
      <c r="AB15" s="49">
        <v>11.4262</v>
      </c>
      <c r="AC15" s="43">
        <f t="shared" si="19"/>
        <v>-0.30000000000107702</v>
      </c>
      <c r="AD15" s="44">
        <f t="shared" si="20"/>
        <v>-1.80000000000113</v>
      </c>
      <c r="AE15" s="45">
        <f t="shared" si="21"/>
        <v>-0.30000000000107702</v>
      </c>
      <c r="AF15" s="50">
        <v>79770</v>
      </c>
      <c r="AG15" s="58">
        <f t="shared" si="22"/>
        <v>51</v>
      </c>
      <c r="AH15" s="61"/>
      <c r="AI15" s="60"/>
      <c r="AJ15"/>
      <c r="AK15"/>
      <c r="AL15"/>
      <c r="AM15"/>
    </row>
    <row r="16" spans="1:48">
      <c r="A16" s="21">
        <v>44693</v>
      </c>
      <c r="B16" s="22">
        <v>791.46479999999997</v>
      </c>
      <c r="C16" s="27">
        <v>5.2838000000000003</v>
      </c>
      <c r="D16" s="23">
        <f t="shared" si="0"/>
        <v>796.74860000000001</v>
      </c>
      <c r="E16" s="24">
        <f t="shared" si="4"/>
        <v>-0.199999999949796</v>
      </c>
      <c r="F16" s="25">
        <f t="shared" si="5"/>
        <v>-1.8999999999778101</v>
      </c>
      <c r="G16" s="26">
        <f t="shared" si="6"/>
        <v>-0.199999999949796</v>
      </c>
      <c r="H16" s="6">
        <v>6.7110000000000003</v>
      </c>
      <c r="I16" s="35">
        <f t="shared" si="1"/>
        <v>798.17579999999998</v>
      </c>
      <c r="J16" s="24">
        <f t="shared" si="7"/>
        <v>-0.49999999998817701</v>
      </c>
      <c r="K16" s="25">
        <f t="shared" si="8"/>
        <v>-1.39999999998963</v>
      </c>
      <c r="L16" s="26">
        <f t="shared" si="9"/>
        <v>-0.49999999998817701</v>
      </c>
      <c r="M16" s="6">
        <v>5.2291999999999996</v>
      </c>
      <c r="N16" s="35">
        <f t="shared" si="2"/>
        <v>796.69399999999996</v>
      </c>
      <c r="O16" s="24">
        <f t="shared" si="10"/>
        <v>9.9999999974897905E-2</v>
      </c>
      <c r="P16" s="25">
        <f t="shared" si="11"/>
        <v>-1.39999999998963</v>
      </c>
      <c r="Q16" s="26">
        <f t="shared" si="12"/>
        <v>9.9999999974897905E-2</v>
      </c>
      <c r="R16" s="41"/>
      <c r="S16" s="21">
        <f t="shared" si="3"/>
        <v>44693</v>
      </c>
      <c r="T16" s="42">
        <v>5.4455</v>
      </c>
      <c r="U16" s="43">
        <f t="shared" si="13"/>
        <v>-0.499999999999723</v>
      </c>
      <c r="V16" s="44">
        <f t="shared" si="14"/>
        <v>-1.50000000000006</v>
      </c>
      <c r="W16" s="45">
        <f t="shared" si="15"/>
        <v>0.499999999999723</v>
      </c>
      <c r="X16" s="29">
        <v>12.0701</v>
      </c>
      <c r="Y16" s="43">
        <f t="shared" si="16"/>
        <v>0.40000000000084401</v>
      </c>
      <c r="Z16" s="44">
        <f t="shared" si="17"/>
        <v>-0.799999999999912</v>
      </c>
      <c r="AA16" s="45">
        <f t="shared" si="18"/>
        <v>0.40000000000084401</v>
      </c>
      <c r="AB16" s="49">
        <v>11.426</v>
      </c>
      <c r="AC16" s="43">
        <f t="shared" si="19"/>
        <v>-0.19999999999953399</v>
      </c>
      <c r="AD16" s="44">
        <f t="shared" si="20"/>
        <v>-2.0000000000006701</v>
      </c>
      <c r="AE16" s="45">
        <f t="shared" si="21"/>
        <v>-0.19999999999953399</v>
      </c>
      <c r="AF16" s="50">
        <v>79775</v>
      </c>
      <c r="AG16" s="58">
        <f t="shared" si="22"/>
        <v>56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44694</v>
      </c>
      <c r="B17" s="22">
        <v>791.46479999999997</v>
      </c>
      <c r="C17" s="27">
        <v>5.2839</v>
      </c>
      <c r="D17" s="23">
        <f t="shared" si="0"/>
        <v>796.74869999999999</v>
      </c>
      <c r="E17" s="24">
        <f t="shared" si="4"/>
        <v>9.9999999974897905E-2</v>
      </c>
      <c r="F17" s="25">
        <f t="shared" si="5"/>
        <v>-1.8000000000029099</v>
      </c>
      <c r="G17" s="26">
        <f t="shared" si="6"/>
        <v>9.9999999974897905E-2</v>
      </c>
      <c r="H17" s="6">
        <v>6.7112999999999996</v>
      </c>
      <c r="I17" s="35">
        <f t="shared" si="1"/>
        <v>798.17610000000002</v>
      </c>
      <c r="J17" s="24">
        <f t="shared" si="7"/>
        <v>0.30000000003838101</v>
      </c>
      <c r="K17" s="25">
        <f t="shared" si="8"/>
        <v>-1.09999999995125</v>
      </c>
      <c r="L17" s="26">
        <f t="shared" si="9"/>
        <v>0.30000000003838101</v>
      </c>
      <c r="M17" s="6">
        <v>5.2286999999999999</v>
      </c>
      <c r="N17" s="35">
        <f t="shared" si="2"/>
        <v>796.69349999999997</v>
      </c>
      <c r="O17" s="24">
        <f t="shared" si="10"/>
        <v>-0.49999999998817701</v>
      </c>
      <c r="P17" s="25">
        <f t="shared" si="11"/>
        <v>-1.8999999999778101</v>
      </c>
      <c r="Q17" s="26">
        <f t="shared" si="12"/>
        <v>-0.49999999998817701</v>
      </c>
      <c r="R17" s="41"/>
      <c r="S17" s="21">
        <f t="shared" si="3"/>
        <v>44694</v>
      </c>
      <c r="T17" s="42">
        <v>5.4452999999999996</v>
      </c>
      <c r="U17" s="43">
        <f t="shared" si="13"/>
        <v>-0.20000000000042201</v>
      </c>
      <c r="V17" s="44">
        <f t="shared" si="14"/>
        <v>-1.70000000000048</v>
      </c>
      <c r="W17" s="45">
        <f t="shared" si="15"/>
        <v>0.20000000000042201</v>
      </c>
      <c r="X17" s="29">
        <v>12.0695</v>
      </c>
      <c r="Y17" s="43">
        <f t="shared" si="16"/>
        <v>-0.60000000000037801</v>
      </c>
      <c r="Z17" s="44">
        <f t="shared" si="17"/>
        <v>-1.4000000000002899</v>
      </c>
      <c r="AA17" s="45">
        <f t="shared" si="18"/>
        <v>-0.60000000000037801</v>
      </c>
      <c r="AB17" s="49">
        <v>11.4261</v>
      </c>
      <c r="AC17" s="43">
        <f t="shared" si="19"/>
        <v>9.99999999997669E-2</v>
      </c>
      <c r="AD17" s="44">
        <f t="shared" si="20"/>
        <v>-1.9000000000009001</v>
      </c>
      <c r="AE17" s="45">
        <f t="shared" si="21"/>
        <v>9.99999999997669E-2</v>
      </c>
      <c r="AF17" s="50">
        <v>79780</v>
      </c>
      <c r="AG17" s="58">
        <f t="shared" si="22"/>
        <v>61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44695</v>
      </c>
      <c r="B18" s="22">
        <v>791.46479999999997</v>
      </c>
      <c r="C18" s="27">
        <v>5.2834000000000003</v>
      </c>
      <c r="D18" s="23">
        <f t="shared" si="0"/>
        <v>796.7482</v>
      </c>
      <c r="E18" s="24">
        <f t="shared" si="4"/>
        <v>-0.49999999998817701</v>
      </c>
      <c r="F18" s="25">
        <f t="shared" si="5"/>
        <v>-2.2999999999910901</v>
      </c>
      <c r="G18" s="26">
        <f t="shared" si="6"/>
        <v>-0.49999999998817701</v>
      </c>
      <c r="H18" s="6">
        <v>6.7111999999999998</v>
      </c>
      <c r="I18" s="35">
        <f t="shared" si="1"/>
        <v>798.17600000000004</v>
      </c>
      <c r="J18" s="24">
        <f t="shared" si="7"/>
        <v>-0.10000000008858501</v>
      </c>
      <c r="K18" s="25">
        <f t="shared" si="8"/>
        <v>-1.2000000000398401</v>
      </c>
      <c r="L18" s="26">
        <f t="shared" si="9"/>
        <v>-0.10000000008858501</v>
      </c>
      <c r="M18" s="6">
        <v>5.2285000000000004</v>
      </c>
      <c r="N18" s="35">
        <f t="shared" si="2"/>
        <v>796.69330000000002</v>
      </c>
      <c r="O18" s="24">
        <f t="shared" si="10"/>
        <v>-0.199999999949796</v>
      </c>
      <c r="P18" s="25">
        <f t="shared" si="11"/>
        <v>-2.0999999999275998</v>
      </c>
      <c r="Q18" s="26">
        <f t="shared" si="12"/>
        <v>-0.199999999949796</v>
      </c>
      <c r="R18" s="41"/>
      <c r="S18" s="21">
        <f t="shared" si="3"/>
        <v>44695</v>
      </c>
      <c r="T18" s="42">
        <v>5.4455</v>
      </c>
      <c r="U18" s="43">
        <f t="shared" si="13"/>
        <v>0.20000000000042201</v>
      </c>
      <c r="V18" s="44">
        <f t="shared" si="14"/>
        <v>-1.50000000000006</v>
      </c>
      <c r="W18" s="45">
        <f t="shared" si="15"/>
        <v>-0.20000000000042201</v>
      </c>
      <c r="X18" s="29">
        <v>12.0694</v>
      </c>
      <c r="Y18" s="43">
        <f t="shared" si="16"/>
        <v>-9.99999999997669E-2</v>
      </c>
      <c r="Z18" s="44">
        <f t="shared" si="17"/>
        <v>-1.50000000000006</v>
      </c>
      <c r="AA18" s="45">
        <f t="shared" si="18"/>
        <v>-9.99999999997669E-2</v>
      </c>
      <c r="AB18" s="49">
        <v>11.425599999999999</v>
      </c>
      <c r="AC18" s="43">
        <f t="shared" si="19"/>
        <v>-0.50000000000061096</v>
      </c>
      <c r="AD18" s="44">
        <f t="shared" si="20"/>
        <v>-2.4000000000015098</v>
      </c>
      <c r="AE18" s="45">
        <f t="shared" si="21"/>
        <v>-0.50000000000061096</v>
      </c>
      <c r="AF18" s="50">
        <v>79785</v>
      </c>
      <c r="AG18" s="58">
        <f t="shared" si="22"/>
        <v>66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44696</v>
      </c>
      <c r="B19" s="22">
        <v>791.46479999999997</v>
      </c>
      <c r="C19" s="27">
        <v>5.2832000000000097</v>
      </c>
      <c r="D19" s="23">
        <f t="shared" si="0"/>
        <v>796.74800000000005</v>
      </c>
      <c r="E19" s="24">
        <f t="shared" si="4"/>
        <v>-0.20000000006348301</v>
      </c>
      <c r="F19" s="25">
        <f t="shared" si="5"/>
        <v>-2.5000000000545701</v>
      </c>
      <c r="G19" s="26">
        <f t="shared" si="6"/>
        <v>-0.20000000006348301</v>
      </c>
      <c r="H19" s="6">
        <v>6.7104999999999997</v>
      </c>
      <c r="I19" s="35">
        <f t="shared" si="1"/>
        <v>798.17529999999999</v>
      </c>
      <c r="J19" s="24">
        <f t="shared" si="7"/>
        <v>-0.69999999993797202</v>
      </c>
      <c r="K19" s="25">
        <f t="shared" si="8"/>
        <v>-1.8999999999778101</v>
      </c>
      <c r="L19" s="26">
        <f t="shared" si="9"/>
        <v>-0.69999999993797202</v>
      </c>
      <c r="M19" s="6">
        <v>5.2282999999999999</v>
      </c>
      <c r="N19" s="35">
        <f t="shared" si="2"/>
        <v>796.69309999999996</v>
      </c>
      <c r="O19" s="24">
        <f t="shared" si="10"/>
        <v>-0.20000000006348301</v>
      </c>
      <c r="P19" s="25">
        <f t="shared" si="11"/>
        <v>-2.2999999999910901</v>
      </c>
      <c r="Q19" s="26">
        <f t="shared" si="12"/>
        <v>-0.20000000006348301</v>
      </c>
      <c r="R19" s="41"/>
      <c r="S19" s="21">
        <f t="shared" si="3"/>
        <v>44696</v>
      </c>
      <c r="T19" s="42">
        <v>5.4448999999999996</v>
      </c>
      <c r="U19" s="43">
        <f t="shared" si="13"/>
        <v>-0.60000000000037801</v>
      </c>
      <c r="V19" s="44">
        <f t="shared" si="14"/>
        <v>-2.10000000000043</v>
      </c>
      <c r="W19" s="45">
        <f t="shared" si="15"/>
        <v>0.60000000000037801</v>
      </c>
      <c r="X19" s="29">
        <v>12.0692</v>
      </c>
      <c r="Y19" s="43">
        <f t="shared" si="16"/>
        <v>-0.19999999999953399</v>
      </c>
      <c r="Z19" s="44">
        <f t="shared" si="17"/>
        <v>-1.6999999999995901</v>
      </c>
      <c r="AA19" s="45">
        <f t="shared" si="18"/>
        <v>-0.19999999999953399</v>
      </c>
      <c r="AB19" s="49">
        <v>11.4254</v>
      </c>
      <c r="AC19" s="43">
        <f t="shared" si="19"/>
        <v>-0.19999999999953399</v>
      </c>
      <c r="AD19" s="44">
        <f t="shared" si="20"/>
        <v>-2.6000000000010499</v>
      </c>
      <c r="AE19" s="45">
        <f t="shared" si="21"/>
        <v>-0.19999999999953399</v>
      </c>
      <c r="AF19" s="50">
        <v>79790</v>
      </c>
      <c r="AG19" s="58">
        <f t="shared" si="22"/>
        <v>71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44697</v>
      </c>
      <c r="B20" s="22">
        <v>791.46479999999997</v>
      </c>
      <c r="C20" s="27">
        <v>5.2834000000000003</v>
      </c>
      <c r="D20" s="23">
        <f t="shared" si="0"/>
        <v>796.7482</v>
      </c>
      <c r="E20" s="24">
        <f t="shared" si="4"/>
        <v>0.20000000006348301</v>
      </c>
      <c r="F20" s="25">
        <f t="shared" si="5"/>
        <v>-2.2999999999910901</v>
      </c>
      <c r="G20" s="26">
        <f t="shared" si="6"/>
        <v>0.20000000006348301</v>
      </c>
      <c r="H20" s="6">
        <v>6.7110000000000003</v>
      </c>
      <c r="I20" s="35">
        <f t="shared" si="1"/>
        <v>798.17579999999998</v>
      </c>
      <c r="J20" s="24">
        <f t="shared" si="7"/>
        <v>0.49999999998817701</v>
      </c>
      <c r="K20" s="25">
        <f t="shared" si="8"/>
        <v>-1.39999999998963</v>
      </c>
      <c r="L20" s="26">
        <f t="shared" si="9"/>
        <v>0.49999999998817701</v>
      </c>
      <c r="M20" s="6">
        <v>5.2283999999999997</v>
      </c>
      <c r="N20" s="35">
        <f t="shared" si="2"/>
        <v>796.69320000000005</v>
      </c>
      <c r="O20" s="24">
        <f t="shared" si="10"/>
        <v>9.9999999974897905E-2</v>
      </c>
      <c r="P20" s="25">
        <f t="shared" si="11"/>
        <v>-2.2000000000161899</v>
      </c>
      <c r="Q20" s="26">
        <f t="shared" si="12"/>
        <v>9.9999999974897905E-2</v>
      </c>
      <c r="R20" s="41"/>
      <c r="S20" s="21">
        <f t="shared" si="3"/>
        <v>44697</v>
      </c>
      <c r="T20" s="42">
        <v>5.4448999999999996</v>
      </c>
      <c r="U20" s="43">
        <f t="shared" si="13"/>
        <v>0</v>
      </c>
      <c r="V20" s="44">
        <f t="shared" si="14"/>
        <v>-2.10000000000043</v>
      </c>
      <c r="W20" s="45">
        <f t="shared" si="15"/>
        <v>0</v>
      </c>
      <c r="X20" s="29">
        <v>12.0692</v>
      </c>
      <c r="Y20" s="43">
        <f t="shared" si="16"/>
        <v>0</v>
      </c>
      <c r="Z20" s="44">
        <f t="shared" si="17"/>
        <v>-1.6999999999995901</v>
      </c>
      <c r="AA20" s="45">
        <f t="shared" si="18"/>
        <v>0</v>
      </c>
      <c r="AB20" s="49">
        <v>11.4255</v>
      </c>
      <c r="AC20" s="43">
        <f t="shared" si="19"/>
        <v>9.99999999997669E-2</v>
      </c>
      <c r="AD20" s="44">
        <f t="shared" si="20"/>
        <v>-2.5000000000012799</v>
      </c>
      <c r="AE20" s="45">
        <f t="shared" si="21"/>
        <v>9.99999999997669E-2</v>
      </c>
      <c r="AF20" s="50">
        <v>79795</v>
      </c>
      <c r="AG20" s="58">
        <f t="shared" si="22"/>
        <v>76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44699</v>
      </c>
      <c r="B21" s="22">
        <v>791.46479999999997</v>
      </c>
      <c r="C21" s="27">
        <v>5.2828000000000097</v>
      </c>
      <c r="D21" s="23">
        <f t="shared" si="0"/>
        <v>796.74760000000003</v>
      </c>
      <c r="E21" s="24">
        <f t="shared" si="4"/>
        <v>-0.59999999996307496</v>
      </c>
      <c r="F21" s="25">
        <f t="shared" si="5"/>
        <v>-2.8999999999541601</v>
      </c>
      <c r="G21" s="26">
        <f t="shared" si="6"/>
        <v>-0.29999999998153698</v>
      </c>
      <c r="H21" s="6">
        <v>6.7103000000000002</v>
      </c>
      <c r="I21" s="35">
        <f t="shared" si="1"/>
        <v>798.17510000000004</v>
      </c>
      <c r="J21" s="24">
        <f t="shared" si="7"/>
        <v>-0.70000000005165897</v>
      </c>
      <c r="K21" s="25">
        <f t="shared" si="8"/>
        <v>-2.1000000000412902</v>
      </c>
      <c r="L21" s="26">
        <f t="shared" si="9"/>
        <v>-0.35000000002582998</v>
      </c>
      <c r="M21" s="6">
        <v>5.2279000000000098</v>
      </c>
      <c r="N21" s="35">
        <f t="shared" si="2"/>
        <v>796.69269999999995</v>
      </c>
      <c r="O21" s="24">
        <f t="shared" si="10"/>
        <v>-0.49999999998817701</v>
      </c>
      <c r="P21" s="25">
        <f t="shared" si="11"/>
        <v>-2.70000000000437</v>
      </c>
      <c r="Q21" s="26">
        <f t="shared" si="12"/>
        <v>-0.24999999999408801</v>
      </c>
      <c r="R21" s="41"/>
      <c r="S21" s="21">
        <f t="shared" si="3"/>
        <v>44699</v>
      </c>
      <c r="T21" s="42">
        <v>5.4444999999999899</v>
      </c>
      <c r="U21" s="43">
        <f t="shared" si="13"/>
        <v>-0.40000000000972602</v>
      </c>
      <c r="V21" s="44">
        <f t="shared" si="14"/>
        <v>-2.5000000000101599</v>
      </c>
      <c r="W21" s="45">
        <f t="shared" si="15"/>
        <v>0.20000000000486301</v>
      </c>
      <c r="X21" s="29">
        <v>12.0693</v>
      </c>
      <c r="Y21" s="43">
        <f t="shared" si="16"/>
        <v>9.99999999997669E-2</v>
      </c>
      <c r="Z21" s="44">
        <f t="shared" si="17"/>
        <v>-1.59999999999982</v>
      </c>
      <c r="AA21" s="45">
        <f t="shared" si="18"/>
        <v>4.9999999999883499E-2</v>
      </c>
      <c r="AB21" s="49">
        <v>11.425000000000001</v>
      </c>
      <c r="AC21" s="43">
        <f t="shared" si="19"/>
        <v>-0.49999999999883499</v>
      </c>
      <c r="AD21" s="44">
        <f t="shared" si="20"/>
        <v>-3.0000000000001101</v>
      </c>
      <c r="AE21" s="45">
        <f t="shared" si="21"/>
        <v>-0.24999999999941699</v>
      </c>
      <c r="AF21" s="50">
        <v>79800</v>
      </c>
      <c r="AG21" s="58">
        <f t="shared" si="22"/>
        <v>81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44701</v>
      </c>
      <c r="B22" s="22">
        <v>791.46479999999997</v>
      </c>
      <c r="C22" s="27">
        <v>5.2830000000000004</v>
      </c>
      <c r="D22" s="23">
        <f t="shared" si="0"/>
        <v>796.74779999999998</v>
      </c>
      <c r="E22" s="24">
        <f t="shared" si="4"/>
        <v>0.199999999949796</v>
      </c>
      <c r="F22" s="25">
        <f t="shared" si="5"/>
        <v>-2.70000000000437</v>
      </c>
      <c r="G22" s="26">
        <f t="shared" si="6"/>
        <v>9.9999999974897905E-2</v>
      </c>
      <c r="H22" s="6">
        <v>6.7102000000000004</v>
      </c>
      <c r="I22" s="35">
        <f t="shared" si="1"/>
        <v>798.17499999999995</v>
      </c>
      <c r="J22" s="24">
        <f t="shared" si="7"/>
        <v>-9.9999999974897905E-2</v>
      </c>
      <c r="K22" s="25">
        <f t="shared" si="8"/>
        <v>-2.2000000000161899</v>
      </c>
      <c r="L22" s="26">
        <f t="shared" si="9"/>
        <v>-4.9999999987449001E-2</v>
      </c>
      <c r="M22" s="6">
        <v>5.2279999999999998</v>
      </c>
      <c r="N22" s="35">
        <f t="shared" si="2"/>
        <v>796.69280000000003</v>
      </c>
      <c r="O22" s="24">
        <f t="shared" si="10"/>
        <v>9.9999999974897905E-2</v>
      </c>
      <c r="P22" s="25">
        <f t="shared" si="11"/>
        <v>-2.6000000000294698</v>
      </c>
      <c r="Q22" s="26">
        <f t="shared" si="12"/>
        <v>4.9999999987449001E-2</v>
      </c>
      <c r="R22" s="41"/>
      <c r="S22" s="21">
        <f t="shared" si="3"/>
        <v>44701</v>
      </c>
      <c r="T22" s="42">
        <v>5.4446000000000003</v>
      </c>
      <c r="U22" s="43">
        <f t="shared" si="13"/>
        <v>0.100000000010425</v>
      </c>
      <c r="V22" s="44">
        <f t="shared" si="14"/>
        <v>-2.3999999999997401</v>
      </c>
      <c r="W22" s="45">
        <f t="shared" si="15"/>
        <v>-5.00000000052125E-2</v>
      </c>
      <c r="X22" s="29">
        <v>12.069100000000001</v>
      </c>
      <c r="Y22" s="43">
        <f t="shared" si="16"/>
        <v>-0.19999999999953399</v>
      </c>
      <c r="Z22" s="44">
        <f t="shared" si="17"/>
        <v>-1.7999999999993599</v>
      </c>
      <c r="AA22" s="45">
        <f t="shared" si="18"/>
        <v>-9.99999999997669E-2</v>
      </c>
      <c r="AB22" s="49">
        <v>11.4252</v>
      </c>
      <c r="AC22" s="43">
        <f t="shared" si="19"/>
        <v>0.19999999999953399</v>
      </c>
      <c r="AD22" s="44">
        <f t="shared" si="20"/>
        <v>-2.8000000000005798</v>
      </c>
      <c r="AE22" s="45">
        <f t="shared" si="21"/>
        <v>9.99999999997669E-2</v>
      </c>
      <c r="AF22" s="50">
        <v>79812</v>
      </c>
      <c r="AG22" s="58">
        <f t="shared" si="22"/>
        <v>93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44703</v>
      </c>
      <c r="B23" s="22">
        <v>791.46479999999997</v>
      </c>
      <c r="C23" s="27">
        <v>5.2831999999999901</v>
      </c>
      <c r="D23" s="23">
        <f t="shared" si="0"/>
        <v>796.74800000000005</v>
      </c>
      <c r="E23" s="24">
        <f t="shared" si="4"/>
        <v>0.199999999949796</v>
      </c>
      <c r="F23" s="25">
        <f t="shared" si="5"/>
        <v>-2.5000000000545701</v>
      </c>
      <c r="G23" s="26">
        <f t="shared" si="6"/>
        <v>9.9999999974897905E-2</v>
      </c>
      <c r="H23" s="6">
        <v>6.7100999999999997</v>
      </c>
      <c r="I23" s="35">
        <f t="shared" si="1"/>
        <v>798.17489999999998</v>
      </c>
      <c r="J23" s="24">
        <f t="shared" si="7"/>
        <v>-9.9999999974897905E-2</v>
      </c>
      <c r="K23" s="25">
        <f t="shared" si="8"/>
        <v>-2.2999999999910901</v>
      </c>
      <c r="L23" s="26">
        <f t="shared" si="9"/>
        <v>-4.9999999987449001E-2</v>
      </c>
      <c r="M23" s="6">
        <v>5.2280999999999898</v>
      </c>
      <c r="N23" s="35">
        <f t="shared" si="2"/>
        <v>796.69290000000001</v>
      </c>
      <c r="O23" s="24">
        <f t="shared" si="10"/>
        <v>0.10000000008858501</v>
      </c>
      <c r="P23" s="25">
        <f t="shared" si="11"/>
        <v>-2.4999999999408802</v>
      </c>
      <c r="Q23" s="26">
        <f t="shared" si="12"/>
        <v>5.0000000044292399E-2</v>
      </c>
      <c r="R23" s="41"/>
      <c r="S23" s="21">
        <f t="shared" si="3"/>
        <v>44703</v>
      </c>
      <c r="T23" s="42">
        <v>5.4447000000000099</v>
      </c>
      <c r="U23" s="43">
        <f t="shared" si="13"/>
        <v>0.100000000009537</v>
      </c>
      <c r="V23" s="44">
        <f t="shared" si="14"/>
        <v>-2.2999999999902001</v>
      </c>
      <c r="W23" s="45">
        <f t="shared" si="15"/>
        <v>-5.0000000004768501E-2</v>
      </c>
      <c r="X23" s="29">
        <v>12.068899999999999</v>
      </c>
      <c r="Y23" s="43">
        <f t="shared" si="16"/>
        <v>-0.20000000000130999</v>
      </c>
      <c r="Z23" s="44">
        <f t="shared" si="17"/>
        <v>-2.0000000000006701</v>
      </c>
      <c r="AA23" s="45">
        <f t="shared" si="18"/>
        <v>-0.100000000000655</v>
      </c>
      <c r="AB23" s="49">
        <v>11.4254</v>
      </c>
      <c r="AC23" s="43">
        <f t="shared" si="19"/>
        <v>0.19999999999953399</v>
      </c>
      <c r="AD23" s="44">
        <f t="shared" si="20"/>
        <v>-2.6000000000010499</v>
      </c>
      <c r="AE23" s="45">
        <f t="shared" si="21"/>
        <v>9.99999999997669E-2</v>
      </c>
      <c r="AF23" s="50">
        <v>79824</v>
      </c>
      <c r="AG23" s="58">
        <f t="shared" si="22"/>
        <v>105</v>
      </c>
      <c r="AH23" s="61"/>
      <c r="AI23" s="60"/>
      <c r="AJ23"/>
      <c r="AK23"/>
      <c r="AL23"/>
      <c r="AM23"/>
    </row>
    <row r="24" spans="1:48">
      <c r="A24" s="21">
        <v>44705</v>
      </c>
      <c r="B24" s="22">
        <v>791.46479999999997</v>
      </c>
      <c r="C24" s="27">
        <v>5.2833999999999799</v>
      </c>
      <c r="D24" s="23">
        <f t="shared" si="0"/>
        <v>796.7482</v>
      </c>
      <c r="E24" s="24">
        <f t="shared" si="4"/>
        <v>0.20000000006348301</v>
      </c>
      <c r="F24" s="25">
        <f t="shared" si="5"/>
        <v>-2.2999999999910901</v>
      </c>
      <c r="G24" s="26">
        <f t="shared" si="6"/>
        <v>0.100000000031741</v>
      </c>
      <c r="H24" s="6">
        <v>6.71</v>
      </c>
      <c r="I24" s="35">
        <f t="shared" si="1"/>
        <v>798.1748</v>
      </c>
      <c r="J24" s="24">
        <f t="shared" si="7"/>
        <v>-9.9999999974897905E-2</v>
      </c>
      <c r="K24" s="25">
        <f t="shared" si="8"/>
        <v>-2.39999999996598</v>
      </c>
      <c r="L24" s="26">
        <f t="shared" si="9"/>
        <v>-4.9999999987449001E-2</v>
      </c>
      <c r="M24" s="6">
        <v>5.2281999999999798</v>
      </c>
      <c r="N24" s="35">
        <f t="shared" si="2"/>
        <v>796.69299999999998</v>
      </c>
      <c r="O24" s="24">
        <f t="shared" si="10"/>
        <v>9.9999999974897905E-2</v>
      </c>
      <c r="P24" s="25">
        <f t="shared" si="11"/>
        <v>-2.39999999996598</v>
      </c>
      <c r="Q24" s="26">
        <f t="shared" si="12"/>
        <v>4.9999999987449001E-2</v>
      </c>
      <c r="R24" s="41"/>
      <c r="S24" s="21">
        <f t="shared" si="3"/>
        <v>44705</v>
      </c>
      <c r="T24" s="42">
        <v>5.4448000000000203</v>
      </c>
      <c r="U24" s="43">
        <f t="shared" si="13"/>
        <v>0.100000000010425</v>
      </c>
      <c r="V24" s="44">
        <f t="shared" si="14"/>
        <v>-2.1999999999797701</v>
      </c>
      <c r="W24" s="45">
        <f t="shared" si="15"/>
        <v>-5.00000000052125E-2</v>
      </c>
      <c r="X24" s="29">
        <v>12.0687</v>
      </c>
      <c r="Y24" s="43">
        <f t="shared" si="16"/>
        <v>-0.19999999999953399</v>
      </c>
      <c r="Z24" s="44">
        <f t="shared" si="17"/>
        <v>-2.2000000000002</v>
      </c>
      <c r="AA24" s="45">
        <f t="shared" si="18"/>
        <v>-9.99999999997669E-2</v>
      </c>
      <c r="AB24" s="49">
        <v>11.425599999999999</v>
      </c>
      <c r="AC24" s="43">
        <f t="shared" si="19"/>
        <v>0.19999999999953399</v>
      </c>
      <c r="AD24" s="44">
        <f t="shared" si="20"/>
        <v>-2.4000000000015098</v>
      </c>
      <c r="AE24" s="45">
        <f t="shared" si="21"/>
        <v>9.99999999997669E-2</v>
      </c>
      <c r="AF24" s="50">
        <v>79836</v>
      </c>
      <c r="AG24" s="58">
        <f t="shared" si="22"/>
        <v>117</v>
      </c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F24-F22</f>
        <v>0.40000000001327901</v>
      </c>
      <c r="F25" s="33">
        <f>K24-K22</f>
        <v>-0.199999999949796</v>
      </c>
      <c r="G25" s="33">
        <f>P24-P22</f>
        <v>0.20000000006348301</v>
      </c>
      <c r="H25" s="33">
        <f>F24</f>
        <v>-2.2999999999910901</v>
      </c>
      <c r="I25" s="66">
        <f>K24</f>
        <v>-2.39999999996598</v>
      </c>
      <c r="J25" s="65">
        <f>P24</f>
        <v>-2.39999999996598</v>
      </c>
      <c r="K25" s="33">
        <f>(K24-K22)/4</f>
        <v>-4.9999999987449001E-2</v>
      </c>
      <c r="L25" s="26"/>
      <c r="N25" s="35"/>
      <c r="O25" s="24"/>
      <c r="P25" s="25"/>
      <c r="Q25" s="26"/>
      <c r="R25" s="41"/>
      <c r="S25" s="21"/>
      <c r="T25" s="42"/>
      <c r="U25" s="65">
        <f>V24-V22</f>
        <v>0.20000000001996199</v>
      </c>
      <c r="V25" s="33">
        <f>Z24-Z22</f>
        <v>-0.40000000000084401</v>
      </c>
      <c r="W25" s="33">
        <f>AD24-AD22</f>
        <v>0.39999999999906799</v>
      </c>
      <c r="X25" s="33">
        <f>V24</f>
        <v>-2.1999999999797701</v>
      </c>
      <c r="Y25" s="65">
        <f>Z24</f>
        <v>-2.2000000000002</v>
      </c>
      <c r="Z25" s="33">
        <f>AD24</f>
        <v>-2.4000000000015098</v>
      </c>
      <c r="AA25" s="33">
        <f>(V24-V22)/4</f>
        <v>5.0000000004990497E-2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N22" workbookViewId="0">
      <selection activeCell="E24" sqref="E24:K24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44691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44691</v>
      </c>
      <c r="B6" s="22">
        <v>791.46479999999997</v>
      </c>
      <c r="C6" s="27">
        <v>5.9713000000000003</v>
      </c>
      <c r="D6" s="23">
        <f t="shared" ref="D6:D16" si="0">C6+B6</f>
        <v>797.43610000000001</v>
      </c>
      <c r="E6" s="24">
        <v>0</v>
      </c>
      <c r="F6" s="25">
        <v>0</v>
      </c>
      <c r="G6" s="26">
        <v>0</v>
      </c>
      <c r="H6" s="6">
        <v>7.0308000000000002</v>
      </c>
      <c r="I6" s="35">
        <f t="shared" ref="I6:I16" si="1">H6+B6</f>
        <v>798.49559999999997</v>
      </c>
      <c r="J6" s="24">
        <v>0</v>
      </c>
      <c r="K6" s="25">
        <v>0</v>
      </c>
      <c r="L6" s="26">
        <v>0</v>
      </c>
      <c r="M6" s="6">
        <v>6.1265000000000001</v>
      </c>
      <c r="N6" s="35">
        <f t="shared" ref="N6:N16" si="2">M6+B6</f>
        <v>797.59130000000005</v>
      </c>
      <c r="O6" s="24">
        <v>0</v>
      </c>
      <c r="P6" s="25">
        <v>0</v>
      </c>
      <c r="Q6" s="26">
        <v>0</v>
      </c>
      <c r="R6" s="41"/>
      <c r="S6" s="21">
        <f t="shared" ref="S6:S16" si="3">A6</f>
        <v>44691</v>
      </c>
      <c r="T6" s="42">
        <v>8.7432999999999996</v>
      </c>
      <c r="U6" s="43">
        <v>0</v>
      </c>
      <c r="V6" s="44">
        <v>0</v>
      </c>
      <c r="W6" s="45">
        <f>U6/(S6-S11)</f>
        <v>0</v>
      </c>
      <c r="X6" s="29">
        <v>12.0604</v>
      </c>
      <c r="Y6" s="43">
        <v>0</v>
      </c>
      <c r="Z6" s="44">
        <v>0</v>
      </c>
      <c r="AA6" s="45">
        <v>0</v>
      </c>
      <c r="AB6" s="49">
        <v>8.9877000000000002</v>
      </c>
      <c r="AC6" s="43">
        <v>0</v>
      </c>
      <c r="AD6" s="44">
        <v>0</v>
      </c>
      <c r="AE6" s="45">
        <v>0</v>
      </c>
      <c r="AF6" s="50">
        <v>79780</v>
      </c>
      <c r="AG6" s="58">
        <f>AF6-79762</f>
        <v>18</v>
      </c>
      <c r="AH6" s="59"/>
      <c r="AI6" s="60"/>
      <c r="AJ6" s="61"/>
      <c r="AK6" s="62"/>
      <c r="AL6" s="52"/>
      <c r="AM6" s="52"/>
    </row>
    <row r="7" spans="1:48">
      <c r="A7" s="21">
        <v>44692</v>
      </c>
      <c r="B7" s="22">
        <v>791.46479999999997</v>
      </c>
      <c r="C7" s="27">
        <v>5.9714</v>
      </c>
      <c r="D7" s="23">
        <f t="shared" si="0"/>
        <v>797.43619999999999</v>
      </c>
      <c r="E7" s="24">
        <f t="shared" ref="E7:E16" si="4">(D7-D6)*1000</f>
        <v>9.9999999974897905E-2</v>
      </c>
      <c r="F7" s="25">
        <f t="shared" ref="F7:F16" si="5">F6+E7</f>
        <v>9.9999999974897905E-2</v>
      </c>
      <c r="G7" s="26">
        <f t="shared" ref="G7:G16" si="6">E7/(A7-A6)</f>
        <v>9.9999999974897905E-2</v>
      </c>
      <c r="H7" s="6">
        <v>7.0305</v>
      </c>
      <c r="I7" s="35">
        <f t="shared" si="1"/>
        <v>798.49530000000004</v>
      </c>
      <c r="J7" s="24">
        <f t="shared" ref="J7:J16" si="7">(I7-I6)*1000</f>
        <v>-0.30000000003838101</v>
      </c>
      <c r="K7" s="25">
        <f t="shared" ref="K7:K16" si="8">K6+J7</f>
        <v>-0.30000000003838101</v>
      </c>
      <c r="L7" s="26">
        <f t="shared" ref="L7:L16" si="9">J7/(A7-A6)</f>
        <v>-0.30000000003838101</v>
      </c>
      <c r="M7" s="6">
        <v>6.1262999999999996</v>
      </c>
      <c r="N7" s="35">
        <f t="shared" si="2"/>
        <v>797.59109999999998</v>
      </c>
      <c r="O7" s="24">
        <f t="shared" ref="O7:O16" si="10">(N7-N6)*1000</f>
        <v>-0.199999999949796</v>
      </c>
      <c r="P7" s="25">
        <f t="shared" ref="P7:P16" si="11">P6+O7</f>
        <v>-0.199999999949796</v>
      </c>
      <c r="Q7" s="26">
        <f t="shared" ref="Q7:Q16" si="12">O7/(A7-A6)</f>
        <v>-0.199999999949796</v>
      </c>
      <c r="R7" s="41"/>
      <c r="S7" s="21">
        <f t="shared" si="3"/>
        <v>44692</v>
      </c>
      <c r="T7" s="42">
        <v>8.7431000000000001</v>
      </c>
      <c r="U7" s="43">
        <f t="shared" ref="U7:U16" si="13">(T7-T6)*1000</f>
        <v>-0.19999999999953399</v>
      </c>
      <c r="V7" s="44">
        <f t="shared" ref="V7:V16" si="14">V6+U7</f>
        <v>-0.19999999999953399</v>
      </c>
      <c r="W7" s="45">
        <f t="shared" ref="W7:W16" si="15">U7/(S6-S7)</f>
        <v>0.19999999999953399</v>
      </c>
      <c r="X7" s="29">
        <v>12.0603</v>
      </c>
      <c r="Y7" s="43">
        <f t="shared" ref="Y7:Y16" si="16">(X7-X6)*1000</f>
        <v>-9.99999999997669E-2</v>
      </c>
      <c r="Z7" s="44">
        <f t="shared" ref="Z7:Z16" si="17">Z6+Y7</f>
        <v>-9.99999999997669E-2</v>
      </c>
      <c r="AA7" s="45">
        <f t="shared" ref="AA7:AA16" si="18">Y7/(S7-S6)</f>
        <v>-9.99999999997669E-2</v>
      </c>
      <c r="AB7" s="49">
        <v>8.9875000000000007</v>
      </c>
      <c r="AC7" s="43">
        <f t="shared" ref="AC7:AC16" si="19">(AB7-AB6)*1000</f>
        <v>-0.19999999999953399</v>
      </c>
      <c r="AD7" s="44">
        <f t="shared" ref="AD7:AD16" si="20">AD6+AC7</f>
        <v>-0.19999999999953399</v>
      </c>
      <c r="AE7" s="45">
        <f t="shared" ref="AE7:AE16" si="21">AC7/(S7-S6)</f>
        <v>-0.19999999999953399</v>
      </c>
      <c r="AF7" s="50">
        <v>79783</v>
      </c>
      <c r="AG7" s="58">
        <f t="shared" ref="AG7:AG16" si="22">AF7-79762</f>
        <v>21</v>
      </c>
      <c r="AH7" s="59"/>
      <c r="AI7" s="60"/>
      <c r="AJ7" s="61"/>
      <c r="AK7" s="62"/>
      <c r="AL7" s="52"/>
      <c r="AM7" s="52"/>
    </row>
    <row r="8" spans="1:48">
      <c r="A8" s="21">
        <v>44693</v>
      </c>
      <c r="B8" s="22">
        <v>791.46479999999997</v>
      </c>
      <c r="C8" s="27">
        <v>5.9711999999999996</v>
      </c>
      <c r="D8" s="23">
        <f t="shared" si="0"/>
        <v>797.43600000000004</v>
      </c>
      <c r="E8" s="24">
        <f t="shared" si="4"/>
        <v>-0.20000000006348301</v>
      </c>
      <c r="F8" s="25">
        <f t="shared" si="5"/>
        <v>-0.10000000008858501</v>
      </c>
      <c r="G8" s="26">
        <f t="shared" si="6"/>
        <v>-0.20000000006348301</v>
      </c>
      <c r="H8" s="6">
        <v>7.0305999999999997</v>
      </c>
      <c r="I8" s="35">
        <f t="shared" si="1"/>
        <v>798.49540000000002</v>
      </c>
      <c r="J8" s="24">
        <f t="shared" si="7"/>
        <v>0.10000000008858501</v>
      </c>
      <c r="K8" s="25">
        <f t="shared" si="8"/>
        <v>-0.199999999949796</v>
      </c>
      <c r="L8" s="26">
        <f t="shared" si="9"/>
        <v>0.10000000008858501</v>
      </c>
      <c r="M8" s="6">
        <v>6.1260000000000003</v>
      </c>
      <c r="N8" s="35">
        <f t="shared" si="2"/>
        <v>797.59079999999994</v>
      </c>
      <c r="O8" s="24">
        <f t="shared" si="10"/>
        <v>-0.30000000003838101</v>
      </c>
      <c r="P8" s="25">
        <f t="shared" si="11"/>
        <v>-0.49999999998817701</v>
      </c>
      <c r="Q8" s="26">
        <f t="shared" si="12"/>
        <v>-0.30000000003838101</v>
      </c>
      <c r="R8" s="41"/>
      <c r="S8" s="21">
        <f t="shared" si="3"/>
        <v>44693</v>
      </c>
      <c r="T8" s="42">
        <v>8.7429000000000006</v>
      </c>
      <c r="U8" s="43">
        <f t="shared" si="13"/>
        <v>-0.19999999999953399</v>
      </c>
      <c r="V8" s="44">
        <f t="shared" si="14"/>
        <v>-0.39999999999906799</v>
      </c>
      <c r="W8" s="45">
        <f t="shared" si="15"/>
        <v>0.19999999999953399</v>
      </c>
      <c r="X8" s="29">
        <v>12.0601</v>
      </c>
      <c r="Y8" s="43">
        <f t="shared" si="16"/>
        <v>-0.19999999999953399</v>
      </c>
      <c r="Z8" s="44">
        <f t="shared" si="17"/>
        <v>-0.29999999999930099</v>
      </c>
      <c r="AA8" s="45">
        <f t="shared" si="18"/>
        <v>-0.19999999999953399</v>
      </c>
      <c r="AB8" s="49">
        <v>8.9873999999999992</v>
      </c>
      <c r="AC8" s="43">
        <f t="shared" si="19"/>
        <v>-0.10000000000154299</v>
      </c>
      <c r="AD8" s="44">
        <f t="shared" si="20"/>
        <v>-0.30000000000107702</v>
      </c>
      <c r="AE8" s="45">
        <f t="shared" si="21"/>
        <v>-0.10000000000154299</v>
      </c>
      <c r="AF8" s="50">
        <v>79786</v>
      </c>
      <c r="AG8" s="58">
        <f t="shared" si="22"/>
        <v>24</v>
      </c>
      <c r="AH8" s="59"/>
      <c r="AI8" s="60"/>
      <c r="AJ8" s="61"/>
      <c r="AK8" s="62"/>
      <c r="AL8" s="52"/>
      <c r="AM8" s="52"/>
    </row>
    <row r="9" spans="1:48">
      <c r="A9" s="21">
        <v>44694</v>
      </c>
      <c r="B9" s="22">
        <v>791.46479999999997</v>
      </c>
      <c r="C9" s="27">
        <v>5.9710000000000001</v>
      </c>
      <c r="D9" s="23">
        <f t="shared" si="0"/>
        <v>797.43579999999997</v>
      </c>
      <c r="E9" s="24">
        <f t="shared" si="4"/>
        <v>-0.199999999949796</v>
      </c>
      <c r="F9" s="25">
        <f t="shared" si="5"/>
        <v>-0.30000000003838101</v>
      </c>
      <c r="G9" s="26">
        <f t="shared" si="6"/>
        <v>-0.199999999949796</v>
      </c>
      <c r="H9" s="6">
        <v>7.0304000000000002</v>
      </c>
      <c r="I9" s="35">
        <f t="shared" si="1"/>
        <v>798.49519999999995</v>
      </c>
      <c r="J9" s="24">
        <f t="shared" si="7"/>
        <v>-0.20000000006348301</v>
      </c>
      <c r="K9" s="25">
        <f t="shared" si="8"/>
        <v>-0.40000000001327901</v>
      </c>
      <c r="L9" s="26">
        <f t="shared" si="9"/>
        <v>-0.20000000006348301</v>
      </c>
      <c r="M9" s="6">
        <v>6.1261000000000001</v>
      </c>
      <c r="N9" s="35">
        <f t="shared" si="2"/>
        <v>797.59090000000003</v>
      </c>
      <c r="O9" s="24">
        <f t="shared" si="10"/>
        <v>9.9999999974897905E-2</v>
      </c>
      <c r="P9" s="25">
        <f t="shared" si="11"/>
        <v>-0.40000000001327901</v>
      </c>
      <c r="Q9" s="26">
        <f t="shared" si="12"/>
        <v>9.9999999974897905E-2</v>
      </c>
      <c r="R9" s="41"/>
      <c r="S9" s="21">
        <f t="shared" si="3"/>
        <v>44694</v>
      </c>
      <c r="T9" s="42">
        <v>8.7424999999999997</v>
      </c>
      <c r="U9" s="43">
        <f t="shared" si="13"/>
        <v>-0.40000000000084401</v>
      </c>
      <c r="V9" s="44">
        <f t="shared" si="14"/>
        <v>-0.799999999999912</v>
      </c>
      <c r="W9" s="45">
        <f t="shared" si="15"/>
        <v>0.40000000000084401</v>
      </c>
      <c r="X9" s="29">
        <v>12.059900000000001</v>
      </c>
      <c r="Y9" s="43">
        <f t="shared" si="16"/>
        <v>-0.19999999999953399</v>
      </c>
      <c r="Z9" s="44">
        <f t="shared" si="17"/>
        <v>-0.49999999999883499</v>
      </c>
      <c r="AA9" s="45">
        <f t="shared" si="18"/>
        <v>-0.19999999999953399</v>
      </c>
      <c r="AB9" s="49">
        <v>8.9870000000000001</v>
      </c>
      <c r="AC9" s="43">
        <f t="shared" si="19"/>
        <v>-0.39999999999906799</v>
      </c>
      <c r="AD9" s="44">
        <f t="shared" si="20"/>
        <v>-0.70000000000014495</v>
      </c>
      <c r="AE9" s="45">
        <f t="shared" si="21"/>
        <v>-0.39999999999906799</v>
      </c>
      <c r="AF9" s="50">
        <v>79789</v>
      </c>
      <c r="AG9" s="58">
        <f t="shared" si="22"/>
        <v>27</v>
      </c>
      <c r="AH9" s="61"/>
      <c r="AI9" s="60"/>
      <c r="AJ9"/>
      <c r="AK9"/>
      <c r="AL9"/>
      <c r="AM9"/>
    </row>
    <row r="10" spans="1:48">
      <c r="A10" s="21">
        <v>44695</v>
      </c>
      <c r="B10" s="22">
        <v>791.46479999999997</v>
      </c>
      <c r="C10" s="27">
        <v>5.9710999999999999</v>
      </c>
      <c r="D10" s="23">
        <f t="shared" si="0"/>
        <v>797.43589999999995</v>
      </c>
      <c r="E10" s="24">
        <f t="shared" si="4"/>
        <v>9.9999999974897905E-2</v>
      </c>
      <c r="F10" s="25">
        <f t="shared" si="5"/>
        <v>-0.20000000006348301</v>
      </c>
      <c r="G10" s="26">
        <f t="shared" si="6"/>
        <v>9.9999999974897905E-2</v>
      </c>
      <c r="H10" s="6">
        <v>7.0305</v>
      </c>
      <c r="I10" s="35">
        <f t="shared" si="1"/>
        <v>798.49530000000004</v>
      </c>
      <c r="J10" s="24">
        <f t="shared" si="7"/>
        <v>9.9999999974897905E-2</v>
      </c>
      <c r="K10" s="25">
        <f t="shared" si="8"/>
        <v>-0.30000000003838101</v>
      </c>
      <c r="L10" s="26">
        <f t="shared" si="9"/>
        <v>9.9999999974897905E-2</v>
      </c>
      <c r="M10" s="6">
        <v>6.1258999999999997</v>
      </c>
      <c r="N10" s="35">
        <f t="shared" si="2"/>
        <v>797.59069999999997</v>
      </c>
      <c r="O10" s="24">
        <f t="shared" si="10"/>
        <v>-0.199999999949796</v>
      </c>
      <c r="P10" s="25">
        <f t="shared" si="11"/>
        <v>-0.59999999996307496</v>
      </c>
      <c r="Q10" s="26">
        <f t="shared" si="12"/>
        <v>-0.199999999949796</v>
      </c>
      <c r="R10" s="41"/>
      <c r="S10" s="21">
        <f t="shared" si="3"/>
        <v>44695</v>
      </c>
      <c r="T10" s="42">
        <v>8.7424999999999997</v>
      </c>
      <c r="U10" s="43">
        <f t="shared" si="13"/>
        <v>0</v>
      </c>
      <c r="V10" s="44">
        <f t="shared" si="14"/>
        <v>-0.799999999999912</v>
      </c>
      <c r="W10" s="45">
        <f t="shared" si="15"/>
        <v>0</v>
      </c>
      <c r="X10" s="29">
        <v>12.059799999999999</v>
      </c>
      <c r="Y10" s="43">
        <f t="shared" si="16"/>
        <v>-0.10000000000154299</v>
      </c>
      <c r="Z10" s="44">
        <f t="shared" si="17"/>
        <v>-0.60000000000037801</v>
      </c>
      <c r="AA10" s="45">
        <f t="shared" si="18"/>
        <v>-0.10000000000154299</v>
      </c>
      <c r="AB10" s="49">
        <v>8.9869000000000003</v>
      </c>
      <c r="AC10" s="43">
        <f t="shared" si="19"/>
        <v>-9.99999999997669E-2</v>
      </c>
      <c r="AD10" s="44">
        <f t="shared" si="20"/>
        <v>-0.799999999999912</v>
      </c>
      <c r="AE10" s="45">
        <f t="shared" si="21"/>
        <v>-9.99999999997669E-2</v>
      </c>
      <c r="AF10" s="50">
        <v>79792</v>
      </c>
      <c r="AG10" s="58">
        <f t="shared" si="22"/>
        <v>30</v>
      </c>
      <c r="AH10" s="59"/>
      <c r="AI10" s="60"/>
      <c r="AJ10" s="61"/>
      <c r="AK10" s="62"/>
      <c r="AL10" s="52"/>
      <c r="AM10" s="52"/>
    </row>
    <row r="11" spans="1:48">
      <c r="A11" s="21">
        <v>44696</v>
      </c>
      <c r="B11" s="22">
        <v>791.46479999999997</v>
      </c>
      <c r="C11" s="27">
        <v>5.9706000000000001</v>
      </c>
      <c r="D11" s="23">
        <f t="shared" si="0"/>
        <v>797.43539999999996</v>
      </c>
      <c r="E11" s="24">
        <f t="shared" si="4"/>
        <v>-0.49999999998817701</v>
      </c>
      <c r="F11" s="25">
        <f t="shared" si="5"/>
        <v>-0.70000000005165897</v>
      </c>
      <c r="G11" s="26">
        <f t="shared" si="6"/>
        <v>-0.49999999998817701</v>
      </c>
      <c r="H11" s="6">
        <v>7.03</v>
      </c>
      <c r="I11" s="35">
        <f t="shared" si="1"/>
        <v>798.49480000000005</v>
      </c>
      <c r="J11" s="24">
        <f t="shared" si="7"/>
        <v>-0.49999999998817701</v>
      </c>
      <c r="K11" s="25">
        <f t="shared" si="8"/>
        <v>-0.80000000002655702</v>
      </c>
      <c r="L11" s="26">
        <f t="shared" si="9"/>
        <v>-0.49999999998817701</v>
      </c>
      <c r="M11" s="6">
        <v>6.1260000000000003</v>
      </c>
      <c r="N11" s="35">
        <f t="shared" si="2"/>
        <v>797.59079999999994</v>
      </c>
      <c r="O11" s="24">
        <f t="shared" si="10"/>
        <v>9.9999999974897905E-2</v>
      </c>
      <c r="P11" s="25">
        <f t="shared" si="11"/>
        <v>-0.49999999998817701</v>
      </c>
      <c r="Q11" s="26">
        <f t="shared" si="12"/>
        <v>9.9999999974897905E-2</v>
      </c>
      <c r="R11" s="41"/>
      <c r="S11" s="21">
        <f t="shared" si="3"/>
        <v>44696</v>
      </c>
      <c r="T11" s="42">
        <v>8.7423000000000002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12.0595</v>
      </c>
      <c r="Y11" s="43">
        <f t="shared" si="16"/>
        <v>-0.29999999999930099</v>
      </c>
      <c r="Z11" s="44">
        <f t="shared" si="17"/>
        <v>-0.89999999999967895</v>
      </c>
      <c r="AA11" s="45">
        <f t="shared" si="18"/>
        <v>-0.29999999999930099</v>
      </c>
      <c r="AB11" s="49">
        <v>8.9868000000000006</v>
      </c>
      <c r="AC11" s="43">
        <f t="shared" si="19"/>
        <v>-9.99999999997669E-2</v>
      </c>
      <c r="AD11" s="44">
        <f t="shared" si="20"/>
        <v>-0.89999999999967895</v>
      </c>
      <c r="AE11" s="45">
        <f t="shared" si="21"/>
        <v>-9.99999999997669E-2</v>
      </c>
      <c r="AF11" s="50">
        <v>79795</v>
      </c>
      <c r="AG11" s="58">
        <f t="shared" si="22"/>
        <v>33</v>
      </c>
      <c r="AH11" s="59"/>
      <c r="AI11" s="60"/>
      <c r="AJ11" s="52"/>
      <c r="AK11" s="52"/>
      <c r="AL11" s="52"/>
      <c r="AM11" s="52"/>
    </row>
    <row r="12" spans="1:48">
      <c r="A12" s="21">
        <v>44697</v>
      </c>
      <c r="B12" s="22">
        <v>791.46479999999997</v>
      </c>
      <c r="C12" s="27">
        <v>5.9705000000000004</v>
      </c>
      <c r="D12" s="23">
        <f t="shared" si="0"/>
        <v>797.43529999999998</v>
      </c>
      <c r="E12" s="24">
        <f t="shared" si="4"/>
        <v>-9.9999999974897905E-2</v>
      </c>
      <c r="F12" s="25">
        <f t="shared" si="5"/>
        <v>-0.80000000002655702</v>
      </c>
      <c r="G12" s="26">
        <f t="shared" si="6"/>
        <v>-9.9999999974897905E-2</v>
      </c>
      <c r="H12" s="6">
        <v>7.0297999999999998</v>
      </c>
      <c r="I12" s="35">
        <f t="shared" si="1"/>
        <v>798.49459999999999</v>
      </c>
      <c r="J12" s="24">
        <f t="shared" si="7"/>
        <v>-0.199999999949796</v>
      </c>
      <c r="K12" s="25">
        <f t="shared" si="8"/>
        <v>-0.99999999997635303</v>
      </c>
      <c r="L12" s="26">
        <f t="shared" si="9"/>
        <v>-0.199999999949796</v>
      </c>
      <c r="M12" s="6">
        <v>6.1254999999999997</v>
      </c>
      <c r="N12" s="35">
        <f t="shared" si="2"/>
        <v>797.59029999999996</v>
      </c>
      <c r="O12" s="24">
        <f t="shared" si="10"/>
        <v>-0.49999999998817701</v>
      </c>
      <c r="P12" s="25">
        <f t="shared" si="11"/>
        <v>-0.99999999997635303</v>
      </c>
      <c r="Q12" s="26">
        <f t="shared" si="12"/>
        <v>-0.49999999998817701</v>
      </c>
      <c r="R12" s="41"/>
      <c r="S12" s="21">
        <f t="shared" si="3"/>
        <v>44697</v>
      </c>
      <c r="T12" s="42">
        <v>8.7422000000000004</v>
      </c>
      <c r="U12" s="43">
        <f t="shared" si="13"/>
        <v>-9.99999999997669E-2</v>
      </c>
      <c r="V12" s="44">
        <f t="shared" si="14"/>
        <v>-1.0999999999992101</v>
      </c>
      <c r="W12" s="45">
        <f t="shared" si="15"/>
        <v>9.99999999997669E-2</v>
      </c>
      <c r="X12" s="29">
        <v>12.0593</v>
      </c>
      <c r="Y12" s="43">
        <f t="shared" si="16"/>
        <v>-0.19999999999953399</v>
      </c>
      <c r="Z12" s="44">
        <f t="shared" si="17"/>
        <v>-1.0999999999992101</v>
      </c>
      <c r="AA12" s="45">
        <f t="shared" si="18"/>
        <v>-0.19999999999953399</v>
      </c>
      <c r="AB12" s="49">
        <v>8.9864999999999995</v>
      </c>
      <c r="AC12" s="43">
        <f t="shared" si="19"/>
        <v>-0.30000000000107702</v>
      </c>
      <c r="AD12" s="44">
        <f t="shared" si="20"/>
        <v>-1.20000000000076</v>
      </c>
      <c r="AE12" s="45">
        <f t="shared" si="21"/>
        <v>-0.30000000000107702</v>
      </c>
      <c r="AF12" s="50">
        <v>79798</v>
      </c>
      <c r="AG12" s="58">
        <f t="shared" si="22"/>
        <v>36</v>
      </c>
      <c r="AH12" s="61"/>
      <c r="AI12" s="60"/>
      <c r="AJ12"/>
      <c r="AK12"/>
      <c r="AL12"/>
      <c r="AM12"/>
    </row>
    <row r="13" spans="1:48">
      <c r="A13" s="21">
        <v>44698</v>
      </c>
      <c r="B13" s="22">
        <v>791.46479999999997</v>
      </c>
      <c r="C13" s="27">
        <v>5.9702000000000002</v>
      </c>
      <c r="D13" s="23">
        <f t="shared" si="0"/>
        <v>797.43499999999995</v>
      </c>
      <c r="E13" s="24">
        <f t="shared" si="4"/>
        <v>-0.30000000003838101</v>
      </c>
      <c r="F13" s="25">
        <f t="shared" si="5"/>
        <v>-1.1000000000649399</v>
      </c>
      <c r="G13" s="26">
        <f t="shared" si="6"/>
        <v>-0.30000000003838101</v>
      </c>
      <c r="H13" s="6">
        <v>7.0301</v>
      </c>
      <c r="I13" s="35">
        <f t="shared" si="1"/>
        <v>798.49490000000003</v>
      </c>
      <c r="J13" s="24">
        <f t="shared" si="7"/>
        <v>0.29999999992469401</v>
      </c>
      <c r="K13" s="25">
        <f t="shared" si="8"/>
        <v>-0.70000000005165897</v>
      </c>
      <c r="L13" s="26">
        <f t="shared" si="9"/>
        <v>0.29999999992469401</v>
      </c>
      <c r="M13" s="6">
        <v>6.1253000000000002</v>
      </c>
      <c r="N13" s="35">
        <f t="shared" si="2"/>
        <v>797.59010000000001</v>
      </c>
      <c r="O13" s="24">
        <f t="shared" si="10"/>
        <v>-0.199999999949796</v>
      </c>
      <c r="P13" s="25">
        <f t="shared" si="11"/>
        <v>-1.1999999999261499</v>
      </c>
      <c r="Q13" s="26">
        <f t="shared" si="12"/>
        <v>-0.199999999949796</v>
      </c>
      <c r="R13" s="41"/>
      <c r="S13" s="21">
        <f t="shared" si="3"/>
        <v>44698</v>
      </c>
      <c r="T13" s="42">
        <v>8.7418999999999993</v>
      </c>
      <c r="U13" s="43">
        <f t="shared" si="13"/>
        <v>-0.30000000000107702</v>
      </c>
      <c r="V13" s="44">
        <f t="shared" si="14"/>
        <v>-1.4000000000002899</v>
      </c>
      <c r="W13" s="45">
        <f t="shared" si="15"/>
        <v>0.30000000000107702</v>
      </c>
      <c r="X13" s="29">
        <v>12.058999999999999</v>
      </c>
      <c r="Y13" s="43">
        <f t="shared" si="16"/>
        <v>-0.30000000000107702</v>
      </c>
      <c r="Z13" s="44">
        <f t="shared" si="17"/>
        <v>-1.4000000000002899</v>
      </c>
      <c r="AA13" s="45">
        <f t="shared" si="18"/>
        <v>-0.30000000000107702</v>
      </c>
      <c r="AB13" s="49">
        <v>8.9865999999999993</v>
      </c>
      <c r="AC13" s="43">
        <f t="shared" si="19"/>
        <v>9.99999999997669E-2</v>
      </c>
      <c r="AD13" s="44">
        <f t="shared" si="20"/>
        <v>-1.10000000000099</v>
      </c>
      <c r="AE13" s="45">
        <f t="shared" si="21"/>
        <v>9.99999999997669E-2</v>
      </c>
      <c r="AF13" s="50">
        <v>79801</v>
      </c>
      <c r="AG13" s="58">
        <f t="shared" si="22"/>
        <v>39</v>
      </c>
      <c r="AH13" s="59"/>
      <c r="AI13" s="60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>
        <v>0.7</v>
      </c>
    </row>
    <row r="14" spans="1:48">
      <c r="A14" s="21">
        <v>44699</v>
      </c>
      <c r="B14" s="22">
        <v>791.46479999999997</v>
      </c>
      <c r="C14" s="27">
        <v>5.9701000000000004</v>
      </c>
      <c r="D14" s="23">
        <f t="shared" si="0"/>
        <v>797.43489999999997</v>
      </c>
      <c r="E14" s="24">
        <f t="shared" si="4"/>
        <v>-9.9999999974897905E-2</v>
      </c>
      <c r="F14" s="25">
        <f t="shared" si="5"/>
        <v>-1.2000000000398401</v>
      </c>
      <c r="G14" s="26">
        <f t="shared" si="6"/>
        <v>-9.9999999974897905E-2</v>
      </c>
      <c r="H14" s="6">
        <v>7.0293999999999999</v>
      </c>
      <c r="I14" s="35">
        <f t="shared" si="1"/>
        <v>798.49419999999998</v>
      </c>
      <c r="J14" s="24">
        <f t="shared" si="7"/>
        <v>-0.69999999993797202</v>
      </c>
      <c r="K14" s="25">
        <f t="shared" si="8"/>
        <v>-1.39999999998963</v>
      </c>
      <c r="L14" s="26">
        <f t="shared" si="9"/>
        <v>-0.69999999993797202</v>
      </c>
      <c r="M14" s="6">
        <v>6.1254999999999997</v>
      </c>
      <c r="N14" s="35">
        <f t="shared" si="2"/>
        <v>797.59029999999996</v>
      </c>
      <c r="O14" s="24">
        <f t="shared" si="10"/>
        <v>0.199999999949796</v>
      </c>
      <c r="P14" s="25">
        <f t="shared" si="11"/>
        <v>-0.99999999997635303</v>
      </c>
      <c r="Q14" s="26">
        <f t="shared" si="12"/>
        <v>0.199999999949796</v>
      </c>
      <c r="R14" s="41"/>
      <c r="S14" s="21">
        <f t="shared" si="3"/>
        <v>44699</v>
      </c>
      <c r="T14" s="42">
        <v>8.7416999999999998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12.0589</v>
      </c>
      <c r="Y14" s="43">
        <f t="shared" si="16"/>
        <v>-9.99999999997669E-2</v>
      </c>
      <c r="Z14" s="44">
        <f t="shared" si="17"/>
        <v>-1.50000000000006</v>
      </c>
      <c r="AA14" s="45">
        <f t="shared" si="18"/>
        <v>-9.99999999997669E-2</v>
      </c>
      <c r="AB14" s="49">
        <v>8.9864999999999995</v>
      </c>
      <c r="AC14" s="43">
        <f t="shared" si="19"/>
        <v>-9.99999999997669E-2</v>
      </c>
      <c r="AD14" s="44">
        <f t="shared" si="20"/>
        <v>-1.20000000000076</v>
      </c>
      <c r="AE14" s="45">
        <f t="shared" si="21"/>
        <v>-9.99999999997669E-2</v>
      </c>
      <c r="AF14" s="50">
        <v>79804</v>
      </c>
      <c r="AG14" s="58">
        <f t="shared" si="22"/>
        <v>42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44700</v>
      </c>
      <c r="B15" s="22">
        <v>791.46479999999997</v>
      </c>
      <c r="C15" s="27">
        <v>5.9698000000000002</v>
      </c>
      <c r="D15" s="23">
        <f t="shared" si="0"/>
        <v>797.43460000000005</v>
      </c>
      <c r="E15" s="24">
        <f t="shared" si="4"/>
        <v>-0.30000000003838101</v>
      </c>
      <c r="F15" s="25">
        <f t="shared" si="5"/>
        <v>-1.5000000000782201</v>
      </c>
      <c r="G15" s="26">
        <f t="shared" si="6"/>
        <v>-0.30000000003838101</v>
      </c>
      <c r="H15" s="6">
        <v>7.0292000000000003</v>
      </c>
      <c r="I15" s="35">
        <f t="shared" si="1"/>
        <v>798.49400000000003</v>
      </c>
      <c r="J15" s="24">
        <f t="shared" si="7"/>
        <v>-0.20000000006348301</v>
      </c>
      <c r="K15" s="25">
        <f t="shared" si="8"/>
        <v>-1.60000000005311</v>
      </c>
      <c r="L15" s="26">
        <f t="shared" si="9"/>
        <v>-0.20000000006348301</v>
      </c>
      <c r="M15" s="6">
        <v>6.1249000000000002</v>
      </c>
      <c r="N15" s="35">
        <f t="shared" si="2"/>
        <v>797.58969999999999</v>
      </c>
      <c r="O15" s="24">
        <f t="shared" si="10"/>
        <v>-0.59999999996307496</v>
      </c>
      <c r="P15" s="25">
        <f t="shared" si="11"/>
        <v>-1.5999999999394301</v>
      </c>
      <c r="Q15" s="26">
        <f t="shared" si="12"/>
        <v>-0.59999999996307496</v>
      </c>
      <c r="R15" s="41"/>
      <c r="S15" s="21">
        <f t="shared" si="3"/>
        <v>44700</v>
      </c>
      <c r="T15" s="42">
        <v>8.7420000000000009</v>
      </c>
      <c r="U15" s="43">
        <f t="shared" si="13"/>
        <v>0.30000000000107702</v>
      </c>
      <c r="V15" s="44">
        <f t="shared" si="14"/>
        <v>-1.2999999999987499</v>
      </c>
      <c r="W15" s="45">
        <f t="shared" si="15"/>
        <v>-0.30000000000107702</v>
      </c>
      <c r="X15" s="29">
        <v>12.0587</v>
      </c>
      <c r="Y15" s="43">
        <f t="shared" si="16"/>
        <v>-0.19999999999953399</v>
      </c>
      <c r="Z15" s="44">
        <f t="shared" si="17"/>
        <v>-1.6999999999995901</v>
      </c>
      <c r="AA15" s="45">
        <f t="shared" si="18"/>
        <v>-0.19999999999953399</v>
      </c>
      <c r="AB15" s="49">
        <v>8.9863999999999997</v>
      </c>
      <c r="AC15" s="43">
        <f t="shared" si="19"/>
        <v>-9.99999999997669E-2</v>
      </c>
      <c r="AD15" s="44">
        <f t="shared" si="20"/>
        <v>-1.3000000000005201</v>
      </c>
      <c r="AE15" s="45">
        <f t="shared" si="21"/>
        <v>-9.99999999997669E-2</v>
      </c>
      <c r="AF15" s="50">
        <v>79807</v>
      </c>
      <c r="AG15" s="58">
        <f t="shared" si="22"/>
        <v>45</v>
      </c>
      <c r="AH15" s="61"/>
      <c r="AI15" s="60"/>
      <c r="AJ15"/>
      <c r="AK15"/>
      <c r="AL15"/>
      <c r="AM15"/>
    </row>
    <row r="16" spans="1:48">
      <c r="A16" s="21">
        <v>44701</v>
      </c>
      <c r="B16" s="22">
        <v>791.46479999999997</v>
      </c>
      <c r="C16" s="27">
        <v>5.97</v>
      </c>
      <c r="D16" s="23">
        <f t="shared" si="0"/>
        <v>797.4348</v>
      </c>
      <c r="E16" s="24">
        <f t="shared" si="4"/>
        <v>0.20000000006348301</v>
      </c>
      <c r="F16" s="25">
        <f t="shared" si="5"/>
        <v>-1.30000000001473</v>
      </c>
      <c r="G16" s="26">
        <f t="shared" si="6"/>
        <v>0.20000000006348301</v>
      </c>
      <c r="H16" s="6">
        <v>7.0290999999999997</v>
      </c>
      <c r="I16" s="35">
        <f t="shared" si="1"/>
        <v>798.49390000000005</v>
      </c>
      <c r="J16" s="24">
        <f t="shared" si="7"/>
        <v>-9.9999999974897905E-2</v>
      </c>
      <c r="K16" s="25">
        <f t="shared" si="8"/>
        <v>-1.70000000002801</v>
      </c>
      <c r="L16" s="26">
        <f t="shared" si="9"/>
        <v>-9.9999999974897905E-2</v>
      </c>
      <c r="M16" s="6">
        <v>6.1247999999999996</v>
      </c>
      <c r="N16" s="35">
        <f t="shared" si="2"/>
        <v>797.58960000000002</v>
      </c>
      <c r="O16" s="24">
        <f t="shared" si="10"/>
        <v>-9.9999999974897905E-2</v>
      </c>
      <c r="P16" s="25">
        <f t="shared" si="11"/>
        <v>-1.69999999991433</v>
      </c>
      <c r="Q16" s="26">
        <f t="shared" si="12"/>
        <v>-9.9999999974897905E-2</v>
      </c>
      <c r="R16" s="41"/>
      <c r="S16" s="21">
        <f t="shared" si="3"/>
        <v>44701</v>
      </c>
      <c r="T16" s="42">
        <v>8.7413000000000007</v>
      </c>
      <c r="U16" s="43">
        <f t="shared" si="13"/>
        <v>-0.70000000000014495</v>
      </c>
      <c r="V16" s="44">
        <f t="shared" si="14"/>
        <v>-1.99999999999889</v>
      </c>
      <c r="W16" s="45">
        <f t="shared" si="15"/>
        <v>0.70000000000014495</v>
      </c>
      <c r="X16" s="29">
        <v>12.0585</v>
      </c>
      <c r="Y16" s="43">
        <f t="shared" si="16"/>
        <v>-0.19999999999953399</v>
      </c>
      <c r="Z16" s="44">
        <f t="shared" si="17"/>
        <v>-1.8999999999991199</v>
      </c>
      <c r="AA16" s="45">
        <f t="shared" si="18"/>
        <v>-0.19999999999953399</v>
      </c>
      <c r="AB16" s="49">
        <v>8.9862000000000002</v>
      </c>
      <c r="AC16" s="43">
        <f t="shared" si="19"/>
        <v>-0.19999999999953399</v>
      </c>
      <c r="AD16" s="44">
        <f t="shared" si="20"/>
        <v>-1.50000000000006</v>
      </c>
      <c r="AE16" s="45">
        <f t="shared" si="21"/>
        <v>-0.19999999999953399</v>
      </c>
      <c r="AF16" s="50">
        <v>79810</v>
      </c>
      <c r="AG16" s="58">
        <f t="shared" si="22"/>
        <v>48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44702</v>
      </c>
      <c r="B17" s="22">
        <v>791.46479999999997</v>
      </c>
      <c r="C17" s="27">
        <v>5.9698000000000002</v>
      </c>
      <c r="D17" s="23">
        <f t="shared" ref="D17:D23" si="23">C17+B17</f>
        <v>797.43460000000005</v>
      </c>
      <c r="E17" s="24">
        <f t="shared" ref="E17:E23" si="24">(D17-D16)*1000</f>
        <v>-0.20000000006348301</v>
      </c>
      <c r="F17" s="25">
        <f t="shared" ref="F17:F23" si="25">F16+E17</f>
        <v>-1.5000000000782201</v>
      </c>
      <c r="G17" s="26">
        <f t="shared" ref="G17:G23" si="26">E17/(A17-A16)</f>
        <v>-0.20000000006348301</v>
      </c>
      <c r="H17" s="6">
        <v>7.0288000000000004</v>
      </c>
      <c r="I17" s="35">
        <f t="shared" ref="I17:I23" si="27">H17+B17</f>
        <v>798.49360000000001</v>
      </c>
      <c r="J17" s="24">
        <f t="shared" ref="J17:J23" si="28">(I17-I16)*1000</f>
        <v>-0.29999999992469401</v>
      </c>
      <c r="K17" s="25">
        <f t="shared" ref="K17:K23" si="29">K16+J17</f>
        <v>-1.9999999999527101</v>
      </c>
      <c r="L17" s="26">
        <f t="shared" ref="L17:L23" si="30">J17/(A17-A16)</f>
        <v>-0.29999999992469401</v>
      </c>
      <c r="M17" s="6">
        <v>6.1246999999999998</v>
      </c>
      <c r="N17" s="35">
        <f t="shared" ref="N17:N23" si="31">M17+B17</f>
        <v>797.58950000000004</v>
      </c>
      <c r="O17" s="24">
        <f t="shared" ref="O17:O23" si="32">(N17-N16)*1000</f>
        <v>-0.10000000008858501</v>
      </c>
      <c r="P17" s="25">
        <f t="shared" ref="P17:P23" si="33">P16+O17</f>
        <v>-1.8000000000029099</v>
      </c>
      <c r="Q17" s="26">
        <f t="shared" ref="Q17:Q23" si="34">O17/(A17-A16)</f>
        <v>-0.10000000008858501</v>
      </c>
      <c r="R17" s="41"/>
      <c r="S17" s="21">
        <f t="shared" ref="S17:S23" si="35">A17</f>
        <v>44702</v>
      </c>
      <c r="T17" s="42">
        <v>8.7410999999999994</v>
      </c>
      <c r="U17" s="43">
        <f t="shared" ref="U17:U23" si="36">(T17-T16)*1000</f>
        <v>-0.20000000000130999</v>
      </c>
      <c r="V17" s="44">
        <f t="shared" ref="V17:V23" si="37">V16+U17</f>
        <v>-2.2000000000002</v>
      </c>
      <c r="W17" s="45">
        <f t="shared" ref="W17:W23" si="38">U17/(S16-S17)</f>
        <v>0.20000000000130999</v>
      </c>
      <c r="X17" s="29">
        <v>12.058</v>
      </c>
      <c r="Y17" s="43">
        <f t="shared" ref="Y17:Y23" si="39">(X17-X16)*1000</f>
        <v>-0.50000000000061096</v>
      </c>
      <c r="Z17" s="44">
        <f t="shared" ref="Z17:Z23" si="40">Z16+Y17</f>
        <v>-2.3999999999997401</v>
      </c>
      <c r="AA17" s="45">
        <f t="shared" ref="AA17:AA23" si="41">Y17/(S17-S16)</f>
        <v>-0.50000000000061096</v>
      </c>
      <c r="AB17" s="49">
        <v>8.9860000000000007</v>
      </c>
      <c r="AC17" s="43">
        <f t="shared" ref="AC17:AC23" si="42">(AB17-AB16)*1000</f>
        <v>-0.19999999999953399</v>
      </c>
      <c r="AD17" s="44">
        <f t="shared" ref="AD17:AD23" si="43">AD16+AC17</f>
        <v>-1.6999999999995901</v>
      </c>
      <c r="AE17" s="45">
        <f t="shared" ref="AE17:AE23" si="44">AC17/(S17-S16)</f>
        <v>-0.19999999999953399</v>
      </c>
      <c r="AF17" s="50">
        <v>79813</v>
      </c>
      <c r="AG17" s="58">
        <f t="shared" ref="AG17:AG23" si="45">AF17-79762</f>
        <v>51</v>
      </c>
      <c r="AH17" s="61"/>
      <c r="AI17" s="60"/>
      <c r="AJ17"/>
      <c r="AK17"/>
      <c r="AL17"/>
      <c r="AM17"/>
    </row>
    <row r="18" spans="1:48">
      <c r="A18" s="21">
        <v>44703</v>
      </c>
      <c r="B18" s="22">
        <v>791.46479999999997</v>
      </c>
      <c r="C18" s="27">
        <v>5.9695999999999998</v>
      </c>
      <c r="D18" s="23">
        <f t="shared" si="23"/>
        <v>797.43439999999998</v>
      </c>
      <c r="E18" s="24">
        <f t="shared" si="24"/>
        <v>-0.199999999949796</v>
      </c>
      <c r="F18" s="25">
        <f t="shared" si="25"/>
        <v>-1.70000000002801</v>
      </c>
      <c r="G18" s="26">
        <f t="shared" si="26"/>
        <v>-0.199999999949796</v>
      </c>
      <c r="H18" s="6">
        <v>7.0289000000000001</v>
      </c>
      <c r="I18" s="35">
        <f t="shared" si="27"/>
        <v>798.49369999999999</v>
      </c>
      <c r="J18" s="24">
        <f t="shared" si="28"/>
        <v>9.9999999974897905E-2</v>
      </c>
      <c r="K18" s="25">
        <f t="shared" si="29"/>
        <v>-1.8999999999778101</v>
      </c>
      <c r="L18" s="26">
        <f t="shared" si="30"/>
        <v>9.9999999974897905E-2</v>
      </c>
      <c r="M18" s="6">
        <v>6.1243999999999996</v>
      </c>
      <c r="N18" s="35">
        <f t="shared" si="31"/>
        <v>797.58920000000001</v>
      </c>
      <c r="O18" s="24">
        <f t="shared" si="32"/>
        <v>-0.29999999992469401</v>
      </c>
      <c r="P18" s="25">
        <f t="shared" si="33"/>
        <v>-2.0999999999275998</v>
      </c>
      <c r="Q18" s="26">
        <f t="shared" si="34"/>
        <v>-0.29999999992469401</v>
      </c>
      <c r="R18" s="41"/>
      <c r="S18" s="21">
        <f t="shared" si="35"/>
        <v>44703</v>
      </c>
      <c r="T18" s="42">
        <v>8.7415000000000003</v>
      </c>
      <c r="U18" s="43">
        <f t="shared" si="36"/>
        <v>0.40000000000084401</v>
      </c>
      <c r="V18" s="44">
        <f t="shared" si="37"/>
        <v>-1.7999999999993599</v>
      </c>
      <c r="W18" s="45">
        <f t="shared" si="38"/>
        <v>-0.40000000000084401</v>
      </c>
      <c r="X18" s="29">
        <v>12.0581</v>
      </c>
      <c r="Y18" s="43">
        <f t="shared" si="39"/>
        <v>9.99999999997669E-2</v>
      </c>
      <c r="Z18" s="44">
        <f t="shared" si="40"/>
        <v>-2.2999999999999701</v>
      </c>
      <c r="AA18" s="45">
        <f t="shared" si="41"/>
        <v>9.99999999997669E-2</v>
      </c>
      <c r="AB18" s="49">
        <v>8.9857999999999993</v>
      </c>
      <c r="AC18" s="43">
        <f t="shared" si="42"/>
        <v>-0.20000000000130999</v>
      </c>
      <c r="AD18" s="44">
        <f t="shared" si="43"/>
        <v>-1.9000000000009001</v>
      </c>
      <c r="AE18" s="45">
        <f t="shared" si="44"/>
        <v>-0.20000000000130999</v>
      </c>
      <c r="AF18" s="50">
        <v>79816</v>
      </c>
      <c r="AG18" s="58">
        <f t="shared" si="45"/>
        <v>54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44704</v>
      </c>
      <c r="B19" s="22">
        <v>791.46479999999997</v>
      </c>
      <c r="C19" s="27">
        <v>5.9695</v>
      </c>
      <c r="D19" s="23">
        <f t="shared" si="23"/>
        <v>797.43430000000001</v>
      </c>
      <c r="E19" s="24">
        <f t="shared" si="24"/>
        <v>-9.9999999974897905E-2</v>
      </c>
      <c r="F19" s="25">
        <f t="shared" si="25"/>
        <v>-1.8000000000029099</v>
      </c>
      <c r="G19" s="26">
        <f t="shared" si="26"/>
        <v>-9.9999999974897905E-2</v>
      </c>
      <c r="H19" s="6">
        <v>7.0288000000000004</v>
      </c>
      <c r="I19" s="35">
        <f t="shared" si="27"/>
        <v>798.49360000000001</v>
      </c>
      <c r="J19" s="24">
        <f t="shared" si="28"/>
        <v>-9.9999999974897905E-2</v>
      </c>
      <c r="K19" s="25">
        <f t="shared" si="29"/>
        <v>-1.9999999999527101</v>
      </c>
      <c r="L19" s="26">
        <f t="shared" si="30"/>
        <v>-9.9999999974897905E-2</v>
      </c>
      <c r="M19" s="6">
        <v>6.1245000000000003</v>
      </c>
      <c r="N19" s="35">
        <f t="shared" si="31"/>
        <v>797.58929999999998</v>
      </c>
      <c r="O19" s="24">
        <f t="shared" si="32"/>
        <v>9.9999999974897905E-2</v>
      </c>
      <c r="P19" s="25">
        <f t="shared" si="33"/>
        <v>-1.9999999999527101</v>
      </c>
      <c r="Q19" s="26">
        <f t="shared" si="34"/>
        <v>9.9999999974897905E-2</v>
      </c>
      <c r="R19" s="41"/>
      <c r="S19" s="21">
        <f t="shared" si="35"/>
        <v>44704</v>
      </c>
      <c r="T19" s="42">
        <v>8.7407000000000004</v>
      </c>
      <c r="U19" s="43">
        <f t="shared" si="36"/>
        <v>-0.799999999999912</v>
      </c>
      <c r="V19" s="44">
        <f t="shared" si="37"/>
        <v>-2.59999999999927</v>
      </c>
      <c r="W19" s="45">
        <f t="shared" si="38"/>
        <v>0.799999999999912</v>
      </c>
      <c r="X19" s="29">
        <v>12.0579</v>
      </c>
      <c r="Y19" s="43">
        <f t="shared" si="39"/>
        <v>-0.19999999999953399</v>
      </c>
      <c r="Z19" s="44">
        <f t="shared" si="40"/>
        <v>-2.4999999999995</v>
      </c>
      <c r="AA19" s="45">
        <f t="shared" si="41"/>
        <v>-0.19999999999953399</v>
      </c>
      <c r="AB19" s="49">
        <v>8.9860000000000007</v>
      </c>
      <c r="AC19" s="43">
        <f t="shared" si="42"/>
        <v>0.20000000000130999</v>
      </c>
      <c r="AD19" s="44">
        <f t="shared" si="43"/>
        <v>-1.6999999999995901</v>
      </c>
      <c r="AE19" s="45">
        <f t="shared" si="44"/>
        <v>0.20000000000130999</v>
      </c>
      <c r="AF19" s="50">
        <v>79819</v>
      </c>
      <c r="AG19" s="58">
        <f t="shared" si="45"/>
        <v>57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44705</v>
      </c>
      <c r="B20" s="22">
        <v>791.46479999999997</v>
      </c>
      <c r="C20" s="27">
        <v>5.9691999999999998</v>
      </c>
      <c r="D20" s="23">
        <f t="shared" si="23"/>
        <v>797.43399999999997</v>
      </c>
      <c r="E20" s="24">
        <f t="shared" si="24"/>
        <v>-0.30000000003838101</v>
      </c>
      <c r="F20" s="25">
        <f t="shared" si="25"/>
        <v>-2.1000000000412902</v>
      </c>
      <c r="G20" s="26">
        <f t="shared" si="26"/>
        <v>-0.30000000003838101</v>
      </c>
      <c r="H20" s="6">
        <v>7.0285000000000002</v>
      </c>
      <c r="I20" s="35">
        <f t="shared" si="27"/>
        <v>798.49329999999998</v>
      </c>
      <c r="J20" s="24">
        <f t="shared" si="28"/>
        <v>-0.30000000003838101</v>
      </c>
      <c r="K20" s="25">
        <f t="shared" si="29"/>
        <v>-2.2999999999910901</v>
      </c>
      <c r="L20" s="26">
        <f t="shared" si="30"/>
        <v>-0.30000000003838101</v>
      </c>
      <c r="M20" s="6">
        <v>6.1243999999999996</v>
      </c>
      <c r="N20" s="35">
        <f t="shared" si="31"/>
        <v>797.58920000000001</v>
      </c>
      <c r="O20" s="24">
        <f t="shared" si="32"/>
        <v>-9.9999999974897905E-2</v>
      </c>
      <c r="P20" s="25">
        <f t="shared" si="33"/>
        <v>-2.0999999999275998</v>
      </c>
      <c r="Q20" s="26">
        <f t="shared" si="34"/>
        <v>-9.9999999974897905E-2</v>
      </c>
      <c r="R20" s="41"/>
      <c r="S20" s="21">
        <f t="shared" si="35"/>
        <v>44705</v>
      </c>
      <c r="T20" s="42">
        <v>8.7405000000000008</v>
      </c>
      <c r="U20" s="43">
        <f t="shared" si="36"/>
        <v>-0.19999999999953399</v>
      </c>
      <c r="V20" s="44">
        <f t="shared" si="37"/>
        <v>-2.7999999999987999</v>
      </c>
      <c r="W20" s="45">
        <f t="shared" si="38"/>
        <v>0.19999999999953399</v>
      </c>
      <c r="X20" s="29">
        <v>12.0581</v>
      </c>
      <c r="Y20" s="43">
        <f t="shared" si="39"/>
        <v>0.19999999999953399</v>
      </c>
      <c r="Z20" s="44">
        <f t="shared" si="40"/>
        <v>-2.2999999999999701</v>
      </c>
      <c r="AA20" s="45">
        <f t="shared" si="41"/>
        <v>0.19999999999953399</v>
      </c>
      <c r="AB20" s="49">
        <v>8.9854000000000003</v>
      </c>
      <c r="AC20" s="43">
        <f t="shared" si="42"/>
        <v>-0.60000000000037801</v>
      </c>
      <c r="AD20" s="44">
        <f t="shared" si="43"/>
        <v>-2.2999999999999701</v>
      </c>
      <c r="AE20" s="45">
        <f t="shared" si="44"/>
        <v>-0.60000000000037801</v>
      </c>
      <c r="AF20" s="50">
        <v>79822</v>
      </c>
      <c r="AG20" s="58">
        <f t="shared" si="45"/>
        <v>60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44707</v>
      </c>
      <c r="B21" s="22">
        <v>791.46479999999997</v>
      </c>
      <c r="C21" s="27">
        <v>5.9690000000000003</v>
      </c>
      <c r="D21" s="23">
        <f t="shared" si="23"/>
        <v>797.43380000000002</v>
      </c>
      <c r="E21" s="24">
        <f t="shared" si="24"/>
        <v>-0.199999999949796</v>
      </c>
      <c r="F21" s="25">
        <f t="shared" si="25"/>
        <v>-2.2999999999910901</v>
      </c>
      <c r="G21" s="26">
        <f t="shared" si="26"/>
        <v>-9.9999999974897905E-2</v>
      </c>
      <c r="H21" s="6">
        <v>7.0286</v>
      </c>
      <c r="I21" s="35">
        <f t="shared" si="27"/>
        <v>798.49339999999995</v>
      </c>
      <c r="J21" s="24">
        <f t="shared" si="28"/>
        <v>9.9999999974897905E-2</v>
      </c>
      <c r="K21" s="25">
        <f t="shared" si="29"/>
        <v>-2.2000000000161899</v>
      </c>
      <c r="L21" s="26">
        <f t="shared" si="30"/>
        <v>4.9999999987449001E-2</v>
      </c>
      <c r="M21" s="6">
        <v>6.1242000000000001</v>
      </c>
      <c r="N21" s="35">
        <f t="shared" si="31"/>
        <v>797.58900000000006</v>
      </c>
      <c r="O21" s="24">
        <f t="shared" si="32"/>
        <v>-0.20000000006348301</v>
      </c>
      <c r="P21" s="25">
        <f t="shared" si="33"/>
        <v>-2.2999999999910901</v>
      </c>
      <c r="Q21" s="26">
        <f t="shared" si="34"/>
        <v>-0.100000000031741</v>
      </c>
      <c r="R21" s="41"/>
      <c r="S21" s="21">
        <f t="shared" si="35"/>
        <v>44707</v>
      </c>
      <c r="T21" s="42">
        <v>8.7402999999999995</v>
      </c>
      <c r="U21" s="43">
        <f t="shared" si="36"/>
        <v>-0.20000000000130999</v>
      </c>
      <c r="V21" s="44">
        <f t="shared" si="37"/>
        <v>-3.0000000000001101</v>
      </c>
      <c r="W21" s="45">
        <f t="shared" si="38"/>
        <v>0.100000000000655</v>
      </c>
      <c r="X21" s="29">
        <v>12.057499999999999</v>
      </c>
      <c r="Y21" s="43">
        <f t="shared" si="39"/>
        <v>-0.60000000000037801</v>
      </c>
      <c r="Z21" s="44">
        <f t="shared" si="40"/>
        <v>-2.9000000000003499</v>
      </c>
      <c r="AA21" s="45">
        <f t="shared" si="41"/>
        <v>-0.300000000000189</v>
      </c>
      <c r="AB21" s="49">
        <v>8.9852000000000007</v>
      </c>
      <c r="AC21" s="43">
        <f t="shared" si="42"/>
        <v>-0.19999999999953399</v>
      </c>
      <c r="AD21" s="44">
        <f t="shared" si="43"/>
        <v>-2.4999999999995</v>
      </c>
      <c r="AE21" s="45">
        <f t="shared" si="44"/>
        <v>-9.99999999997669E-2</v>
      </c>
      <c r="AF21" s="50">
        <v>79825</v>
      </c>
      <c r="AG21" s="58">
        <f t="shared" si="45"/>
        <v>63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44709</v>
      </c>
      <c r="B22" s="22">
        <v>791.46479999999997</v>
      </c>
      <c r="C22" s="27">
        <v>5.9691000000000001</v>
      </c>
      <c r="D22" s="23">
        <f t="shared" si="23"/>
        <v>797.43389999999999</v>
      </c>
      <c r="E22" s="24">
        <f t="shared" si="24"/>
        <v>9.9999999974897905E-2</v>
      </c>
      <c r="F22" s="25">
        <f t="shared" si="25"/>
        <v>-2.2000000000161899</v>
      </c>
      <c r="G22" s="26">
        <f t="shared" si="26"/>
        <v>4.9999999987449001E-2</v>
      </c>
      <c r="H22" s="6">
        <v>7.0285000000000002</v>
      </c>
      <c r="I22" s="35">
        <f t="shared" si="27"/>
        <v>798.49329999999998</v>
      </c>
      <c r="J22" s="24">
        <f t="shared" si="28"/>
        <v>-9.9999999974897905E-2</v>
      </c>
      <c r="K22" s="25">
        <f t="shared" si="29"/>
        <v>-2.2999999999910901</v>
      </c>
      <c r="L22" s="26">
        <f t="shared" si="30"/>
        <v>-4.9999999987449001E-2</v>
      </c>
      <c r="M22" s="6">
        <v>6.1242000000000001</v>
      </c>
      <c r="N22" s="35">
        <f t="shared" si="31"/>
        <v>797.58900000000006</v>
      </c>
      <c r="O22" s="24">
        <f t="shared" si="32"/>
        <v>0</v>
      </c>
      <c r="P22" s="25">
        <f t="shared" si="33"/>
        <v>-2.2999999999910901</v>
      </c>
      <c r="Q22" s="26">
        <f t="shared" si="34"/>
        <v>0</v>
      </c>
      <c r="R22" s="41"/>
      <c r="S22" s="21">
        <f t="shared" si="35"/>
        <v>44709</v>
      </c>
      <c r="T22" s="42">
        <v>8.7401</v>
      </c>
      <c r="U22" s="43">
        <f t="shared" si="36"/>
        <v>-0.19999999999953399</v>
      </c>
      <c r="V22" s="44">
        <f t="shared" si="37"/>
        <v>-3.1999999999996498</v>
      </c>
      <c r="W22" s="45">
        <f t="shared" si="38"/>
        <v>9.99999999997669E-2</v>
      </c>
      <c r="X22" s="29">
        <v>12.0573</v>
      </c>
      <c r="Y22" s="43">
        <f t="shared" si="39"/>
        <v>-0.19999999999953399</v>
      </c>
      <c r="Z22" s="44">
        <f t="shared" si="40"/>
        <v>-3.0999999999998802</v>
      </c>
      <c r="AA22" s="45">
        <f t="shared" si="41"/>
        <v>-9.99999999997669E-2</v>
      </c>
      <c r="AB22" s="49">
        <v>8.9849999999999994</v>
      </c>
      <c r="AC22" s="43">
        <f t="shared" si="42"/>
        <v>-0.20000000000130999</v>
      </c>
      <c r="AD22" s="44">
        <f t="shared" si="43"/>
        <v>-2.7000000000008102</v>
      </c>
      <c r="AE22" s="45">
        <f t="shared" si="44"/>
        <v>-0.100000000000655</v>
      </c>
      <c r="AF22" s="50">
        <v>79828</v>
      </c>
      <c r="AG22" s="58">
        <f t="shared" si="45"/>
        <v>66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44711</v>
      </c>
      <c r="B23" s="22">
        <v>791.46479999999997</v>
      </c>
      <c r="C23" s="27">
        <v>5.9691999999999998</v>
      </c>
      <c r="D23" s="23">
        <f t="shared" si="23"/>
        <v>797.43399999999997</v>
      </c>
      <c r="E23" s="24">
        <f t="shared" si="24"/>
        <v>9.9999999974897905E-2</v>
      </c>
      <c r="F23" s="25">
        <f t="shared" si="25"/>
        <v>-2.1000000000412902</v>
      </c>
      <c r="G23" s="26">
        <f t="shared" si="26"/>
        <v>4.9999999987449001E-2</v>
      </c>
      <c r="H23" s="6">
        <v>7.0286</v>
      </c>
      <c r="I23" s="35">
        <f t="shared" si="27"/>
        <v>798.49339999999995</v>
      </c>
      <c r="J23" s="24">
        <f t="shared" si="28"/>
        <v>9.9999999974897905E-2</v>
      </c>
      <c r="K23" s="25">
        <f t="shared" si="29"/>
        <v>-2.2000000000161899</v>
      </c>
      <c r="L23" s="26">
        <f t="shared" si="30"/>
        <v>4.9999999987449001E-2</v>
      </c>
      <c r="M23" s="6">
        <v>6.1240999999999897</v>
      </c>
      <c r="N23" s="35">
        <f t="shared" si="31"/>
        <v>797.58889999999997</v>
      </c>
      <c r="O23" s="24">
        <f t="shared" si="32"/>
        <v>-9.9999999974897905E-2</v>
      </c>
      <c r="P23" s="25">
        <f t="shared" si="33"/>
        <v>-2.39999999996598</v>
      </c>
      <c r="Q23" s="26">
        <f t="shared" si="34"/>
        <v>-4.9999999987449001E-2</v>
      </c>
      <c r="R23" s="41"/>
      <c r="S23" s="21">
        <f t="shared" si="35"/>
        <v>44711</v>
      </c>
      <c r="T23" s="42">
        <v>8.7402999999999995</v>
      </c>
      <c r="U23" s="43">
        <f t="shared" si="36"/>
        <v>0.19999999999953399</v>
      </c>
      <c r="V23" s="44">
        <f t="shared" si="37"/>
        <v>-3.0000000000001101</v>
      </c>
      <c r="W23" s="45">
        <f t="shared" si="38"/>
        <v>-9.99999999997669E-2</v>
      </c>
      <c r="X23" s="29">
        <v>12.057399999999999</v>
      </c>
      <c r="Y23" s="43">
        <f t="shared" si="39"/>
        <v>9.99999999997669E-2</v>
      </c>
      <c r="Z23" s="44">
        <f t="shared" si="40"/>
        <v>-3.0000000000001101</v>
      </c>
      <c r="AA23" s="45">
        <f t="shared" si="41"/>
        <v>4.9999999999883499E-2</v>
      </c>
      <c r="AB23" s="49">
        <v>8.9853000000000005</v>
      </c>
      <c r="AC23" s="43">
        <f t="shared" si="42"/>
        <v>0.30000000000107702</v>
      </c>
      <c r="AD23" s="44">
        <f t="shared" si="43"/>
        <v>-2.3999999999997401</v>
      </c>
      <c r="AE23" s="45">
        <f t="shared" si="44"/>
        <v>0.15000000000053901</v>
      </c>
      <c r="AF23" s="50">
        <v>79831</v>
      </c>
      <c r="AG23" s="58">
        <f t="shared" si="45"/>
        <v>69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/>
      <c r="B24" s="22"/>
      <c r="C24" s="27"/>
      <c r="D24" s="23"/>
      <c r="E24" s="65">
        <f>F23-F16</f>
        <v>-0.80000000002655702</v>
      </c>
      <c r="F24" s="33">
        <f>K23-K16</f>
        <v>-0.49999999998817701</v>
      </c>
      <c r="G24" s="33">
        <f>P23-P16</f>
        <v>-0.70000000005165897</v>
      </c>
      <c r="H24" s="33">
        <f>F23</f>
        <v>-2.1000000000412902</v>
      </c>
      <c r="I24" s="66">
        <f>K23</f>
        <v>-2.2000000000161899</v>
      </c>
      <c r="J24" s="65">
        <f>P23</f>
        <v>-2.39999999996598</v>
      </c>
      <c r="K24" s="33">
        <f>(K23-K16)/10</f>
        <v>-4.9999999998817699E-2</v>
      </c>
      <c r="L24" s="26"/>
      <c r="N24" s="35"/>
      <c r="O24" s="24"/>
      <c r="P24" s="25"/>
      <c r="Q24" s="26"/>
      <c r="R24" s="41"/>
      <c r="S24" s="21"/>
      <c r="T24" s="42"/>
      <c r="U24" s="65">
        <f>V23-V16</f>
        <v>-1.0000000000012199</v>
      </c>
      <c r="V24" s="33">
        <f>Z23-Z16</f>
        <v>-1.10000000000099</v>
      </c>
      <c r="W24" s="33">
        <f>AD23-AD16</f>
        <v>-0.89999999999967895</v>
      </c>
      <c r="X24" s="33">
        <f>V23</f>
        <v>-3.0000000000001101</v>
      </c>
      <c r="Y24" s="65">
        <f>Z23</f>
        <v>-3.0000000000001101</v>
      </c>
      <c r="Z24" s="33">
        <f>AD23</f>
        <v>-2.3999999999997401</v>
      </c>
      <c r="AA24" s="33">
        <f>(V23-V16)/10</f>
        <v>-0.10000000000012201</v>
      </c>
      <c r="AB24" s="49"/>
      <c r="AC24" s="43"/>
      <c r="AD24" s="44"/>
      <c r="AE24" s="45"/>
      <c r="AF24" s="50"/>
      <c r="AG24" s="58"/>
      <c r="AH24" s="61"/>
      <c r="AI24" s="60"/>
      <c r="AJ24"/>
      <c r="AK24"/>
      <c r="AL24"/>
      <c r="AM24"/>
    </row>
    <row r="25" spans="1:48">
      <c r="A25" s="21"/>
      <c r="B25" s="22"/>
      <c r="C25" s="27"/>
      <c r="D25" s="23"/>
      <c r="E25" s="24"/>
      <c r="F25" s="25"/>
      <c r="G25" s="26"/>
      <c r="I25" s="35"/>
      <c r="J25" s="24"/>
      <c r="K25" s="25"/>
      <c r="L25" s="26"/>
      <c r="N25" s="35"/>
      <c r="O25" s="24"/>
      <c r="P25" s="25"/>
      <c r="Q25" s="26"/>
      <c r="R25" s="41"/>
      <c r="S25" s="21"/>
      <c r="T25" s="42"/>
      <c r="U25" s="43"/>
      <c r="V25" s="44"/>
      <c r="W25" s="45"/>
      <c r="X25" s="29"/>
      <c r="Y25" s="43"/>
      <c r="Z25" s="44"/>
      <c r="AA25" s="45"/>
      <c r="AB25" s="49"/>
      <c r="AC25" s="43"/>
      <c r="AD25" s="44"/>
      <c r="AE25" s="45"/>
      <c r="AF25" s="50"/>
      <c r="AG25" s="58"/>
      <c r="AH25" s="61"/>
      <c r="AI25" s="52"/>
      <c r="AJ25" s="52"/>
      <c r="AK25" s="52"/>
      <c r="AL25" s="52"/>
      <c r="AM25" s="52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O19" workbookViewId="0">
      <selection activeCell="U25" sqref="U25:AA2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44695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44695</v>
      </c>
      <c r="B6" s="22">
        <v>791.46479999999997</v>
      </c>
      <c r="C6" s="27">
        <v>6.1055000000000001</v>
      </c>
      <c r="D6" s="23">
        <f t="shared" ref="D6:D12" si="0">C6+B6</f>
        <v>797.57029999999997</v>
      </c>
      <c r="E6" s="24">
        <v>0</v>
      </c>
      <c r="F6" s="25">
        <v>0</v>
      </c>
      <c r="G6" s="26">
        <v>0</v>
      </c>
      <c r="H6" s="6">
        <v>7.2832999999999997</v>
      </c>
      <c r="I6" s="35">
        <f t="shared" ref="I6:I12" si="1">H6+B6</f>
        <v>798.74810000000002</v>
      </c>
      <c r="J6" s="24">
        <v>0</v>
      </c>
      <c r="K6" s="25">
        <v>0</v>
      </c>
      <c r="L6" s="26">
        <v>0</v>
      </c>
      <c r="M6" s="6">
        <v>6.5141999999999998</v>
      </c>
      <c r="N6" s="35">
        <f t="shared" ref="N6:N12" si="2">M6+B6</f>
        <v>797.97900000000004</v>
      </c>
      <c r="O6" s="24">
        <v>0</v>
      </c>
      <c r="P6" s="25">
        <v>0</v>
      </c>
      <c r="Q6" s="26">
        <v>0</v>
      </c>
      <c r="R6" s="41"/>
      <c r="S6" s="21">
        <f t="shared" ref="S6:S12" si="3">A6</f>
        <v>44695</v>
      </c>
      <c r="T6" s="42">
        <v>9.6569000000000003</v>
      </c>
      <c r="U6" s="43">
        <v>0</v>
      </c>
      <c r="V6" s="44">
        <v>0</v>
      </c>
      <c r="W6" s="45">
        <f>U6/(S6-S11)</f>
        <v>0</v>
      </c>
      <c r="X6" s="29">
        <v>12.073600000000001</v>
      </c>
      <c r="Y6" s="43">
        <v>0</v>
      </c>
      <c r="Z6" s="44">
        <v>0</v>
      </c>
      <c r="AA6" s="45">
        <v>0</v>
      </c>
      <c r="AB6" s="49">
        <v>8.6060999999999996</v>
      </c>
      <c r="AC6" s="43">
        <v>0</v>
      </c>
      <c r="AD6" s="44">
        <v>0</v>
      </c>
      <c r="AE6" s="45">
        <v>0</v>
      </c>
      <c r="AF6" s="50">
        <v>79792</v>
      </c>
      <c r="AG6" s="58">
        <f>AF6-79785</f>
        <v>7</v>
      </c>
      <c r="AH6" s="59"/>
      <c r="AI6" s="60"/>
      <c r="AJ6" s="61"/>
      <c r="AK6" s="62"/>
      <c r="AL6" s="52"/>
      <c r="AM6" s="52"/>
    </row>
    <row r="7" spans="1:48">
      <c r="A7" s="21">
        <v>44696</v>
      </c>
      <c r="B7" s="22">
        <v>791.46479999999997</v>
      </c>
      <c r="C7" s="27">
        <v>6.1052999999999997</v>
      </c>
      <c r="D7" s="23">
        <f t="shared" si="0"/>
        <v>797.57010000000002</v>
      </c>
      <c r="E7" s="24">
        <f t="shared" ref="E7:E12" si="4">(D7-D6)*1000</f>
        <v>-0.20000000006348301</v>
      </c>
      <c r="F7" s="25">
        <f t="shared" ref="F7:F12" si="5">F6+E7</f>
        <v>-0.20000000006348301</v>
      </c>
      <c r="G7" s="26">
        <f t="shared" ref="G7:G12" si="6">E7/(A7-A6)</f>
        <v>-0.20000000006348301</v>
      </c>
      <c r="H7" s="6">
        <v>7.2831999999999999</v>
      </c>
      <c r="I7" s="35">
        <f t="shared" si="1"/>
        <v>798.74800000000005</v>
      </c>
      <c r="J7" s="24">
        <f t="shared" ref="J7:J12" si="7">(I7-I6)*1000</f>
        <v>-0.10000000008858501</v>
      </c>
      <c r="K7" s="25">
        <f t="shared" ref="K7:K12" si="8">K6+J7</f>
        <v>-0.10000000008858501</v>
      </c>
      <c r="L7" s="26">
        <f t="shared" ref="L7:L12" si="9">J7/(A7-A6)</f>
        <v>-0.10000000008858501</v>
      </c>
      <c r="M7" s="6">
        <v>6.5140000000000002</v>
      </c>
      <c r="N7" s="35">
        <f t="shared" si="2"/>
        <v>797.97879999999998</v>
      </c>
      <c r="O7" s="24">
        <f t="shared" ref="O7:O12" si="10">(N7-N6)*1000</f>
        <v>-0.199999999949796</v>
      </c>
      <c r="P7" s="25">
        <f t="shared" ref="P7:P12" si="11">P6+O7</f>
        <v>-0.199999999949796</v>
      </c>
      <c r="Q7" s="26">
        <f t="shared" ref="Q7:Q12" si="12">O7/(A7-A6)</f>
        <v>-0.199999999949796</v>
      </c>
      <c r="R7" s="41"/>
      <c r="S7" s="21">
        <f t="shared" si="3"/>
        <v>44696</v>
      </c>
      <c r="T7" s="42">
        <v>9.6562999999999999</v>
      </c>
      <c r="U7" s="43">
        <f t="shared" ref="U7:U12" si="13">(T7-T6)*1000</f>
        <v>-0.60000000000037801</v>
      </c>
      <c r="V7" s="44">
        <f t="shared" ref="V7:V12" si="14">V6+U7</f>
        <v>-0.60000000000037801</v>
      </c>
      <c r="W7" s="45">
        <f t="shared" ref="W7:W12" si="15">U7/(S6-S7)</f>
        <v>0.60000000000037801</v>
      </c>
      <c r="X7" s="29">
        <v>12.0738</v>
      </c>
      <c r="Y7" s="43">
        <f t="shared" ref="Y7:Y12" si="16">(X7-X6)*1000</f>
        <v>0.19999999999953399</v>
      </c>
      <c r="Z7" s="44">
        <f t="shared" ref="Z7:Z12" si="17">Z6+Y7</f>
        <v>0.19999999999953399</v>
      </c>
      <c r="AA7" s="45">
        <f t="shared" ref="AA7:AA12" si="18">Y7/(S7-S6)</f>
        <v>0.19999999999953399</v>
      </c>
      <c r="AB7" s="49">
        <v>8.6059999999999999</v>
      </c>
      <c r="AC7" s="43">
        <f t="shared" ref="AC7:AC12" si="19">(AB7-AB6)*1000</f>
        <v>-9.99999999997669E-2</v>
      </c>
      <c r="AD7" s="44">
        <f t="shared" ref="AD7:AD12" si="20">AD6+AC7</f>
        <v>-9.99999999997669E-2</v>
      </c>
      <c r="AE7" s="45">
        <f t="shared" ref="AE7:AE12" si="21">AC7/(S7-S6)</f>
        <v>-9.99999999997669E-2</v>
      </c>
      <c r="AF7" s="50">
        <v>79795</v>
      </c>
      <c r="AG7" s="58">
        <f t="shared" ref="AG7:AG12" si="22">AF7-79785</f>
        <v>10</v>
      </c>
      <c r="AH7" s="59"/>
      <c r="AI7" s="60"/>
      <c r="AJ7" s="61"/>
      <c r="AK7" s="62"/>
      <c r="AL7" s="52"/>
      <c r="AM7" s="52"/>
    </row>
    <row r="8" spans="1:48">
      <c r="A8" s="21">
        <v>44697</v>
      </c>
      <c r="B8" s="22">
        <v>791.46479999999997</v>
      </c>
      <c r="C8" s="27">
        <v>6.1051000000000002</v>
      </c>
      <c r="D8" s="23">
        <f t="shared" si="0"/>
        <v>797.56989999999996</v>
      </c>
      <c r="E8" s="24">
        <f t="shared" si="4"/>
        <v>-0.199999999949796</v>
      </c>
      <c r="F8" s="25">
        <f t="shared" si="5"/>
        <v>-0.40000000001327901</v>
      </c>
      <c r="G8" s="26">
        <f t="shared" si="6"/>
        <v>-0.199999999949796</v>
      </c>
      <c r="H8" s="6">
        <v>7.2830000000000004</v>
      </c>
      <c r="I8" s="35">
        <f t="shared" si="1"/>
        <v>798.74779999999998</v>
      </c>
      <c r="J8" s="24">
        <f t="shared" si="7"/>
        <v>-0.199999999949796</v>
      </c>
      <c r="K8" s="25">
        <f t="shared" si="8"/>
        <v>-0.30000000003838101</v>
      </c>
      <c r="L8" s="26">
        <f t="shared" si="9"/>
        <v>-0.199999999949796</v>
      </c>
      <c r="M8" s="6">
        <v>6.5137999999999998</v>
      </c>
      <c r="N8" s="35">
        <f t="shared" si="2"/>
        <v>797.97860000000003</v>
      </c>
      <c r="O8" s="24">
        <f t="shared" si="10"/>
        <v>-0.20000000006348301</v>
      </c>
      <c r="P8" s="25">
        <f t="shared" si="11"/>
        <v>-0.40000000001327901</v>
      </c>
      <c r="Q8" s="26">
        <f t="shared" si="12"/>
        <v>-0.20000000006348301</v>
      </c>
      <c r="R8" s="41"/>
      <c r="S8" s="21">
        <f t="shared" si="3"/>
        <v>44697</v>
      </c>
      <c r="T8" s="42">
        <v>9.6564999999999994</v>
      </c>
      <c r="U8" s="43">
        <f t="shared" si="13"/>
        <v>0.19999999999953399</v>
      </c>
      <c r="V8" s="44">
        <f t="shared" si="14"/>
        <v>-0.40000000000084401</v>
      </c>
      <c r="W8" s="45">
        <f t="shared" si="15"/>
        <v>-0.19999999999953399</v>
      </c>
      <c r="X8" s="29">
        <v>12.073499999999999</v>
      </c>
      <c r="Y8" s="43">
        <f t="shared" si="16"/>
        <v>-0.30000000000107702</v>
      </c>
      <c r="Z8" s="44">
        <f t="shared" si="17"/>
        <v>-0.10000000000154299</v>
      </c>
      <c r="AA8" s="45">
        <f t="shared" si="18"/>
        <v>-0.30000000000107702</v>
      </c>
      <c r="AB8" s="49">
        <v>8.6058000000000003</v>
      </c>
      <c r="AC8" s="43">
        <f t="shared" si="19"/>
        <v>-0.19999999999953399</v>
      </c>
      <c r="AD8" s="44">
        <f t="shared" si="20"/>
        <v>-0.29999999999930099</v>
      </c>
      <c r="AE8" s="45">
        <f t="shared" si="21"/>
        <v>-0.19999999999953399</v>
      </c>
      <c r="AF8" s="50">
        <v>79798</v>
      </c>
      <c r="AG8" s="58">
        <f t="shared" si="22"/>
        <v>13</v>
      </c>
      <c r="AH8" s="59"/>
      <c r="AI8" s="60"/>
      <c r="AJ8" s="61"/>
      <c r="AK8" s="62"/>
      <c r="AL8" s="52"/>
      <c r="AM8" s="52"/>
    </row>
    <row r="9" spans="1:48">
      <c r="A9" s="21">
        <v>44698</v>
      </c>
      <c r="B9" s="22">
        <v>791.46479999999997</v>
      </c>
      <c r="C9" s="27">
        <v>6.1052</v>
      </c>
      <c r="D9" s="23">
        <f t="shared" si="0"/>
        <v>797.57</v>
      </c>
      <c r="E9" s="24">
        <f t="shared" si="4"/>
        <v>9.9999999974897905E-2</v>
      </c>
      <c r="F9" s="25">
        <f t="shared" si="5"/>
        <v>-0.30000000003838101</v>
      </c>
      <c r="G9" s="26">
        <f t="shared" si="6"/>
        <v>9.9999999974897905E-2</v>
      </c>
      <c r="H9" s="6">
        <v>7.2824999999999998</v>
      </c>
      <c r="I9" s="35">
        <f t="shared" si="1"/>
        <v>798.7473</v>
      </c>
      <c r="J9" s="24">
        <f t="shared" si="7"/>
        <v>-0.49999999998817701</v>
      </c>
      <c r="K9" s="25">
        <f t="shared" si="8"/>
        <v>-0.80000000002655702</v>
      </c>
      <c r="L9" s="26">
        <f t="shared" si="9"/>
        <v>-0.49999999998817701</v>
      </c>
      <c r="M9" s="6">
        <v>6.5132000000000003</v>
      </c>
      <c r="N9" s="35">
        <f t="shared" si="2"/>
        <v>797.97799999999995</v>
      </c>
      <c r="O9" s="24">
        <f t="shared" si="10"/>
        <v>-0.59999999996307496</v>
      </c>
      <c r="P9" s="25">
        <f t="shared" si="11"/>
        <v>-0.99999999997635303</v>
      </c>
      <c r="Q9" s="26">
        <f t="shared" si="12"/>
        <v>-0.59999999996307496</v>
      </c>
      <c r="R9" s="41"/>
      <c r="S9" s="21">
        <f t="shared" si="3"/>
        <v>44698</v>
      </c>
      <c r="T9" s="42">
        <v>9.6562000000000001</v>
      </c>
      <c r="U9" s="43">
        <f t="shared" si="13"/>
        <v>-0.29999999999930099</v>
      </c>
      <c r="V9" s="44">
        <f t="shared" si="14"/>
        <v>-0.70000000000014495</v>
      </c>
      <c r="W9" s="45">
        <f t="shared" si="15"/>
        <v>0.29999999999930099</v>
      </c>
      <c r="X9" s="29">
        <v>12.073</v>
      </c>
      <c r="Y9" s="43">
        <f t="shared" si="16"/>
        <v>-0.49999999999883499</v>
      </c>
      <c r="Z9" s="44">
        <f t="shared" si="17"/>
        <v>-0.60000000000037801</v>
      </c>
      <c r="AA9" s="45">
        <f t="shared" si="18"/>
        <v>-0.49999999999883499</v>
      </c>
      <c r="AB9" s="49">
        <v>8.6054999999999993</v>
      </c>
      <c r="AC9" s="43">
        <f t="shared" si="19"/>
        <v>-0.30000000000107702</v>
      </c>
      <c r="AD9" s="44">
        <f t="shared" si="20"/>
        <v>-0.60000000000037801</v>
      </c>
      <c r="AE9" s="45">
        <f t="shared" si="21"/>
        <v>-0.30000000000107702</v>
      </c>
      <c r="AF9" s="50">
        <v>79801</v>
      </c>
      <c r="AG9" s="58">
        <f t="shared" si="22"/>
        <v>16</v>
      </c>
      <c r="AH9" s="61"/>
      <c r="AI9" s="60"/>
      <c r="AJ9"/>
      <c r="AK9"/>
      <c r="AL9"/>
      <c r="AM9"/>
    </row>
    <row r="10" spans="1:48">
      <c r="A10" s="21">
        <v>44699</v>
      </c>
      <c r="B10" s="22">
        <v>791.46479999999997</v>
      </c>
      <c r="C10" s="27">
        <v>6.1047000000000002</v>
      </c>
      <c r="D10" s="23">
        <f t="shared" si="0"/>
        <v>797.56949999999995</v>
      </c>
      <c r="E10" s="24">
        <f t="shared" si="4"/>
        <v>-0.49999999998817701</v>
      </c>
      <c r="F10" s="25">
        <f t="shared" si="5"/>
        <v>-0.80000000002655702</v>
      </c>
      <c r="G10" s="26">
        <f t="shared" si="6"/>
        <v>-0.49999999998817701</v>
      </c>
      <c r="H10" s="6">
        <v>7.2821999999999996</v>
      </c>
      <c r="I10" s="35">
        <f t="shared" si="1"/>
        <v>798.74699999999996</v>
      </c>
      <c r="J10" s="24">
        <f t="shared" si="7"/>
        <v>-0.30000000003838101</v>
      </c>
      <c r="K10" s="25">
        <f t="shared" si="8"/>
        <v>-1.1000000000649399</v>
      </c>
      <c r="L10" s="26">
        <f t="shared" si="9"/>
        <v>-0.30000000003838101</v>
      </c>
      <c r="M10" s="6">
        <v>6.5133000000000001</v>
      </c>
      <c r="N10" s="35">
        <f t="shared" si="2"/>
        <v>797.97810000000004</v>
      </c>
      <c r="O10" s="24">
        <f t="shared" si="10"/>
        <v>9.9999999974897905E-2</v>
      </c>
      <c r="P10" s="25">
        <f t="shared" si="11"/>
        <v>-0.90000000000145497</v>
      </c>
      <c r="Q10" s="26">
        <f t="shared" si="12"/>
        <v>9.9999999974897905E-2</v>
      </c>
      <c r="R10" s="41"/>
      <c r="S10" s="21">
        <f t="shared" si="3"/>
        <v>44699</v>
      </c>
      <c r="T10" s="42">
        <v>9.6560000000000006</v>
      </c>
      <c r="U10" s="43">
        <f t="shared" si="13"/>
        <v>-0.19999999999953399</v>
      </c>
      <c r="V10" s="44">
        <f t="shared" si="14"/>
        <v>-0.89999999999967895</v>
      </c>
      <c r="W10" s="45">
        <f t="shared" si="15"/>
        <v>0.19999999999953399</v>
      </c>
      <c r="X10" s="29">
        <v>12.072800000000001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8.6052</v>
      </c>
      <c r="AC10" s="43">
        <f t="shared" si="19"/>
        <v>-0.29999999999930099</v>
      </c>
      <c r="AD10" s="44">
        <f t="shared" si="20"/>
        <v>-0.89999999999967895</v>
      </c>
      <c r="AE10" s="45">
        <f t="shared" si="21"/>
        <v>-0.29999999999930099</v>
      </c>
      <c r="AF10" s="50">
        <v>79804</v>
      </c>
      <c r="AG10" s="58">
        <f t="shared" si="22"/>
        <v>19</v>
      </c>
      <c r="AH10" s="59"/>
      <c r="AI10" s="60"/>
      <c r="AJ10" s="61"/>
      <c r="AK10" s="62"/>
      <c r="AL10" s="52"/>
      <c r="AM10" s="52"/>
    </row>
    <row r="11" spans="1:48">
      <c r="A11" s="21">
        <v>44700</v>
      </c>
      <c r="B11" s="22">
        <v>791.46479999999997</v>
      </c>
      <c r="C11" s="27">
        <v>6.1044</v>
      </c>
      <c r="D11" s="23">
        <f t="shared" si="0"/>
        <v>797.56920000000002</v>
      </c>
      <c r="E11" s="24">
        <f t="shared" si="4"/>
        <v>-0.29999999992469401</v>
      </c>
      <c r="F11" s="25">
        <f t="shared" si="5"/>
        <v>-1.09999999995125</v>
      </c>
      <c r="G11" s="26">
        <f t="shared" si="6"/>
        <v>-0.29999999992469401</v>
      </c>
      <c r="H11" s="6">
        <v>7.282</v>
      </c>
      <c r="I11" s="35">
        <f t="shared" si="1"/>
        <v>798.74680000000001</v>
      </c>
      <c r="J11" s="24">
        <f t="shared" si="7"/>
        <v>-0.199999999949796</v>
      </c>
      <c r="K11" s="25">
        <f t="shared" si="8"/>
        <v>-1.30000000001473</v>
      </c>
      <c r="L11" s="26">
        <f t="shared" si="9"/>
        <v>-0.199999999949796</v>
      </c>
      <c r="M11" s="6">
        <v>6.5129999999999999</v>
      </c>
      <c r="N11" s="35">
        <f t="shared" si="2"/>
        <v>797.9778</v>
      </c>
      <c r="O11" s="24">
        <f t="shared" si="10"/>
        <v>-0.29999999992469401</v>
      </c>
      <c r="P11" s="25">
        <f t="shared" si="11"/>
        <v>-1.1999999999261499</v>
      </c>
      <c r="Q11" s="26">
        <f t="shared" si="12"/>
        <v>-0.29999999992469401</v>
      </c>
      <c r="R11" s="41"/>
      <c r="S11" s="21">
        <f t="shared" si="3"/>
        <v>44700</v>
      </c>
      <c r="T11" s="42">
        <v>9.6560000000000006</v>
      </c>
      <c r="U11" s="43">
        <f t="shared" si="13"/>
        <v>0</v>
      </c>
      <c r="V11" s="44">
        <f t="shared" si="14"/>
        <v>-0.89999999999967895</v>
      </c>
      <c r="W11" s="45">
        <f t="shared" si="15"/>
        <v>0</v>
      </c>
      <c r="X11" s="29">
        <v>12.0725</v>
      </c>
      <c r="Y11" s="43">
        <f t="shared" si="16"/>
        <v>-0.30000000000107702</v>
      </c>
      <c r="Z11" s="44">
        <f t="shared" si="17"/>
        <v>-1.10000000000099</v>
      </c>
      <c r="AA11" s="45">
        <f t="shared" si="18"/>
        <v>-0.30000000000107702</v>
      </c>
      <c r="AB11" s="49">
        <v>8.6050000000000004</v>
      </c>
      <c r="AC11" s="43">
        <f t="shared" si="19"/>
        <v>-0.19999999999953399</v>
      </c>
      <c r="AD11" s="44">
        <f t="shared" si="20"/>
        <v>-1.0999999999992101</v>
      </c>
      <c r="AE11" s="45">
        <f t="shared" si="21"/>
        <v>-0.19999999999953399</v>
      </c>
      <c r="AF11" s="50">
        <v>79807</v>
      </c>
      <c r="AG11" s="58">
        <f t="shared" si="22"/>
        <v>22</v>
      </c>
      <c r="AH11" s="59"/>
      <c r="AI11" s="60"/>
      <c r="AJ11" s="52"/>
      <c r="AK11" s="52"/>
      <c r="AL11" s="52"/>
      <c r="AM11" s="52"/>
    </row>
    <row r="12" spans="1:48">
      <c r="A12" s="21">
        <v>44701</v>
      </c>
      <c r="B12" s="22">
        <v>791.46479999999997</v>
      </c>
      <c r="C12" s="27">
        <v>6.1041999999999996</v>
      </c>
      <c r="D12" s="23">
        <f t="shared" si="0"/>
        <v>797.56899999999996</v>
      </c>
      <c r="E12" s="24">
        <f t="shared" si="4"/>
        <v>-0.20000000006348301</v>
      </c>
      <c r="F12" s="25">
        <f t="shared" si="5"/>
        <v>-1.30000000001473</v>
      </c>
      <c r="G12" s="26">
        <f t="shared" si="6"/>
        <v>-0.20000000006348301</v>
      </c>
      <c r="H12" s="6">
        <v>7.2819000000000003</v>
      </c>
      <c r="I12" s="35">
        <f t="shared" si="1"/>
        <v>798.74670000000003</v>
      </c>
      <c r="J12" s="24">
        <f t="shared" si="7"/>
        <v>-0.10000000008858501</v>
      </c>
      <c r="K12" s="25">
        <f t="shared" si="8"/>
        <v>-1.4000000001033199</v>
      </c>
      <c r="L12" s="26">
        <f t="shared" si="9"/>
        <v>-0.10000000008858501</v>
      </c>
      <c r="M12" s="6">
        <v>6.5128000000000004</v>
      </c>
      <c r="N12" s="35">
        <f t="shared" si="2"/>
        <v>797.97760000000005</v>
      </c>
      <c r="O12" s="24">
        <f t="shared" si="10"/>
        <v>-0.20000000006348301</v>
      </c>
      <c r="P12" s="25">
        <f t="shared" si="11"/>
        <v>-1.39999999998963</v>
      </c>
      <c r="Q12" s="26">
        <f t="shared" si="12"/>
        <v>-0.20000000006348301</v>
      </c>
      <c r="R12" s="41"/>
      <c r="S12" s="21">
        <f t="shared" si="3"/>
        <v>44701</v>
      </c>
      <c r="T12" s="42">
        <v>9.6557999999999993</v>
      </c>
      <c r="U12" s="43">
        <f t="shared" si="13"/>
        <v>-0.20000000000130999</v>
      </c>
      <c r="V12" s="44">
        <f t="shared" si="14"/>
        <v>-1.10000000000099</v>
      </c>
      <c r="W12" s="45">
        <f t="shared" si="15"/>
        <v>0.20000000000130999</v>
      </c>
      <c r="X12" s="29">
        <v>12.0723</v>
      </c>
      <c r="Y12" s="43">
        <f t="shared" si="16"/>
        <v>-0.19999999999953399</v>
      </c>
      <c r="Z12" s="44">
        <f t="shared" si="17"/>
        <v>-1.3000000000005201</v>
      </c>
      <c r="AA12" s="45">
        <f t="shared" si="18"/>
        <v>-0.19999999999953399</v>
      </c>
      <c r="AB12" s="49">
        <v>8.6051000000000002</v>
      </c>
      <c r="AC12" s="43">
        <f t="shared" si="19"/>
        <v>9.99999999997669E-2</v>
      </c>
      <c r="AD12" s="44">
        <f t="shared" si="20"/>
        <v>-0.999999999999446</v>
      </c>
      <c r="AE12" s="45">
        <f t="shared" si="21"/>
        <v>9.99999999997669E-2</v>
      </c>
      <c r="AF12" s="50">
        <v>79810</v>
      </c>
      <c r="AG12" s="58">
        <f t="shared" si="22"/>
        <v>25</v>
      </c>
      <c r="AH12" s="61"/>
      <c r="AI12" s="60"/>
      <c r="AJ12"/>
      <c r="AK12"/>
      <c r="AL12"/>
      <c r="AM12"/>
    </row>
    <row r="13" spans="1:48">
      <c r="A13" s="21">
        <v>44702</v>
      </c>
      <c r="B13" s="22">
        <v>791.46479999999997</v>
      </c>
      <c r="C13" s="27">
        <v>6.1043000000000003</v>
      </c>
      <c r="D13" s="23">
        <f t="shared" ref="D13:D24" si="23">C13+B13</f>
        <v>797.56910000000005</v>
      </c>
      <c r="E13" s="24">
        <f t="shared" ref="E13:E24" si="24">(D13-D12)*1000</f>
        <v>9.9999999974897905E-2</v>
      </c>
      <c r="F13" s="25">
        <f t="shared" ref="F13:F24" si="25">F12+E13</f>
        <v>-1.2000000000398401</v>
      </c>
      <c r="G13" s="26">
        <f t="shared" ref="G13:G24" si="26">E13/(A13-A12)</f>
        <v>9.9999999974897905E-2</v>
      </c>
      <c r="H13" s="6">
        <v>7.2815000000000003</v>
      </c>
      <c r="I13" s="35">
        <f t="shared" ref="I13:I24" si="27">H13+B13</f>
        <v>798.74630000000002</v>
      </c>
      <c r="J13" s="24">
        <f t="shared" ref="J13:J24" si="28">(I13-I12)*1000</f>
        <v>-0.39999999989959201</v>
      </c>
      <c r="K13" s="25">
        <f t="shared" ref="K13:K24" si="29">K12+J13</f>
        <v>-1.8000000000029099</v>
      </c>
      <c r="L13" s="26">
        <f t="shared" ref="L13:L24" si="30">J13/(A13-A12)</f>
        <v>-0.39999999989959201</v>
      </c>
      <c r="M13" s="6">
        <v>6.5125999999999999</v>
      </c>
      <c r="N13" s="35">
        <f t="shared" ref="N13:N24" si="31">M13+B13</f>
        <v>797.97739999999999</v>
      </c>
      <c r="O13" s="24">
        <f t="shared" ref="O13:O24" si="32">(N13-N12)*1000</f>
        <v>-0.199999999949796</v>
      </c>
      <c r="P13" s="25">
        <f t="shared" ref="P13:P24" si="33">P12+O13</f>
        <v>-1.5999999999394301</v>
      </c>
      <c r="Q13" s="26">
        <f t="shared" ref="Q13:Q24" si="34">O13/(A13-A12)</f>
        <v>-0.199999999949796</v>
      </c>
      <c r="R13" s="41"/>
      <c r="S13" s="21">
        <f t="shared" ref="S13:S24" si="35">A13</f>
        <v>44702</v>
      </c>
      <c r="T13" s="42">
        <v>9.6560000000000006</v>
      </c>
      <c r="U13" s="43">
        <f t="shared" ref="U13:U24" si="36">(T13-T12)*1000</f>
        <v>0.20000000000130999</v>
      </c>
      <c r="V13" s="44">
        <f t="shared" ref="V13:V24" si="37">V12+U13</f>
        <v>-0.89999999999967895</v>
      </c>
      <c r="W13" s="45">
        <f t="shared" ref="W13:W24" si="38">U13/(S12-S13)</f>
        <v>-0.20000000000130999</v>
      </c>
      <c r="X13" s="29">
        <v>12.0725</v>
      </c>
      <c r="Y13" s="43">
        <f t="shared" ref="Y13:Y24" si="39">(X13-X12)*1000</f>
        <v>0.19999999999953399</v>
      </c>
      <c r="Z13" s="44">
        <f t="shared" ref="Z13:Z24" si="40">Z12+Y13</f>
        <v>-1.10000000000099</v>
      </c>
      <c r="AA13" s="45">
        <f t="shared" ref="AA13:AA24" si="41">Y13/(S13-S12)</f>
        <v>0.19999999999953399</v>
      </c>
      <c r="AB13" s="49">
        <v>8.6047999999999991</v>
      </c>
      <c r="AC13" s="43">
        <f t="shared" ref="AC13:AC24" si="42">(AB13-AB12)*1000</f>
        <v>-0.30000000000107702</v>
      </c>
      <c r="AD13" s="44">
        <f t="shared" ref="AD13:AD24" si="43">AD12+AC13</f>
        <v>-1.3000000000005201</v>
      </c>
      <c r="AE13" s="45">
        <f t="shared" ref="AE13:AE24" si="44">AC13/(S13-S12)</f>
        <v>-0.30000000000107702</v>
      </c>
      <c r="AF13" s="50">
        <v>79813</v>
      </c>
      <c r="AG13" s="58">
        <f t="shared" ref="AG13:AG24" si="45">AF13-79785</f>
        <v>28</v>
      </c>
      <c r="AH13" s="61"/>
      <c r="AI13" s="60"/>
      <c r="AJ13"/>
      <c r="AK13"/>
      <c r="AL13"/>
      <c r="AM13"/>
    </row>
    <row r="14" spans="1:48">
      <c r="A14" s="21">
        <v>44703</v>
      </c>
      <c r="B14" s="22">
        <v>791.46479999999997</v>
      </c>
      <c r="C14" s="27">
        <v>6.1037999999999997</v>
      </c>
      <c r="D14" s="23">
        <f t="shared" si="23"/>
        <v>797.56859999999995</v>
      </c>
      <c r="E14" s="24">
        <f t="shared" si="24"/>
        <v>-0.49999999998817701</v>
      </c>
      <c r="F14" s="25">
        <f t="shared" si="25"/>
        <v>-1.70000000002801</v>
      </c>
      <c r="G14" s="26">
        <f t="shared" si="26"/>
        <v>-0.49999999998817701</v>
      </c>
      <c r="H14" s="6">
        <v>7.2816999999999998</v>
      </c>
      <c r="I14" s="35">
        <f t="shared" si="27"/>
        <v>798.74649999999997</v>
      </c>
      <c r="J14" s="24">
        <f t="shared" si="28"/>
        <v>0.199999999949796</v>
      </c>
      <c r="K14" s="25">
        <f t="shared" si="29"/>
        <v>-1.60000000005311</v>
      </c>
      <c r="L14" s="26">
        <f t="shared" si="30"/>
        <v>0.199999999949796</v>
      </c>
      <c r="M14" s="6">
        <v>6.5125000000000002</v>
      </c>
      <c r="N14" s="35">
        <f t="shared" si="31"/>
        <v>797.97730000000001</v>
      </c>
      <c r="O14" s="24">
        <f t="shared" si="32"/>
        <v>-9.9999999974897905E-2</v>
      </c>
      <c r="P14" s="25">
        <f t="shared" si="33"/>
        <v>-1.69999999991433</v>
      </c>
      <c r="Q14" s="26">
        <f t="shared" si="34"/>
        <v>-9.9999999974897905E-2</v>
      </c>
      <c r="R14" s="41"/>
      <c r="S14" s="21">
        <f t="shared" si="35"/>
        <v>44703</v>
      </c>
      <c r="T14" s="42">
        <v>9.6554000000000002</v>
      </c>
      <c r="U14" s="43">
        <f t="shared" si="36"/>
        <v>-0.60000000000037801</v>
      </c>
      <c r="V14" s="44">
        <f t="shared" si="37"/>
        <v>-1.50000000000006</v>
      </c>
      <c r="W14" s="45">
        <f t="shared" si="38"/>
        <v>0.60000000000037801</v>
      </c>
      <c r="X14" s="29">
        <v>12.071899999999999</v>
      </c>
      <c r="Y14" s="43">
        <f t="shared" si="39"/>
        <v>-0.60000000000037801</v>
      </c>
      <c r="Z14" s="44">
        <f t="shared" si="40"/>
        <v>-1.70000000000137</v>
      </c>
      <c r="AA14" s="45">
        <f t="shared" si="41"/>
        <v>-0.60000000000037801</v>
      </c>
      <c r="AB14" s="49">
        <v>8.6044999999999998</v>
      </c>
      <c r="AC14" s="43">
        <f t="shared" si="42"/>
        <v>-0.29999999999930099</v>
      </c>
      <c r="AD14" s="44">
        <f t="shared" si="43"/>
        <v>-1.59999999999982</v>
      </c>
      <c r="AE14" s="45">
        <f t="shared" si="44"/>
        <v>-0.29999999999930099</v>
      </c>
      <c r="AF14" s="50">
        <v>79816</v>
      </c>
      <c r="AG14" s="58">
        <f t="shared" si="45"/>
        <v>31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44704</v>
      </c>
      <c r="B15" s="22">
        <v>791.46479999999997</v>
      </c>
      <c r="C15" s="27">
        <v>6.1036000000000001</v>
      </c>
      <c r="D15" s="23">
        <f t="shared" si="23"/>
        <v>797.5684</v>
      </c>
      <c r="E15" s="24">
        <f t="shared" si="24"/>
        <v>-0.199999999949796</v>
      </c>
      <c r="F15" s="25">
        <f t="shared" si="25"/>
        <v>-1.8999999999778101</v>
      </c>
      <c r="G15" s="26">
        <f t="shared" si="26"/>
        <v>-0.199999999949796</v>
      </c>
      <c r="H15" s="6">
        <v>7.2816000000000001</v>
      </c>
      <c r="I15" s="35">
        <f t="shared" si="27"/>
        <v>798.74639999999999</v>
      </c>
      <c r="J15" s="24">
        <f t="shared" si="28"/>
        <v>-9.9999999974897905E-2</v>
      </c>
      <c r="K15" s="25">
        <f t="shared" si="29"/>
        <v>-1.70000000002801</v>
      </c>
      <c r="L15" s="26">
        <f t="shared" si="30"/>
        <v>-9.9999999974897905E-2</v>
      </c>
      <c r="M15" s="6">
        <v>6.5122</v>
      </c>
      <c r="N15" s="35">
        <f t="shared" si="31"/>
        <v>797.97699999999998</v>
      </c>
      <c r="O15" s="24">
        <f t="shared" si="32"/>
        <v>-0.30000000003838101</v>
      </c>
      <c r="P15" s="25">
        <f t="shared" si="33"/>
        <v>-1.9999999999527101</v>
      </c>
      <c r="Q15" s="26">
        <f t="shared" si="34"/>
        <v>-0.30000000003838101</v>
      </c>
      <c r="R15" s="41"/>
      <c r="S15" s="21">
        <f t="shared" si="35"/>
        <v>44704</v>
      </c>
      <c r="T15" s="42">
        <v>9.6552000000000007</v>
      </c>
      <c r="U15" s="43">
        <f t="shared" si="36"/>
        <v>-0.19999999999953399</v>
      </c>
      <c r="V15" s="44">
        <f t="shared" si="37"/>
        <v>-1.6999999999995901</v>
      </c>
      <c r="W15" s="45">
        <f t="shared" si="38"/>
        <v>0.19999999999953399</v>
      </c>
      <c r="X15" s="29">
        <v>12.071999999999999</v>
      </c>
      <c r="Y15" s="43">
        <f t="shared" si="39"/>
        <v>9.99999999997669E-2</v>
      </c>
      <c r="Z15" s="44">
        <f t="shared" si="40"/>
        <v>-1.6000000000015999</v>
      </c>
      <c r="AA15" s="45">
        <f t="shared" si="41"/>
        <v>9.99999999997669E-2</v>
      </c>
      <c r="AB15" s="49">
        <v>8.6045999999999996</v>
      </c>
      <c r="AC15" s="43">
        <f t="shared" si="42"/>
        <v>9.99999999997669E-2</v>
      </c>
      <c r="AD15" s="44">
        <f t="shared" si="43"/>
        <v>-1.50000000000006</v>
      </c>
      <c r="AE15" s="45">
        <f t="shared" si="44"/>
        <v>9.99999999997669E-2</v>
      </c>
      <c r="AF15" s="50">
        <v>79819</v>
      </c>
      <c r="AG15" s="58">
        <f t="shared" si="45"/>
        <v>34</v>
      </c>
      <c r="AH15" s="61"/>
      <c r="AI15" s="60"/>
      <c r="AJ15"/>
      <c r="AK15"/>
      <c r="AL15"/>
      <c r="AM15"/>
    </row>
    <row r="16" spans="1:48">
      <c r="A16" s="21">
        <v>44705</v>
      </c>
      <c r="B16" s="22">
        <v>791.46479999999997</v>
      </c>
      <c r="C16" s="27">
        <v>6.1040000000000001</v>
      </c>
      <c r="D16" s="23">
        <f t="shared" si="23"/>
        <v>797.56880000000001</v>
      </c>
      <c r="E16" s="24">
        <f t="shared" si="24"/>
        <v>0.40000000001327901</v>
      </c>
      <c r="F16" s="25">
        <f t="shared" si="25"/>
        <v>-1.4999999999645299</v>
      </c>
      <c r="G16" s="26">
        <f t="shared" si="26"/>
        <v>0.40000000001327901</v>
      </c>
      <c r="H16" s="6">
        <v>7.2812999999999999</v>
      </c>
      <c r="I16" s="35">
        <f t="shared" si="27"/>
        <v>798.74609999999996</v>
      </c>
      <c r="J16" s="24">
        <f t="shared" si="28"/>
        <v>-0.30000000003838101</v>
      </c>
      <c r="K16" s="25">
        <f t="shared" si="29"/>
        <v>-2.00000000006639</v>
      </c>
      <c r="L16" s="26">
        <f t="shared" si="30"/>
        <v>-0.30000000003838101</v>
      </c>
      <c r="M16" s="6">
        <v>6.5119999999999996</v>
      </c>
      <c r="N16" s="35">
        <f t="shared" si="31"/>
        <v>797.97680000000003</v>
      </c>
      <c r="O16" s="24">
        <f t="shared" si="32"/>
        <v>-0.20000000006348301</v>
      </c>
      <c r="P16" s="25">
        <f t="shared" si="33"/>
        <v>-2.2000000000161899</v>
      </c>
      <c r="Q16" s="26">
        <f t="shared" si="34"/>
        <v>-0.20000000006348301</v>
      </c>
      <c r="R16" s="41"/>
      <c r="S16" s="21">
        <f t="shared" si="35"/>
        <v>44705</v>
      </c>
      <c r="T16" s="42">
        <v>9.6555</v>
      </c>
      <c r="U16" s="43">
        <f t="shared" si="36"/>
        <v>0.29999999999930099</v>
      </c>
      <c r="V16" s="44">
        <f t="shared" si="37"/>
        <v>-1.4000000000002899</v>
      </c>
      <c r="W16" s="45">
        <f t="shared" si="38"/>
        <v>-0.29999999999930099</v>
      </c>
      <c r="X16" s="29">
        <v>12.0715</v>
      </c>
      <c r="Y16" s="43">
        <f t="shared" si="39"/>
        <v>-0.49999999999883499</v>
      </c>
      <c r="Z16" s="44">
        <f t="shared" si="40"/>
        <v>-2.10000000000043</v>
      </c>
      <c r="AA16" s="45">
        <f t="shared" si="41"/>
        <v>-0.49999999999883499</v>
      </c>
      <c r="AB16" s="49">
        <v>8.6044</v>
      </c>
      <c r="AC16" s="43">
        <f t="shared" si="42"/>
        <v>-0.19999999999953399</v>
      </c>
      <c r="AD16" s="44">
        <f t="shared" si="43"/>
        <v>-1.6999999999995901</v>
      </c>
      <c r="AE16" s="45">
        <f t="shared" si="44"/>
        <v>-0.19999999999953399</v>
      </c>
      <c r="AF16" s="50">
        <v>79822</v>
      </c>
      <c r="AG16" s="58">
        <f t="shared" si="45"/>
        <v>37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44706</v>
      </c>
      <c r="B17" s="22">
        <v>791.46479999999997</v>
      </c>
      <c r="C17" s="27">
        <v>6.1032000000000002</v>
      </c>
      <c r="D17" s="23">
        <f t="shared" si="23"/>
        <v>797.56799999999998</v>
      </c>
      <c r="E17" s="24">
        <f t="shared" si="24"/>
        <v>-0.80000000002655702</v>
      </c>
      <c r="F17" s="25">
        <f t="shared" si="25"/>
        <v>-2.2999999999910901</v>
      </c>
      <c r="G17" s="26">
        <f t="shared" si="26"/>
        <v>-0.80000000002655702</v>
      </c>
      <c r="H17" s="6">
        <v>7.2813999999999997</v>
      </c>
      <c r="I17" s="35">
        <f t="shared" si="27"/>
        <v>798.74620000000004</v>
      </c>
      <c r="J17" s="24">
        <f t="shared" si="28"/>
        <v>9.9999999974897905E-2</v>
      </c>
      <c r="K17" s="25">
        <f t="shared" si="29"/>
        <v>-1.9000000000915001</v>
      </c>
      <c r="L17" s="26">
        <f t="shared" si="30"/>
        <v>9.9999999974897905E-2</v>
      </c>
      <c r="M17" s="6">
        <v>6.5118</v>
      </c>
      <c r="N17" s="35">
        <f t="shared" si="31"/>
        <v>797.97659999999996</v>
      </c>
      <c r="O17" s="24">
        <f t="shared" si="32"/>
        <v>-0.199999999949796</v>
      </c>
      <c r="P17" s="25">
        <f t="shared" si="33"/>
        <v>-2.39999999996598</v>
      </c>
      <c r="Q17" s="26">
        <f t="shared" si="34"/>
        <v>-0.199999999949796</v>
      </c>
      <c r="R17" s="41"/>
      <c r="S17" s="21">
        <f t="shared" si="35"/>
        <v>44706</v>
      </c>
      <c r="T17" s="42">
        <v>9.6547999999999892</v>
      </c>
      <c r="U17" s="43">
        <f t="shared" si="36"/>
        <v>-0.70000000001080298</v>
      </c>
      <c r="V17" s="44">
        <f t="shared" si="37"/>
        <v>-2.1000000000110899</v>
      </c>
      <c r="W17" s="45">
        <f t="shared" si="38"/>
        <v>0.70000000001080298</v>
      </c>
      <c r="X17" s="29">
        <v>12.071300000000001</v>
      </c>
      <c r="Y17" s="43">
        <f t="shared" si="39"/>
        <v>-0.19999999999953399</v>
      </c>
      <c r="Z17" s="44">
        <f t="shared" si="40"/>
        <v>-2.2999999999999701</v>
      </c>
      <c r="AA17" s="45">
        <f t="shared" si="41"/>
        <v>-0.19999999999953399</v>
      </c>
      <c r="AB17" s="49">
        <v>8.6042000000000005</v>
      </c>
      <c r="AC17" s="43">
        <f t="shared" si="42"/>
        <v>-0.19999999999953399</v>
      </c>
      <c r="AD17" s="44">
        <f t="shared" si="43"/>
        <v>-1.8999999999991199</v>
      </c>
      <c r="AE17" s="45">
        <f t="shared" si="44"/>
        <v>-0.19999999999953399</v>
      </c>
      <c r="AF17" s="50">
        <v>79825</v>
      </c>
      <c r="AG17" s="58">
        <f t="shared" si="45"/>
        <v>40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44707</v>
      </c>
      <c r="B18" s="22">
        <v>791.46479999999997</v>
      </c>
      <c r="C18" s="27">
        <v>6.1029999999999998</v>
      </c>
      <c r="D18" s="23">
        <f t="shared" si="23"/>
        <v>797.56780000000003</v>
      </c>
      <c r="E18" s="24">
        <f t="shared" si="24"/>
        <v>-0.20000000006348301</v>
      </c>
      <c r="F18" s="25">
        <f t="shared" si="25"/>
        <v>-2.5000000000545701</v>
      </c>
      <c r="G18" s="26">
        <f t="shared" si="26"/>
        <v>-0.20000000006348301</v>
      </c>
      <c r="H18" s="6">
        <v>7.2812999999999999</v>
      </c>
      <c r="I18" s="35">
        <f t="shared" si="27"/>
        <v>798.74609999999996</v>
      </c>
      <c r="J18" s="24">
        <f t="shared" si="28"/>
        <v>-9.9999999974897905E-2</v>
      </c>
      <c r="K18" s="25">
        <f t="shared" si="29"/>
        <v>-2.00000000006639</v>
      </c>
      <c r="L18" s="26">
        <f t="shared" si="30"/>
        <v>-9.9999999974897905E-2</v>
      </c>
      <c r="M18" s="6">
        <v>6.5122999999999998</v>
      </c>
      <c r="N18" s="35">
        <f t="shared" si="31"/>
        <v>797.97709999999995</v>
      </c>
      <c r="O18" s="24">
        <f t="shared" si="32"/>
        <v>0.49999999998817701</v>
      </c>
      <c r="P18" s="25">
        <f t="shared" si="33"/>
        <v>-1.8999999999778101</v>
      </c>
      <c r="Q18" s="26">
        <f t="shared" si="34"/>
        <v>0.49999999998817701</v>
      </c>
      <c r="R18" s="41"/>
      <c r="S18" s="21">
        <f t="shared" si="35"/>
        <v>44707</v>
      </c>
      <c r="T18" s="42">
        <v>9.6545999999999896</v>
      </c>
      <c r="U18" s="43">
        <f t="shared" si="36"/>
        <v>-0.19999999999953399</v>
      </c>
      <c r="V18" s="44">
        <f t="shared" si="37"/>
        <v>-2.30000000001063</v>
      </c>
      <c r="W18" s="45">
        <f t="shared" si="38"/>
        <v>0.19999999999953399</v>
      </c>
      <c r="X18" s="29">
        <v>12.0715</v>
      </c>
      <c r="Y18" s="43">
        <f t="shared" si="39"/>
        <v>0.19999999999953399</v>
      </c>
      <c r="Z18" s="44">
        <f t="shared" si="40"/>
        <v>-2.10000000000043</v>
      </c>
      <c r="AA18" s="45">
        <f t="shared" si="41"/>
        <v>0.19999999999953399</v>
      </c>
      <c r="AB18" s="49">
        <v>8.6043000000000003</v>
      </c>
      <c r="AC18" s="43">
        <f t="shared" si="42"/>
        <v>9.99999999997669E-2</v>
      </c>
      <c r="AD18" s="44">
        <f t="shared" si="43"/>
        <v>-1.7999999999993599</v>
      </c>
      <c r="AE18" s="45">
        <f t="shared" si="44"/>
        <v>9.99999999997669E-2</v>
      </c>
      <c r="AF18" s="50">
        <v>79828</v>
      </c>
      <c r="AG18" s="58">
        <f t="shared" si="45"/>
        <v>43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44708</v>
      </c>
      <c r="B19" s="22">
        <v>791.46479999999997</v>
      </c>
      <c r="C19" s="27">
        <v>6.1035000000000004</v>
      </c>
      <c r="D19" s="23">
        <f t="shared" si="23"/>
        <v>797.56830000000002</v>
      </c>
      <c r="E19" s="24">
        <f t="shared" si="24"/>
        <v>0.50000000010186296</v>
      </c>
      <c r="F19" s="25">
        <f t="shared" si="25"/>
        <v>-1.9999999999527101</v>
      </c>
      <c r="G19" s="26">
        <f t="shared" si="26"/>
        <v>0.50000000010186296</v>
      </c>
      <c r="H19" s="6">
        <v>7.2809999999999997</v>
      </c>
      <c r="I19" s="35">
        <f t="shared" si="27"/>
        <v>798.74580000000003</v>
      </c>
      <c r="J19" s="24">
        <f t="shared" si="28"/>
        <v>-0.30000000003838101</v>
      </c>
      <c r="K19" s="25">
        <f t="shared" si="29"/>
        <v>-2.3000000001047698</v>
      </c>
      <c r="L19" s="26">
        <f t="shared" si="30"/>
        <v>-0.30000000003838101</v>
      </c>
      <c r="M19" s="6">
        <v>6.5114000000000001</v>
      </c>
      <c r="N19" s="35">
        <f t="shared" si="31"/>
        <v>797.97619999999995</v>
      </c>
      <c r="O19" s="24">
        <f t="shared" si="32"/>
        <v>-0.90000000000145497</v>
      </c>
      <c r="P19" s="25">
        <f t="shared" si="33"/>
        <v>-2.79999999997926</v>
      </c>
      <c r="Q19" s="26">
        <f t="shared" si="34"/>
        <v>-0.90000000000145497</v>
      </c>
      <c r="R19" s="41"/>
      <c r="S19" s="21">
        <f t="shared" si="35"/>
        <v>44708</v>
      </c>
      <c r="T19" s="42">
        <v>9.6546000000000003</v>
      </c>
      <c r="U19" s="43">
        <f t="shared" si="36"/>
        <v>1.06581410364015E-11</v>
      </c>
      <c r="V19" s="44">
        <f t="shared" si="37"/>
        <v>-2.2999999999999701</v>
      </c>
      <c r="W19" s="45">
        <f t="shared" si="38"/>
        <v>-1.06581410364015E-11</v>
      </c>
      <c r="X19" s="29">
        <v>12.0709</v>
      </c>
      <c r="Y19" s="43">
        <f t="shared" si="39"/>
        <v>-0.60000000000037801</v>
      </c>
      <c r="Z19" s="44">
        <f t="shared" si="40"/>
        <v>-2.7000000000008102</v>
      </c>
      <c r="AA19" s="45">
        <f t="shared" si="41"/>
        <v>-0.60000000000037801</v>
      </c>
      <c r="AB19" s="49">
        <v>8.6037999999999997</v>
      </c>
      <c r="AC19" s="43">
        <f t="shared" si="42"/>
        <v>-0.50000000000061096</v>
      </c>
      <c r="AD19" s="44">
        <f t="shared" si="43"/>
        <v>-2.2999999999999701</v>
      </c>
      <c r="AE19" s="45">
        <f t="shared" si="44"/>
        <v>-0.50000000000061096</v>
      </c>
      <c r="AF19" s="50">
        <v>79831</v>
      </c>
      <c r="AG19" s="58">
        <f t="shared" si="45"/>
        <v>46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44709</v>
      </c>
      <c r="B20" s="22">
        <v>791.46479999999997</v>
      </c>
      <c r="C20" s="27">
        <v>6.1025999999999998</v>
      </c>
      <c r="D20" s="23">
        <f t="shared" si="23"/>
        <v>797.56740000000002</v>
      </c>
      <c r="E20" s="24">
        <f t="shared" si="24"/>
        <v>-0.90000000000145497</v>
      </c>
      <c r="F20" s="25">
        <f t="shared" si="25"/>
        <v>-2.8999999999541601</v>
      </c>
      <c r="G20" s="26">
        <f t="shared" si="26"/>
        <v>-0.90000000000145497</v>
      </c>
      <c r="H20" s="6">
        <v>7.2811000000000003</v>
      </c>
      <c r="I20" s="35">
        <f t="shared" si="27"/>
        <v>798.74590000000001</v>
      </c>
      <c r="J20" s="24">
        <f t="shared" si="28"/>
        <v>0.10000000008858501</v>
      </c>
      <c r="K20" s="25">
        <f t="shared" si="29"/>
        <v>-2.2000000000161899</v>
      </c>
      <c r="L20" s="26">
        <f t="shared" si="30"/>
        <v>0.10000000008858501</v>
      </c>
      <c r="M20" s="6">
        <v>6.5111999999999997</v>
      </c>
      <c r="N20" s="35">
        <f t="shared" si="31"/>
        <v>797.976</v>
      </c>
      <c r="O20" s="24">
        <f t="shared" si="32"/>
        <v>-0.199999999949796</v>
      </c>
      <c r="P20" s="25">
        <f t="shared" si="33"/>
        <v>-2.9999999999290599</v>
      </c>
      <c r="Q20" s="26">
        <f t="shared" si="34"/>
        <v>-0.199999999949796</v>
      </c>
      <c r="R20" s="41"/>
      <c r="S20" s="21">
        <f t="shared" si="35"/>
        <v>44709</v>
      </c>
      <c r="T20" s="42">
        <v>9.6541999999999906</v>
      </c>
      <c r="U20" s="43">
        <f t="shared" si="36"/>
        <v>-0.40000000000972602</v>
      </c>
      <c r="V20" s="44">
        <f t="shared" si="37"/>
        <v>-2.7000000000096902</v>
      </c>
      <c r="W20" s="45">
        <f t="shared" si="38"/>
        <v>0.40000000000972602</v>
      </c>
      <c r="X20" s="29">
        <v>12.0707</v>
      </c>
      <c r="Y20" s="43">
        <f t="shared" si="39"/>
        <v>-0.19999999999953399</v>
      </c>
      <c r="Z20" s="44">
        <f t="shared" si="40"/>
        <v>-2.9000000000003499</v>
      </c>
      <c r="AA20" s="45">
        <f t="shared" si="41"/>
        <v>-0.19999999999953399</v>
      </c>
      <c r="AB20" s="49">
        <v>8.6036000000000001</v>
      </c>
      <c r="AC20" s="43">
        <f t="shared" si="42"/>
        <v>-0.19999999999953399</v>
      </c>
      <c r="AD20" s="44">
        <f t="shared" si="43"/>
        <v>-2.4999999999995</v>
      </c>
      <c r="AE20" s="45">
        <f t="shared" si="44"/>
        <v>-0.19999999999953399</v>
      </c>
      <c r="AF20" s="50">
        <v>79834</v>
      </c>
      <c r="AG20" s="58">
        <f t="shared" si="45"/>
        <v>49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44711</v>
      </c>
      <c r="B21" s="22">
        <v>791.46479999999997</v>
      </c>
      <c r="C21" s="27">
        <v>6.1024000000000003</v>
      </c>
      <c r="D21" s="23">
        <f t="shared" si="23"/>
        <v>797.56719999999996</v>
      </c>
      <c r="E21" s="24">
        <f t="shared" si="24"/>
        <v>-0.20000000006348301</v>
      </c>
      <c r="F21" s="25">
        <f t="shared" si="25"/>
        <v>-3.1000000000176402</v>
      </c>
      <c r="G21" s="26">
        <f t="shared" si="26"/>
        <v>-0.100000000031741</v>
      </c>
      <c r="H21" s="6">
        <v>7.2809999999999997</v>
      </c>
      <c r="I21" s="35">
        <f t="shared" si="27"/>
        <v>798.74580000000003</v>
      </c>
      <c r="J21" s="24">
        <f t="shared" si="28"/>
        <v>-0.10000000008858501</v>
      </c>
      <c r="K21" s="25">
        <f t="shared" si="29"/>
        <v>-2.3000000001047698</v>
      </c>
      <c r="L21" s="26">
        <f t="shared" si="30"/>
        <v>-5.0000000044292399E-2</v>
      </c>
      <c r="M21" s="6">
        <v>6.5110000000000001</v>
      </c>
      <c r="N21" s="35">
        <f t="shared" si="31"/>
        <v>797.97580000000005</v>
      </c>
      <c r="O21" s="24">
        <f t="shared" si="32"/>
        <v>-0.20000000006348301</v>
      </c>
      <c r="P21" s="25">
        <f t="shared" si="33"/>
        <v>-3.1999999999925399</v>
      </c>
      <c r="Q21" s="26">
        <f t="shared" si="34"/>
        <v>-0.100000000031741</v>
      </c>
      <c r="R21" s="41"/>
      <c r="S21" s="21">
        <f t="shared" si="35"/>
        <v>44711</v>
      </c>
      <c r="T21" s="42">
        <v>9.6539999999999893</v>
      </c>
      <c r="U21" s="43">
        <f t="shared" si="36"/>
        <v>-0.20000000000130999</v>
      </c>
      <c r="V21" s="44">
        <f t="shared" si="37"/>
        <v>-2.900000000011</v>
      </c>
      <c r="W21" s="45">
        <f t="shared" si="38"/>
        <v>0.100000000000655</v>
      </c>
      <c r="X21" s="29">
        <v>12.071</v>
      </c>
      <c r="Y21" s="43">
        <f t="shared" si="39"/>
        <v>0.29999999999930099</v>
      </c>
      <c r="Z21" s="44">
        <f t="shared" si="40"/>
        <v>-2.6000000000010499</v>
      </c>
      <c r="AA21" s="45">
        <f t="shared" si="41"/>
        <v>0.14999999999965</v>
      </c>
      <c r="AB21" s="49">
        <v>8.6039999999999992</v>
      </c>
      <c r="AC21" s="43">
        <f t="shared" si="42"/>
        <v>0.39999999999906799</v>
      </c>
      <c r="AD21" s="44">
        <f t="shared" si="43"/>
        <v>-2.10000000000043</v>
      </c>
      <c r="AE21" s="45">
        <f t="shared" si="44"/>
        <v>0.19999999999953399</v>
      </c>
      <c r="AF21" s="50">
        <v>79837</v>
      </c>
      <c r="AG21" s="58">
        <f t="shared" si="45"/>
        <v>52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44713</v>
      </c>
      <c r="B22" s="22">
        <v>791.46479999999997</v>
      </c>
      <c r="C22" s="27">
        <v>6.1029999999999998</v>
      </c>
      <c r="D22" s="23">
        <f t="shared" si="23"/>
        <v>797.56780000000003</v>
      </c>
      <c r="E22" s="24">
        <f t="shared" si="24"/>
        <v>0.59999999996307496</v>
      </c>
      <c r="F22" s="25">
        <f t="shared" si="25"/>
        <v>-2.5000000000545701</v>
      </c>
      <c r="G22" s="26">
        <f t="shared" si="26"/>
        <v>0.29999999998153698</v>
      </c>
      <c r="H22" s="6">
        <v>7.2811000000000003</v>
      </c>
      <c r="I22" s="35">
        <f t="shared" si="27"/>
        <v>798.74590000000001</v>
      </c>
      <c r="J22" s="24">
        <f t="shared" si="28"/>
        <v>0.10000000008858501</v>
      </c>
      <c r="K22" s="25">
        <f t="shared" si="29"/>
        <v>-2.2000000000161899</v>
      </c>
      <c r="L22" s="26">
        <f t="shared" si="30"/>
        <v>5.0000000044292399E-2</v>
      </c>
      <c r="M22" s="6">
        <v>6.5111999999999997</v>
      </c>
      <c r="N22" s="35">
        <f t="shared" si="31"/>
        <v>797.976</v>
      </c>
      <c r="O22" s="24">
        <f t="shared" si="32"/>
        <v>0.20000000006348301</v>
      </c>
      <c r="P22" s="25">
        <f t="shared" si="33"/>
        <v>-2.9999999999290599</v>
      </c>
      <c r="Q22" s="26">
        <f t="shared" si="34"/>
        <v>0.100000000031741</v>
      </c>
      <c r="R22" s="41"/>
      <c r="S22" s="21">
        <f t="shared" si="35"/>
        <v>44713</v>
      </c>
      <c r="T22" s="42">
        <v>9.6541999999999994</v>
      </c>
      <c r="U22" s="43">
        <f t="shared" si="36"/>
        <v>0.200000000010192</v>
      </c>
      <c r="V22" s="44">
        <f t="shared" si="37"/>
        <v>-2.7000000000008102</v>
      </c>
      <c r="W22" s="45">
        <f t="shared" si="38"/>
        <v>-0.100000000005096</v>
      </c>
      <c r="X22" s="29">
        <v>12.0703</v>
      </c>
      <c r="Y22" s="43">
        <f t="shared" si="39"/>
        <v>-0.70000000000014495</v>
      </c>
      <c r="Z22" s="44">
        <f t="shared" si="40"/>
        <v>-3.30000000000119</v>
      </c>
      <c r="AA22" s="45">
        <f t="shared" si="41"/>
        <v>-0.35000000000007198</v>
      </c>
      <c r="AB22" s="49">
        <v>8.6031999999999993</v>
      </c>
      <c r="AC22" s="43">
        <f t="shared" si="42"/>
        <v>-0.799999999999912</v>
      </c>
      <c r="AD22" s="44">
        <f t="shared" si="43"/>
        <v>-2.9000000000003499</v>
      </c>
      <c r="AE22" s="45">
        <f t="shared" si="44"/>
        <v>-0.399999999999956</v>
      </c>
      <c r="AF22" s="50">
        <v>79840</v>
      </c>
      <c r="AG22" s="58">
        <f t="shared" si="45"/>
        <v>55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44715</v>
      </c>
      <c r="B23" s="22">
        <v>791.46479999999997</v>
      </c>
      <c r="C23" s="27">
        <v>6.1019999999999897</v>
      </c>
      <c r="D23" s="23">
        <f t="shared" si="23"/>
        <v>797.56679999999994</v>
      </c>
      <c r="E23" s="24">
        <f t="shared" si="24"/>
        <v>-0.99999999997635303</v>
      </c>
      <c r="F23" s="25">
        <f t="shared" si="25"/>
        <v>-3.5000000000309202</v>
      </c>
      <c r="G23" s="26">
        <f t="shared" si="26"/>
        <v>-0.49999999998817701</v>
      </c>
      <c r="H23" s="6">
        <v>7.2808000000000002</v>
      </c>
      <c r="I23" s="35">
        <f t="shared" si="27"/>
        <v>798.74559999999997</v>
      </c>
      <c r="J23" s="24">
        <f t="shared" si="28"/>
        <v>-0.30000000003838101</v>
      </c>
      <c r="K23" s="25">
        <f t="shared" si="29"/>
        <v>-2.5000000000545701</v>
      </c>
      <c r="L23" s="26">
        <f t="shared" si="30"/>
        <v>-0.15000000001919001</v>
      </c>
      <c r="M23" s="6">
        <v>6.5106000000000099</v>
      </c>
      <c r="N23" s="35">
        <f t="shared" si="31"/>
        <v>797.97540000000004</v>
      </c>
      <c r="O23" s="24">
        <f t="shared" si="32"/>
        <v>-0.60000000007676102</v>
      </c>
      <c r="P23" s="25">
        <f t="shared" si="33"/>
        <v>-3.6000000000058199</v>
      </c>
      <c r="Q23" s="26">
        <f t="shared" si="34"/>
        <v>-0.30000000003838101</v>
      </c>
      <c r="R23" s="41"/>
      <c r="S23" s="21">
        <f t="shared" si="35"/>
        <v>44715</v>
      </c>
      <c r="T23" s="42">
        <v>9.6535999999999795</v>
      </c>
      <c r="U23" s="43">
        <f t="shared" si="36"/>
        <v>-0.60000000001991804</v>
      </c>
      <c r="V23" s="44">
        <f t="shared" si="37"/>
        <v>-3.3000000000207299</v>
      </c>
      <c r="W23" s="45">
        <f t="shared" si="38"/>
        <v>0.30000000000995902</v>
      </c>
      <c r="X23" s="29">
        <v>12.0701</v>
      </c>
      <c r="Y23" s="43">
        <f t="shared" si="39"/>
        <v>-0.19999999999953399</v>
      </c>
      <c r="Z23" s="44">
        <f t="shared" si="40"/>
        <v>-3.5000000000007199</v>
      </c>
      <c r="AA23" s="45">
        <f t="shared" si="41"/>
        <v>-9.99999999997669E-2</v>
      </c>
      <c r="AB23" s="49">
        <v>8.6029999999999998</v>
      </c>
      <c r="AC23" s="43">
        <f t="shared" si="42"/>
        <v>-0.19999999999953399</v>
      </c>
      <c r="AD23" s="44">
        <f t="shared" si="43"/>
        <v>-3.0999999999998802</v>
      </c>
      <c r="AE23" s="45">
        <f t="shared" si="44"/>
        <v>-9.99999999997669E-2</v>
      </c>
      <c r="AF23" s="50">
        <v>79843</v>
      </c>
      <c r="AG23" s="58">
        <f t="shared" si="45"/>
        <v>58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44717</v>
      </c>
      <c r="B24" s="22">
        <v>791.46479999999997</v>
      </c>
      <c r="C24" s="27">
        <v>6.1022999999999996</v>
      </c>
      <c r="D24" s="23">
        <f t="shared" si="23"/>
        <v>797.56709999999998</v>
      </c>
      <c r="E24" s="24">
        <f t="shared" si="24"/>
        <v>0.30000000003838101</v>
      </c>
      <c r="F24" s="25">
        <f t="shared" si="25"/>
        <v>-3.1999999999925399</v>
      </c>
      <c r="G24" s="26">
        <f t="shared" si="26"/>
        <v>0.15000000001919001</v>
      </c>
      <c r="H24" s="6">
        <v>7.2807000000000004</v>
      </c>
      <c r="I24" s="35">
        <f t="shared" si="27"/>
        <v>798.74549999999999</v>
      </c>
      <c r="J24" s="24">
        <f t="shared" si="28"/>
        <v>-9.9999999974897905E-2</v>
      </c>
      <c r="K24" s="25">
        <f t="shared" si="29"/>
        <v>-2.6000000000294698</v>
      </c>
      <c r="L24" s="26">
        <f t="shared" si="30"/>
        <v>-4.9999999987449001E-2</v>
      </c>
      <c r="M24" s="6">
        <v>6.5106999999999999</v>
      </c>
      <c r="N24" s="35">
        <f t="shared" si="31"/>
        <v>797.97550000000001</v>
      </c>
      <c r="O24" s="24">
        <f t="shared" si="32"/>
        <v>0.10000000008858501</v>
      </c>
      <c r="P24" s="25">
        <f t="shared" si="33"/>
        <v>-3.49999999991724</v>
      </c>
      <c r="Q24" s="26">
        <f t="shared" si="34"/>
        <v>5.0000000044292399E-2</v>
      </c>
      <c r="R24" s="41"/>
      <c r="S24" s="21">
        <f t="shared" si="35"/>
        <v>44717</v>
      </c>
      <c r="T24" s="42">
        <v>9.6539999999999999</v>
      </c>
      <c r="U24" s="43">
        <f t="shared" si="36"/>
        <v>0.40000000002038399</v>
      </c>
      <c r="V24" s="44">
        <f t="shared" si="37"/>
        <v>-2.9000000000003499</v>
      </c>
      <c r="W24" s="45">
        <f t="shared" si="38"/>
        <v>-0.200000000010192</v>
      </c>
      <c r="X24" s="29">
        <v>12.0703</v>
      </c>
      <c r="Y24" s="43">
        <f t="shared" si="39"/>
        <v>0.19999999999953399</v>
      </c>
      <c r="Z24" s="44">
        <f t="shared" si="40"/>
        <v>-3.30000000000119</v>
      </c>
      <c r="AA24" s="45">
        <f t="shared" si="41"/>
        <v>9.99999999997669E-2</v>
      </c>
      <c r="AB24" s="49">
        <v>8.6030999999999995</v>
      </c>
      <c r="AC24" s="43">
        <f t="shared" si="42"/>
        <v>9.99999999997669E-2</v>
      </c>
      <c r="AD24" s="44">
        <f t="shared" si="43"/>
        <v>-3.0000000000001101</v>
      </c>
      <c r="AE24" s="45">
        <f t="shared" si="44"/>
        <v>4.9999999999883499E-2</v>
      </c>
      <c r="AF24" s="50">
        <v>79846</v>
      </c>
      <c r="AG24" s="58">
        <f t="shared" si="45"/>
        <v>61</v>
      </c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F24-F12</f>
        <v>-1.8999999999778101</v>
      </c>
      <c r="F25" s="33">
        <f>K24-K12</f>
        <v>-1.1999999999261499</v>
      </c>
      <c r="G25" s="33">
        <f>P24-P12</f>
        <v>-2.0999999999275998</v>
      </c>
      <c r="H25" s="33">
        <f>F24</f>
        <v>-3.1999999999925399</v>
      </c>
      <c r="I25" s="66">
        <f>K24</f>
        <v>-2.6000000000294698</v>
      </c>
      <c r="J25" s="65">
        <f>P24</f>
        <v>-3.49999999991724</v>
      </c>
      <c r="K25" s="33">
        <f>(K24-K12)/16</f>
        <v>-7.4999999995384301E-2</v>
      </c>
      <c r="L25" s="26"/>
      <c r="N25" s="35"/>
      <c r="O25" s="24"/>
      <c r="P25" s="25"/>
      <c r="Q25" s="26"/>
      <c r="R25" s="41"/>
      <c r="S25" s="21"/>
      <c r="T25" s="42"/>
      <c r="U25" s="65">
        <f>V24-V12</f>
        <v>-1.7999999999993599</v>
      </c>
      <c r="V25" s="33">
        <f>Z24-Z12</f>
        <v>-2.0000000000006701</v>
      </c>
      <c r="W25" s="33">
        <f>AD24-AD12</f>
        <v>-2.0000000000006701</v>
      </c>
      <c r="X25" s="33">
        <f>V24</f>
        <v>-2.9000000000003499</v>
      </c>
      <c r="Y25" s="65">
        <f>Z24</f>
        <v>-3.30000000000119</v>
      </c>
      <c r="Z25" s="33">
        <f>AD24</f>
        <v>-3.0000000000001101</v>
      </c>
      <c r="AA25" s="33">
        <f>(V24-V12)/16</f>
        <v>-0.11249999999995999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M25" workbookViewId="0">
      <selection activeCell="E26" sqref="E26:K26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44702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44702</v>
      </c>
      <c r="B6" s="22">
        <v>791.46479999999997</v>
      </c>
      <c r="C6" s="27">
        <v>5.9996999999999998</v>
      </c>
      <c r="D6" s="23">
        <f t="shared" ref="D6:D25" si="0">C6+B6</f>
        <v>797.46450000000004</v>
      </c>
      <c r="E6" s="24">
        <v>0</v>
      </c>
      <c r="F6" s="25">
        <v>0</v>
      </c>
      <c r="G6" s="26">
        <v>0</v>
      </c>
      <c r="H6" s="6">
        <v>7.1242999999999999</v>
      </c>
      <c r="I6" s="35">
        <f t="shared" ref="I6:I25" si="1">H6+B6</f>
        <v>798.58910000000003</v>
      </c>
      <c r="J6" s="24">
        <v>0</v>
      </c>
      <c r="K6" s="25">
        <v>0</v>
      </c>
      <c r="L6" s="26">
        <v>0</v>
      </c>
      <c r="M6" s="6">
        <v>6.0235000000000003</v>
      </c>
      <c r="N6" s="35">
        <f t="shared" ref="N6:N25" si="2">M6+B6</f>
        <v>797.48829999999998</v>
      </c>
      <c r="O6" s="24">
        <v>0</v>
      </c>
      <c r="P6" s="25">
        <v>0</v>
      </c>
      <c r="Q6" s="26">
        <v>0</v>
      </c>
      <c r="R6" s="41"/>
      <c r="S6" s="21">
        <f t="shared" ref="S6:S25" si="3">A6</f>
        <v>44702</v>
      </c>
      <c r="T6" s="42">
        <v>9.5109999999999992</v>
      </c>
      <c r="U6" s="43">
        <v>0</v>
      </c>
      <c r="V6" s="44">
        <v>0</v>
      </c>
      <c r="W6" s="45">
        <f>U6/(S6-S11)</f>
        <v>0</v>
      </c>
      <c r="X6" s="29">
        <v>12.139200000000001</v>
      </c>
      <c r="Y6" s="43">
        <v>0</v>
      </c>
      <c r="Z6" s="44">
        <v>0</v>
      </c>
      <c r="AA6" s="45">
        <v>0</v>
      </c>
      <c r="AB6" s="49">
        <v>8.9849999999999994</v>
      </c>
      <c r="AC6" s="43">
        <v>0</v>
      </c>
      <c r="AD6" s="44">
        <v>0</v>
      </c>
      <c r="AE6" s="45">
        <v>0</v>
      </c>
      <c r="AF6" s="50">
        <v>79825</v>
      </c>
      <c r="AG6" s="58">
        <f>AF6-79819</f>
        <v>6</v>
      </c>
      <c r="AH6" s="59"/>
      <c r="AI6" s="60"/>
      <c r="AJ6" s="61"/>
      <c r="AK6" s="62"/>
      <c r="AL6" s="52"/>
      <c r="AM6" s="52"/>
    </row>
    <row r="7" spans="1:48">
      <c r="A7" s="21">
        <v>44703</v>
      </c>
      <c r="B7" s="22">
        <v>791.46479999999997</v>
      </c>
      <c r="C7" s="27">
        <v>5.9996</v>
      </c>
      <c r="D7" s="23">
        <f t="shared" si="0"/>
        <v>797.46439999999996</v>
      </c>
      <c r="E7" s="24">
        <f t="shared" ref="E7:E25" si="4">(D7-D6)*1000</f>
        <v>-9.9999999974897905E-2</v>
      </c>
      <c r="F7" s="25">
        <f t="shared" ref="F7:F25" si="5">F6+E7</f>
        <v>-9.9999999974897905E-2</v>
      </c>
      <c r="G7" s="26">
        <f t="shared" ref="G7:G25" si="6">E7/(A7-A6)</f>
        <v>-9.9999999974897905E-2</v>
      </c>
      <c r="H7" s="6">
        <v>7.1239999999999997</v>
      </c>
      <c r="I7" s="35">
        <f t="shared" si="1"/>
        <v>798.58879999999999</v>
      </c>
      <c r="J7" s="24">
        <f t="shared" ref="J7:J25" si="7">(I7-I6)*1000</f>
        <v>-0.29999999992469401</v>
      </c>
      <c r="K7" s="25">
        <f t="shared" ref="K7:K25" si="8">K6+J7</f>
        <v>-0.29999999992469401</v>
      </c>
      <c r="L7" s="26">
        <f t="shared" ref="L7:L25" si="9">J7/(A7-A6)</f>
        <v>-0.29999999992469401</v>
      </c>
      <c r="M7" s="6">
        <v>6.0232999999999999</v>
      </c>
      <c r="N7" s="35">
        <f t="shared" si="2"/>
        <v>797.48810000000003</v>
      </c>
      <c r="O7" s="24">
        <f t="shared" ref="O7:O25" si="10">(N7-N6)*1000</f>
        <v>-0.20000000006348301</v>
      </c>
      <c r="P7" s="25">
        <f t="shared" ref="P7:P25" si="11">P6+O7</f>
        <v>-0.20000000006348301</v>
      </c>
      <c r="Q7" s="26">
        <f t="shared" ref="Q7:Q25" si="12">O7/(A7-A6)</f>
        <v>-0.20000000006348301</v>
      </c>
      <c r="R7" s="41"/>
      <c r="S7" s="21">
        <f t="shared" si="3"/>
        <v>44703</v>
      </c>
      <c r="T7" s="42">
        <v>9.5107999999999997</v>
      </c>
      <c r="U7" s="43">
        <f t="shared" ref="U7:U25" si="13">(T7-T6)*1000</f>
        <v>-0.19999999999953399</v>
      </c>
      <c r="V7" s="44">
        <f t="shared" ref="V7:V25" si="14">V6+U7</f>
        <v>-0.19999999999953399</v>
      </c>
      <c r="W7" s="45">
        <f t="shared" ref="W7:W25" si="15">U7/(S6-S7)</f>
        <v>0.19999999999953399</v>
      </c>
      <c r="X7" s="29">
        <v>12.138999999999999</v>
      </c>
      <c r="Y7" s="43">
        <f t="shared" ref="Y7:Y25" si="16">(X7-X6)*1000</f>
        <v>-0.20000000000130999</v>
      </c>
      <c r="Z7" s="44">
        <f t="shared" ref="Z7:Z25" si="17">Z6+Y7</f>
        <v>-0.20000000000130999</v>
      </c>
      <c r="AA7" s="45">
        <f t="shared" ref="AA7:AA25" si="18">Y7/(S7-S6)</f>
        <v>-0.20000000000130999</v>
      </c>
      <c r="AB7" s="49">
        <v>8.9855</v>
      </c>
      <c r="AC7" s="43">
        <f t="shared" ref="AC7:AC25" si="19">(AB7-AB6)*1000</f>
        <v>0.50000000000061096</v>
      </c>
      <c r="AD7" s="44">
        <f t="shared" ref="AD7:AD25" si="20">AD6+AC7</f>
        <v>0.50000000000061096</v>
      </c>
      <c r="AE7" s="45">
        <f t="shared" ref="AE7:AE25" si="21">AC7/(S7-S6)</f>
        <v>0.50000000000061096</v>
      </c>
      <c r="AF7" s="50">
        <v>79831</v>
      </c>
      <c r="AG7" s="58">
        <f t="shared" ref="AG7:AG25" si="22">AF7-79819</f>
        <v>12</v>
      </c>
      <c r="AH7" s="59"/>
      <c r="AI7" s="60"/>
      <c r="AJ7" s="61"/>
      <c r="AK7" s="62"/>
      <c r="AL7" s="52"/>
      <c r="AM7" s="52"/>
    </row>
    <row r="8" spans="1:48">
      <c r="A8" s="21">
        <v>44704</v>
      </c>
      <c r="B8" s="22">
        <v>791.46479999999997</v>
      </c>
      <c r="C8" s="27">
        <v>5.9993999999999996</v>
      </c>
      <c r="D8" s="23">
        <f t="shared" si="0"/>
        <v>797.46420000000001</v>
      </c>
      <c r="E8" s="24">
        <f t="shared" si="4"/>
        <v>-0.199999999949796</v>
      </c>
      <c r="F8" s="25">
        <f t="shared" si="5"/>
        <v>-0.29999999992469401</v>
      </c>
      <c r="G8" s="26">
        <f t="shared" si="6"/>
        <v>-0.199999999949796</v>
      </c>
      <c r="H8" s="6">
        <v>7.1238000000000001</v>
      </c>
      <c r="I8" s="35">
        <f t="shared" si="1"/>
        <v>798.58860000000004</v>
      </c>
      <c r="J8" s="24">
        <f t="shared" si="7"/>
        <v>-0.20000000006348301</v>
      </c>
      <c r="K8" s="25">
        <f t="shared" si="8"/>
        <v>-0.49999999998817701</v>
      </c>
      <c r="L8" s="26">
        <f t="shared" si="9"/>
        <v>-0.20000000006348301</v>
      </c>
      <c r="M8" s="6">
        <v>6.0235000000000003</v>
      </c>
      <c r="N8" s="35">
        <f t="shared" si="2"/>
        <v>797.48829999999998</v>
      </c>
      <c r="O8" s="24">
        <f t="shared" si="10"/>
        <v>0.20000000006348301</v>
      </c>
      <c r="P8" s="25">
        <f t="shared" si="11"/>
        <v>0</v>
      </c>
      <c r="Q8" s="26">
        <f t="shared" si="12"/>
        <v>0.20000000006348301</v>
      </c>
      <c r="R8" s="41"/>
      <c r="S8" s="21">
        <f t="shared" si="3"/>
        <v>44704</v>
      </c>
      <c r="T8" s="42">
        <v>9.5105000000000004</v>
      </c>
      <c r="U8" s="43">
        <f t="shared" si="13"/>
        <v>-0.29999999999930099</v>
      </c>
      <c r="V8" s="44">
        <f t="shared" si="14"/>
        <v>-0.49999999999883499</v>
      </c>
      <c r="W8" s="45">
        <f t="shared" si="15"/>
        <v>0.29999999999930099</v>
      </c>
      <c r="X8" s="29">
        <v>12.139200000000001</v>
      </c>
      <c r="Y8" s="43">
        <f t="shared" si="16"/>
        <v>0.20000000000130999</v>
      </c>
      <c r="Z8" s="44">
        <f t="shared" si="17"/>
        <v>0</v>
      </c>
      <c r="AA8" s="45">
        <f t="shared" si="18"/>
        <v>0.20000000000130999</v>
      </c>
      <c r="AB8" s="49">
        <v>8.9856999999999996</v>
      </c>
      <c r="AC8" s="43">
        <f t="shared" si="19"/>
        <v>0.19999999999953399</v>
      </c>
      <c r="AD8" s="44">
        <f t="shared" si="20"/>
        <v>0.70000000000014495</v>
      </c>
      <c r="AE8" s="45">
        <f t="shared" si="21"/>
        <v>0.19999999999953399</v>
      </c>
      <c r="AF8" s="50">
        <v>79837</v>
      </c>
      <c r="AG8" s="58">
        <f t="shared" si="22"/>
        <v>18</v>
      </c>
      <c r="AH8" s="59"/>
      <c r="AI8" s="60"/>
      <c r="AJ8" s="61"/>
      <c r="AK8" s="62"/>
      <c r="AL8" s="52"/>
      <c r="AM8" s="52"/>
    </row>
    <row r="9" spans="1:48">
      <c r="A9" s="21">
        <v>44705</v>
      </c>
      <c r="B9" s="22">
        <v>791.46479999999997</v>
      </c>
      <c r="C9" s="27">
        <v>5.9992000000000001</v>
      </c>
      <c r="D9" s="23">
        <f t="shared" si="0"/>
        <v>797.46400000000006</v>
      </c>
      <c r="E9" s="24">
        <f t="shared" si="4"/>
        <v>-0.20000000006348301</v>
      </c>
      <c r="F9" s="25">
        <f t="shared" si="5"/>
        <v>-0.49999999998817701</v>
      </c>
      <c r="G9" s="26">
        <f t="shared" si="6"/>
        <v>-0.20000000006348301</v>
      </c>
      <c r="H9" s="6">
        <v>7.1235999999999997</v>
      </c>
      <c r="I9" s="35">
        <f t="shared" si="1"/>
        <v>798.58839999999998</v>
      </c>
      <c r="J9" s="24">
        <f t="shared" si="7"/>
        <v>-0.199999999949796</v>
      </c>
      <c r="K9" s="25">
        <f t="shared" si="8"/>
        <v>-0.69999999993797202</v>
      </c>
      <c r="L9" s="26">
        <f t="shared" si="9"/>
        <v>-0.199999999949796</v>
      </c>
      <c r="M9" s="6">
        <v>6.0229999999999997</v>
      </c>
      <c r="N9" s="35">
        <f t="shared" si="2"/>
        <v>797.48779999999999</v>
      </c>
      <c r="O9" s="24">
        <f t="shared" si="10"/>
        <v>-0.49999999998817701</v>
      </c>
      <c r="P9" s="25">
        <f t="shared" si="11"/>
        <v>-0.49999999998817701</v>
      </c>
      <c r="Q9" s="26">
        <f t="shared" si="12"/>
        <v>-0.49999999998817701</v>
      </c>
      <c r="R9" s="41"/>
      <c r="S9" s="21">
        <f t="shared" si="3"/>
        <v>44705</v>
      </c>
      <c r="T9" s="42">
        <v>9.5101999999999993</v>
      </c>
      <c r="U9" s="43">
        <f t="shared" si="13"/>
        <v>-0.30000000000107702</v>
      </c>
      <c r="V9" s="44">
        <f t="shared" si="14"/>
        <v>-0.799999999999912</v>
      </c>
      <c r="W9" s="45">
        <f t="shared" si="15"/>
        <v>0.30000000000107702</v>
      </c>
      <c r="X9" s="29">
        <v>12.1386</v>
      </c>
      <c r="Y9" s="43">
        <f t="shared" si="16"/>
        <v>-0.60000000000037801</v>
      </c>
      <c r="Z9" s="44">
        <f t="shared" si="17"/>
        <v>-0.60000000000037801</v>
      </c>
      <c r="AA9" s="45">
        <f t="shared" si="18"/>
        <v>-0.60000000000037801</v>
      </c>
      <c r="AB9" s="49">
        <v>8.9852000000000007</v>
      </c>
      <c r="AC9" s="43">
        <f t="shared" si="19"/>
        <v>-0.49999999999883499</v>
      </c>
      <c r="AD9" s="44">
        <f t="shared" si="20"/>
        <v>0.20000000000130999</v>
      </c>
      <c r="AE9" s="45">
        <f t="shared" si="21"/>
        <v>-0.49999999999883499</v>
      </c>
      <c r="AF9" s="50">
        <v>79843</v>
      </c>
      <c r="AG9" s="58">
        <f t="shared" si="22"/>
        <v>24</v>
      </c>
      <c r="AH9" s="61"/>
      <c r="AI9" s="60"/>
      <c r="AJ9"/>
      <c r="AK9"/>
      <c r="AL9"/>
      <c r="AM9"/>
    </row>
    <row r="10" spans="1:48">
      <c r="A10" s="21">
        <v>44706</v>
      </c>
      <c r="B10" s="22">
        <v>791.46479999999997</v>
      </c>
      <c r="C10" s="27">
        <v>5.9995000000000003</v>
      </c>
      <c r="D10" s="23">
        <f t="shared" si="0"/>
        <v>797.46429999999998</v>
      </c>
      <c r="E10" s="24">
        <f t="shared" si="4"/>
        <v>0.30000000003838101</v>
      </c>
      <c r="F10" s="25">
        <f t="shared" si="5"/>
        <v>-0.199999999949796</v>
      </c>
      <c r="G10" s="26">
        <f t="shared" si="6"/>
        <v>0.30000000003838101</v>
      </c>
      <c r="H10" s="6">
        <v>7.1233000000000004</v>
      </c>
      <c r="I10" s="35">
        <f t="shared" si="1"/>
        <v>798.58810000000005</v>
      </c>
      <c r="J10" s="24">
        <f t="shared" si="7"/>
        <v>-0.30000000003838101</v>
      </c>
      <c r="K10" s="25">
        <f t="shared" si="8"/>
        <v>-0.99999999997635303</v>
      </c>
      <c r="L10" s="26">
        <f t="shared" si="9"/>
        <v>-0.30000000003838101</v>
      </c>
      <c r="M10" s="6">
        <v>6.0228000000000002</v>
      </c>
      <c r="N10" s="35">
        <f t="shared" si="2"/>
        <v>797.48760000000004</v>
      </c>
      <c r="O10" s="24">
        <f t="shared" si="10"/>
        <v>-0.20000000006348301</v>
      </c>
      <c r="P10" s="25">
        <f t="shared" si="11"/>
        <v>-0.70000000005165897</v>
      </c>
      <c r="Q10" s="26">
        <f t="shared" si="12"/>
        <v>-0.20000000006348301</v>
      </c>
      <c r="R10" s="41"/>
      <c r="S10" s="21">
        <f t="shared" si="3"/>
        <v>44706</v>
      </c>
      <c r="T10" s="42">
        <v>9.51</v>
      </c>
      <c r="U10" s="43">
        <f t="shared" si="13"/>
        <v>-0.19999999999953399</v>
      </c>
      <c r="V10" s="44">
        <f t="shared" si="14"/>
        <v>-0.999999999999446</v>
      </c>
      <c r="W10" s="45">
        <f t="shared" si="15"/>
        <v>0.19999999999953399</v>
      </c>
      <c r="X10" s="29">
        <v>12.138400000000001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8.9849999999999994</v>
      </c>
      <c r="AC10" s="43">
        <f t="shared" si="19"/>
        <v>-0.20000000000130999</v>
      </c>
      <c r="AD10" s="44">
        <f t="shared" si="20"/>
        <v>0</v>
      </c>
      <c r="AE10" s="45">
        <f t="shared" si="21"/>
        <v>-0.20000000000130999</v>
      </c>
      <c r="AF10" s="50">
        <v>79849</v>
      </c>
      <c r="AG10" s="58">
        <f t="shared" si="22"/>
        <v>30</v>
      </c>
      <c r="AH10" s="59"/>
      <c r="AI10" s="60"/>
      <c r="AJ10" s="61"/>
      <c r="AK10" s="62"/>
      <c r="AL10" s="52"/>
      <c r="AM10" s="52"/>
    </row>
    <row r="11" spans="1:48">
      <c r="A11" s="21">
        <v>44707</v>
      </c>
      <c r="B11" s="22">
        <v>791.46479999999997</v>
      </c>
      <c r="C11" s="27">
        <v>5.9988000000000001</v>
      </c>
      <c r="D11" s="23">
        <f t="shared" si="0"/>
        <v>797.46360000000004</v>
      </c>
      <c r="E11" s="24">
        <f t="shared" si="4"/>
        <v>-0.70000000005165897</v>
      </c>
      <c r="F11" s="25">
        <f t="shared" si="5"/>
        <v>-0.90000000000145497</v>
      </c>
      <c r="G11" s="26">
        <f t="shared" si="6"/>
        <v>-0.70000000005165897</v>
      </c>
      <c r="H11" s="6">
        <v>7.1231999999999998</v>
      </c>
      <c r="I11" s="35">
        <f t="shared" si="1"/>
        <v>798.58799999999997</v>
      </c>
      <c r="J11" s="24">
        <f t="shared" si="7"/>
        <v>-9.9999999974897905E-2</v>
      </c>
      <c r="K11" s="25">
        <f t="shared" si="8"/>
        <v>-1.09999999995125</v>
      </c>
      <c r="L11" s="26">
        <f t="shared" si="9"/>
        <v>-9.9999999974897905E-2</v>
      </c>
      <c r="M11" s="6">
        <v>6.0225</v>
      </c>
      <c r="N11" s="35">
        <f t="shared" si="2"/>
        <v>797.4873</v>
      </c>
      <c r="O11" s="24">
        <f t="shared" si="10"/>
        <v>-0.29999999992469401</v>
      </c>
      <c r="P11" s="25">
        <f t="shared" si="11"/>
        <v>-0.99999999997635303</v>
      </c>
      <c r="Q11" s="26">
        <f t="shared" si="12"/>
        <v>-0.29999999992469401</v>
      </c>
      <c r="R11" s="41"/>
      <c r="S11" s="21">
        <f t="shared" si="3"/>
        <v>44707</v>
      </c>
      <c r="T11" s="42">
        <v>9.5098000000000003</v>
      </c>
      <c r="U11" s="43">
        <f t="shared" si="13"/>
        <v>-0.19999999999953399</v>
      </c>
      <c r="V11" s="44">
        <f t="shared" si="14"/>
        <v>-1.1999999999989801</v>
      </c>
      <c r="W11" s="45">
        <f t="shared" si="15"/>
        <v>0.19999999999953399</v>
      </c>
      <c r="X11" s="29">
        <v>12.138999999999999</v>
      </c>
      <c r="Y11" s="43">
        <f t="shared" si="16"/>
        <v>0.59999999999860198</v>
      </c>
      <c r="Z11" s="44">
        <f t="shared" si="17"/>
        <v>-0.20000000000130999</v>
      </c>
      <c r="AA11" s="45">
        <f t="shared" si="18"/>
        <v>0.59999999999860198</v>
      </c>
      <c r="AB11" s="49">
        <v>8.9847999999999999</v>
      </c>
      <c r="AC11" s="43">
        <f t="shared" si="19"/>
        <v>-0.19999999999953399</v>
      </c>
      <c r="AD11" s="44">
        <f t="shared" si="20"/>
        <v>-0.19999999999953399</v>
      </c>
      <c r="AE11" s="45">
        <f t="shared" si="21"/>
        <v>-0.19999999999953399</v>
      </c>
      <c r="AF11" s="50">
        <v>79855</v>
      </c>
      <c r="AG11" s="58">
        <f t="shared" si="22"/>
        <v>36</v>
      </c>
      <c r="AH11" s="59"/>
      <c r="AI11" s="60"/>
      <c r="AJ11" s="52"/>
      <c r="AK11" s="52"/>
      <c r="AL11" s="52"/>
      <c r="AM11" s="52"/>
    </row>
    <row r="12" spans="1:48">
      <c r="A12" s="21">
        <v>44708</v>
      </c>
      <c r="B12" s="22">
        <v>791.46479999999997</v>
      </c>
      <c r="C12" s="27">
        <v>5.9985999999999997</v>
      </c>
      <c r="D12" s="23">
        <f t="shared" si="0"/>
        <v>797.46339999999998</v>
      </c>
      <c r="E12" s="24">
        <f t="shared" si="4"/>
        <v>-0.199999999949796</v>
      </c>
      <c r="F12" s="25">
        <f t="shared" si="5"/>
        <v>-1.09999999995125</v>
      </c>
      <c r="G12" s="26">
        <f t="shared" si="6"/>
        <v>-0.199999999949796</v>
      </c>
      <c r="H12" s="6">
        <v>7.1230000000000002</v>
      </c>
      <c r="I12" s="35">
        <f t="shared" si="1"/>
        <v>798.58780000000002</v>
      </c>
      <c r="J12" s="24">
        <f t="shared" si="7"/>
        <v>-0.199999999949796</v>
      </c>
      <c r="K12" s="25">
        <f t="shared" si="8"/>
        <v>-1.2999999999010501</v>
      </c>
      <c r="L12" s="26">
        <f t="shared" si="9"/>
        <v>-0.199999999949796</v>
      </c>
      <c r="M12" s="6">
        <v>6.0224000000000002</v>
      </c>
      <c r="N12" s="35">
        <f t="shared" si="2"/>
        <v>797.48720000000003</v>
      </c>
      <c r="O12" s="24">
        <f t="shared" si="10"/>
        <v>-0.10000000008858501</v>
      </c>
      <c r="P12" s="25">
        <f t="shared" si="11"/>
        <v>-1.1000000000649399</v>
      </c>
      <c r="Q12" s="26">
        <f t="shared" si="12"/>
        <v>-0.10000000008858501</v>
      </c>
      <c r="R12" s="41"/>
      <c r="S12" s="21">
        <f t="shared" si="3"/>
        <v>44708</v>
      </c>
      <c r="T12" s="42">
        <v>9.5097000000000005</v>
      </c>
      <c r="U12" s="43">
        <f t="shared" si="13"/>
        <v>-9.99999999997669E-2</v>
      </c>
      <c r="V12" s="44">
        <f t="shared" si="14"/>
        <v>-1.2999999999987499</v>
      </c>
      <c r="W12" s="45">
        <f t="shared" si="15"/>
        <v>9.99999999997669E-2</v>
      </c>
      <c r="X12" s="29">
        <v>12.138</v>
      </c>
      <c r="Y12" s="43">
        <f t="shared" si="16"/>
        <v>-0.999999999999446</v>
      </c>
      <c r="Z12" s="44">
        <f t="shared" si="17"/>
        <v>-1.20000000000076</v>
      </c>
      <c r="AA12" s="45">
        <f t="shared" si="18"/>
        <v>-0.999999999999446</v>
      </c>
      <c r="AB12" s="49">
        <v>8.9849999999999994</v>
      </c>
      <c r="AC12" s="43">
        <f t="shared" si="19"/>
        <v>0.19999999999953399</v>
      </c>
      <c r="AD12" s="44">
        <f t="shared" si="20"/>
        <v>0</v>
      </c>
      <c r="AE12" s="45">
        <f t="shared" si="21"/>
        <v>0.19999999999953399</v>
      </c>
      <c r="AF12" s="50">
        <v>79861</v>
      </c>
      <c r="AG12" s="58">
        <f t="shared" si="22"/>
        <v>42</v>
      </c>
      <c r="AH12" s="61"/>
      <c r="AI12" s="60"/>
      <c r="AJ12"/>
      <c r="AK12"/>
      <c r="AL12"/>
      <c r="AM12"/>
    </row>
    <row r="13" spans="1:48">
      <c r="A13" s="21">
        <v>44709</v>
      </c>
      <c r="B13" s="22">
        <v>791.46479999999997</v>
      </c>
      <c r="C13" s="27">
        <v>5.9989999999999997</v>
      </c>
      <c r="D13" s="23">
        <f t="shared" si="0"/>
        <v>797.46379999999999</v>
      </c>
      <c r="E13" s="24">
        <f t="shared" si="4"/>
        <v>0.40000000001327901</v>
      </c>
      <c r="F13" s="25">
        <f t="shared" si="5"/>
        <v>-0.69999999993797202</v>
      </c>
      <c r="G13" s="26">
        <f t="shared" si="6"/>
        <v>0.40000000001327901</v>
      </c>
      <c r="H13" s="6">
        <v>7.1230000000000002</v>
      </c>
      <c r="I13" s="35">
        <f t="shared" si="1"/>
        <v>798.58780000000002</v>
      </c>
      <c r="J13" s="24">
        <f t="shared" si="7"/>
        <v>0</v>
      </c>
      <c r="K13" s="25">
        <f t="shared" si="8"/>
        <v>-1.2999999999010501</v>
      </c>
      <c r="L13" s="26">
        <f t="shared" si="9"/>
        <v>0</v>
      </c>
      <c r="M13" s="6">
        <v>6.0221999999999998</v>
      </c>
      <c r="N13" s="35">
        <f t="shared" si="2"/>
        <v>797.48699999999997</v>
      </c>
      <c r="O13" s="24">
        <f t="shared" si="10"/>
        <v>-0.199999999949796</v>
      </c>
      <c r="P13" s="25">
        <f t="shared" si="11"/>
        <v>-1.30000000001473</v>
      </c>
      <c r="Q13" s="26">
        <f t="shared" si="12"/>
        <v>-0.199999999949796</v>
      </c>
      <c r="R13" s="41"/>
      <c r="S13" s="21">
        <f t="shared" si="3"/>
        <v>44709</v>
      </c>
      <c r="T13" s="42">
        <v>9.5093999999999994</v>
      </c>
      <c r="U13" s="43">
        <f t="shared" si="13"/>
        <v>-0.30000000000107702</v>
      </c>
      <c r="V13" s="44">
        <f t="shared" si="14"/>
        <v>-1.59999999999982</v>
      </c>
      <c r="W13" s="45">
        <f t="shared" si="15"/>
        <v>0.30000000000107702</v>
      </c>
      <c r="X13" s="29">
        <v>12.1378</v>
      </c>
      <c r="Y13" s="43">
        <f t="shared" si="16"/>
        <v>-0.19999999999953399</v>
      </c>
      <c r="Z13" s="44">
        <f t="shared" si="17"/>
        <v>-1.4000000000002899</v>
      </c>
      <c r="AA13" s="45">
        <f t="shared" si="18"/>
        <v>-0.19999999999953399</v>
      </c>
      <c r="AB13" s="49">
        <v>8.9844000000000008</v>
      </c>
      <c r="AC13" s="43">
        <f t="shared" si="19"/>
        <v>-0.59999999999860198</v>
      </c>
      <c r="AD13" s="44">
        <f t="shared" si="20"/>
        <v>-0.59999999999860198</v>
      </c>
      <c r="AE13" s="45">
        <f t="shared" si="21"/>
        <v>-0.59999999999860198</v>
      </c>
      <c r="AF13" s="50">
        <v>79867</v>
      </c>
      <c r="AG13" s="58">
        <f t="shared" si="22"/>
        <v>48</v>
      </c>
      <c r="AH13" s="61"/>
      <c r="AI13" s="60"/>
      <c r="AJ13"/>
      <c r="AK13"/>
      <c r="AL13"/>
      <c r="AM13"/>
    </row>
    <row r="14" spans="1:48">
      <c r="A14" s="21">
        <v>44710</v>
      </c>
      <c r="B14" s="22">
        <v>791.46479999999997</v>
      </c>
      <c r="C14" s="27">
        <v>5.9981999999999998</v>
      </c>
      <c r="D14" s="23">
        <f t="shared" si="0"/>
        <v>797.46299999999997</v>
      </c>
      <c r="E14" s="24">
        <f t="shared" si="4"/>
        <v>-0.80000000002655702</v>
      </c>
      <c r="F14" s="25">
        <f t="shared" si="5"/>
        <v>-1.4999999999645299</v>
      </c>
      <c r="G14" s="26">
        <f t="shared" si="6"/>
        <v>-0.80000000002655702</v>
      </c>
      <c r="H14" s="6">
        <v>7.1226000000000003</v>
      </c>
      <c r="I14" s="35">
        <f t="shared" si="1"/>
        <v>798.5874</v>
      </c>
      <c r="J14" s="24">
        <f t="shared" si="7"/>
        <v>-0.40000000001327901</v>
      </c>
      <c r="K14" s="25">
        <f t="shared" si="8"/>
        <v>-1.69999999991433</v>
      </c>
      <c r="L14" s="26">
        <f t="shared" si="9"/>
        <v>-0.40000000001327901</v>
      </c>
      <c r="M14" s="6">
        <v>6.0223000000000004</v>
      </c>
      <c r="N14" s="35">
        <f t="shared" si="2"/>
        <v>797.48710000000005</v>
      </c>
      <c r="O14" s="24">
        <f t="shared" si="10"/>
        <v>9.9999999974897905E-2</v>
      </c>
      <c r="P14" s="25">
        <f t="shared" si="11"/>
        <v>-1.2000000000398401</v>
      </c>
      <c r="Q14" s="26">
        <f t="shared" si="12"/>
        <v>9.9999999974897905E-2</v>
      </c>
      <c r="R14" s="41"/>
      <c r="S14" s="21">
        <f t="shared" si="3"/>
        <v>44710</v>
      </c>
      <c r="T14" s="42">
        <v>9.5091999999999999</v>
      </c>
      <c r="U14" s="43">
        <f t="shared" si="13"/>
        <v>-0.19999999999953399</v>
      </c>
      <c r="V14" s="44">
        <f t="shared" si="14"/>
        <v>-1.7999999999993599</v>
      </c>
      <c r="W14" s="45">
        <f t="shared" si="15"/>
        <v>0.19999999999953399</v>
      </c>
      <c r="X14" s="29">
        <v>12.138500000000001</v>
      </c>
      <c r="Y14" s="43">
        <f t="shared" si="16"/>
        <v>0.70000000000014495</v>
      </c>
      <c r="Z14" s="44">
        <f t="shared" si="17"/>
        <v>-0.70000000000014495</v>
      </c>
      <c r="AA14" s="45">
        <f t="shared" si="18"/>
        <v>0.70000000000014495</v>
      </c>
      <c r="AB14" s="49">
        <v>8.9841999999999906</v>
      </c>
      <c r="AC14" s="43">
        <f t="shared" si="19"/>
        <v>-0.200000000010192</v>
      </c>
      <c r="AD14" s="44">
        <f t="shared" si="20"/>
        <v>-0.80000000000879401</v>
      </c>
      <c r="AE14" s="45">
        <f t="shared" si="21"/>
        <v>-0.200000000010192</v>
      </c>
      <c r="AF14" s="50">
        <v>79873</v>
      </c>
      <c r="AG14" s="58">
        <f t="shared" si="22"/>
        <v>54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44711</v>
      </c>
      <c r="B15" s="22">
        <v>791.46479999999997</v>
      </c>
      <c r="C15" s="27">
        <v>5.9980000000000002</v>
      </c>
      <c r="D15" s="23">
        <f t="shared" si="0"/>
        <v>797.46280000000002</v>
      </c>
      <c r="E15" s="24">
        <f t="shared" si="4"/>
        <v>-0.199999999949796</v>
      </c>
      <c r="F15" s="25">
        <f t="shared" si="5"/>
        <v>-1.69999999991433</v>
      </c>
      <c r="G15" s="26">
        <f t="shared" si="6"/>
        <v>-0.199999999949796</v>
      </c>
      <c r="H15" s="6">
        <v>7.1223999999999998</v>
      </c>
      <c r="I15" s="35">
        <f t="shared" si="1"/>
        <v>798.58720000000005</v>
      </c>
      <c r="J15" s="24">
        <f t="shared" si="7"/>
        <v>-0.20000000006348301</v>
      </c>
      <c r="K15" s="25">
        <f t="shared" si="8"/>
        <v>-1.8999999999778101</v>
      </c>
      <c r="L15" s="26">
        <f t="shared" si="9"/>
        <v>-0.20000000006348301</v>
      </c>
      <c r="M15" s="6">
        <v>6.0217999999999998</v>
      </c>
      <c r="N15" s="35">
        <f t="shared" si="2"/>
        <v>797.48659999999995</v>
      </c>
      <c r="O15" s="24">
        <f t="shared" si="10"/>
        <v>-0.49999999998817701</v>
      </c>
      <c r="P15" s="25">
        <f t="shared" si="11"/>
        <v>-1.70000000002801</v>
      </c>
      <c r="Q15" s="26">
        <f t="shared" si="12"/>
        <v>-0.49999999998817701</v>
      </c>
      <c r="R15" s="41"/>
      <c r="S15" s="21">
        <f t="shared" si="3"/>
        <v>44711</v>
      </c>
      <c r="T15" s="42">
        <v>9.5091000000000001</v>
      </c>
      <c r="U15" s="43">
        <f t="shared" si="13"/>
        <v>-9.99999999997669E-2</v>
      </c>
      <c r="V15" s="44">
        <f t="shared" si="14"/>
        <v>-1.8999999999991199</v>
      </c>
      <c r="W15" s="45">
        <f t="shared" si="15"/>
        <v>9.99999999997669E-2</v>
      </c>
      <c r="X15" s="29">
        <v>12.1374</v>
      </c>
      <c r="Y15" s="43">
        <f t="shared" si="16"/>
        <v>-1.10000000000099</v>
      </c>
      <c r="Z15" s="44">
        <f t="shared" si="17"/>
        <v>-1.80000000000113</v>
      </c>
      <c r="AA15" s="45">
        <f t="shared" si="18"/>
        <v>-1.10000000000099</v>
      </c>
      <c r="AB15" s="49">
        <v>8.9845000000000006</v>
      </c>
      <c r="AC15" s="43">
        <f t="shared" si="19"/>
        <v>0.30000000000995902</v>
      </c>
      <c r="AD15" s="44">
        <f t="shared" si="20"/>
        <v>-0.49999999999883499</v>
      </c>
      <c r="AE15" s="45">
        <f t="shared" si="21"/>
        <v>0.30000000000995902</v>
      </c>
      <c r="AF15" s="50">
        <v>79879</v>
      </c>
      <c r="AG15" s="58">
        <f t="shared" si="22"/>
        <v>60</v>
      </c>
      <c r="AH15" s="61"/>
      <c r="AI15" s="60"/>
      <c r="AJ15"/>
      <c r="AK15"/>
      <c r="AL15"/>
      <c r="AM15"/>
    </row>
    <row r="16" spans="1:48">
      <c r="A16" s="21">
        <v>44712</v>
      </c>
      <c r="B16" s="22">
        <v>791.46479999999997</v>
      </c>
      <c r="C16" s="27">
        <v>5.9984999999999999</v>
      </c>
      <c r="D16" s="23">
        <f t="shared" si="0"/>
        <v>797.4633</v>
      </c>
      <c r="E16" s="24">
        <f t="shared" si="4"/>
        <v>0.49999999998817701</v>
      </c>
      <c r="F16" s="25">
        <f t="shared" si="5"/>
        <v>-1.1999999999261499</v>
      </c>
      <c r="G16" s="26">
        <f t="shared" si="6"/>
        <v>0.49999999998817701</v>
      </c>
      <c r="H16" s="6">
        <v>7.1224999999999996</v>
      </c>
      <c r="I16" s="35">
        <f t="shared" si="1"/>
        <v>798.58730000000003</v>
      </c>
      <c r="J16" s="24">
        <f t="shared" si="7"/>
        <v>9.9999999974897905E-2</v>
      </c>
      <c r="K16" s="25">
        <f t="shared" si="8"/>
        <v>-1.8000000000029099</v>
      </c>
      <c r="L16" s="26">
        <f t="shared" si="9"/>
        <v>9.9999999974897905E-2</v>
      </c>
      <c r="M16" s="6">
        <v>6.0216000000000003</v>
      </c>
      <c r="N16" s="35">
        <f t="shared" si="2"/>
        <v>797.4864</v>
      </c>
      <c r="O16" s="24">
        <f t="shared" si="10"/>
        <v>-0.199999999949796</v>
      </c>
      <c r="P16" s="25">
        <f t="shared" si="11"/>
        <v>-1.8999999999778101</v>
      </c>
      <c r="Q16" s="26">
        <f t="shared" si="12"/>
        <v>-0.199999999949796</v>
      </c>
      <c r="R16" s="41"/>
      <c r="S16" s="21">
        <f t="shared" si="3"/>
        <v>44712</v>
      </c>
      <c r="T16" s="42">
        <v>9.5091999999999999</v>
      </c>
      <c r="U16" s="43">
        <f t="shared" si="13"/>
        <v>9.99999999997669E-2</v>
      </c>
      <c r="V16" s="44">
        <f t="shared" si="14"/>
        <v>-1.7999999999993599</v>
      </c>
      <c r="W16" s="45">
        <f t="shared" si="15"/>
        <v>-9.99999999997669E-2</v>
      </c>
      <c r="X16" s="29">
        <v>12.1372</v>
      </c>
      <c r="Y16" s="43">
        <f t="shared" si="16"/>
        <v>-0.19999999999953399</v>
      </c>
      <c r="Z16" s="44">
        <f t="shared" si="17"/>
        <v>-2.0000000000006701</v>
      </c>
      <c r="AA16" s="45">
        <f t="shared" si="18"/>
        <v>-0.19999999999953399</v>
      </c>
      <c r="AB16" s="49">
        <v>8.9837999999999898</v>
      </c>
      <c r="AC16" s="43">
        <f t="shared" si="19"/>
        <v>-0.70000000001080298</v>
      </c>
      <c r="AD16" s="44">
        <f t="shared" si="20"/>
        <v>-1.20000000000964</v>
      </c>
      <c r="AE16" s="45">
        <f t="shared" si="21"/>
        <v>-0.70000000001080298</v>
      </c>
      <c r="AF16" s="50">
        <v>79885</v>
      </c>
      <c r="AG16" s="58">
        <f t="shared" si="22"/>
        <v>66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44713</v>
      </c>
      <c r="B17" s="22">
        <v>791.46479999999997</v>
      </c>
      <c r="C17" s="27">
        <v>5.9976000000000003</v>
      </c>
      <c r="D17" s="23">
        <f t="shared" si="0"/>
        <v>797.4624</v>
      </c>
      <c r="E17" s="24">
        <f t="shared" si="4"/>
        <v>-0.90000000000145497</v>
      </c>
      <c r="F17" s="25">
        <f t="shared" si="5"/>
        <v>-2.0999999999275998</v>
      </c>
      <c r="G17" s="26">
        <f t="shared" si="6"/>
        <v>-0.90000000000145497</v>
      </c>
      <c r="H17" s="6">
        <v>7.1219999999999999</v>
      </c>
      <c r="I17" s="35">
        <f t="shared" si="1"/>
        <v>798.58680000000004</v>
      </c>
      <c r="J17" s="24">
        <f t="shared" si="7"/>
        <v>-0.49999999998817701</v>
      </c>
      <c r="K17" s="25">
        <f t="shared" si="8"/>
        <v>-2.2999999999910901</v>
      </c>
      <c r="L17" s="26">
        <f t="shared" si="9"/>
        <v>-0.49999999998817701</v>
      </c>
      <c r="M17" s="6">
        <v>6.0214999999999996</v>
      </c>
      <c r="N17" s="35">
        <f t="shared" si="2"/>
        <v>797.48630000000003</v>
      </c>
      <c r="O17" s="24">
        <f t="shared" si="10"/>
        <v>-0.10000000008858501</v>
      </c>
      <c r="P17" s="25">
        <f t="shared" si="11"/>
        <v>-2.00000000006639</v>
      </c>
      <c r="Q17" s="26">
        <f t="shared" si="12"/>
        <v>-0.10000000008858501</v>
      </c>
      <c r="R17" s="41"/>
      <c r="S17" s="21">
        <f t="shared" si="3"/>
        <v>44713</v>
      </c>
      <c r="T17" s="42">
        <v>9.5085999999999995</v>
      </c>
      <c r="U17" s="43">
        <f t="shared" si="13"/>
        <v>-0.60000000000037801</v>
      </c>
      <c r="V17" s="44">
        <f t="shared" si="14"/>
        <v>-2.3999999999997401</v>
      </c>
      <c r="W17" s="45">
        <f t="shared" si="15"/>
        <v>0.60000000000037801</v>
      </c>
      <c r="X17" s="29">
        <v>12.1373</v>
      </c>
      <c r="Y17" s="43">
        <f t="shared" si="16"/>
        <v>9.99999999997669E-2</v>
      </c>
      <c r="Z17" s="44">
        <f t="shared" si="17"/>
        <v>-1.9000000000009001</v>
      </c>
      <c r="AA17" s="45">
        <f t="shared" si="18"/>
        <v>9.99999999997669E-2</v>
      </c>
      <c r="AB17" s="49">
        <v>8.9835999999999903</v>
      </c>
      <c r="AC17" s="43">
        <f t="shared" si="19"/>
        <v>-0.19999999999953399</v>
      </c>
      <c r="AD17" s="44">
        <f t="shared" si="20"/>
        <v>-1.4000000000091699</v>
      </c>
      <c r="AE17" s="45">
        <f t="shared" si="21"/>
        <v>-0.19999999999953399</v>
      </c>
      <c r="AF17" s="50">
        <v>79891</v>
      </c>
      <c r="AG17" s="58">
        <f t="shared" si="22"/>
        <v>72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44714</v>
      </c>
      <c r="B18" s="22">
        <v>791.46479999999997</v>
      </c>
      <c r="C18" s="27">
        <v>5.9973999999999998</v>
      </c>
      <c r="D18" s="23">
        <f t="shared" si="0"/>
        <v>797.46220000000005</v>
      </c>
      <c r="E18" s="24">
        <f t="shared" si="4"/>
        <v>-0.20000000006348301</v>
      </c>
      <c r="F18" s="25">
        <f t="shared" si="5"/>
        <v>-2.2999999999910901</v>
      </c>
      <c r="G18" s="26">
        <f t="shared" si="6"/>
        <v>-0.20000000006348301</v>
      </c>
      <c r="H18" s="6">
        <v>7.1218000000000004</v>
      </c>
      <c r="I18" s="35">
        <f t="shared" si="1"/>
        <v>798.58659999999998</v>
      </c>
      <c r="J18" s="24">
        <f t="shared" si="7"/>
        <v>-0.199999999949796</v>
      </c>
      <c r="K18" s="25">
        <f t="shared" si="8"/>
        <v>-2.4999999999408802</v>
      </c>
      <c r="L18" s="26">
        <f t="shared" si="9"/>
        <v>-0.199999999949796</v>
      </c>
      <c r="M18" s="6">
        <v>6.0212000000000003</v>
      </c>
      <c r="N18" s="35">
        <f t="shared" si="2"/>
        <v>797.48599999999999</v>
      </c>
      <c r="O18" s="24">
        <f t="shared" si="10"/>
        <v>-0.29999999992469401</v>
      </c>
      <c r="P18" s="25">
        <f t="shared" si="11"/>
        <v>-2.2999999999910901</v>
      </c>
      <c r="Q18" s="26">
        <f t="shared" si="12"/>
        <v>-0.29999999992469401</v>
      </c>
      <c r="R18" s="41"/>
      <c r="S18" s="21">
        <f t="shared" si="3"/>
        <v>44714</v>
      </c>
      <c r="T18" s="42">
        <v>9.5084</v>
      </c>
      <c r="U18" s="43">
        <f t="shared" si="13"/>
        <v>-0.19999999999953399</v>
      </c>
      <c r="V18" s="44">
        <f t="shared" si="14"/>
        <v>-2.59999999999927</v>
      </c>
      <c r="W18" s="45">
        <f t="shared" si="15"/>
        <v>0.19999999999953399</v>
      </c>
      <c r="X18" s="29">
        <v>12.136799999999999</v>
      </c>
      <c r="Y18" s="43">
        <f t="shared" si="16"/>
        <v>-0.50000000000061096</v>
      </c>
      <c r="Z18" s="44">
        <f t="shared" si="17"/>
        <v>-2.4000000000015098</v>
      </c>
      <c r="AA18" s="45">
        <f t="shared" si="18"/>
        <v>-0.50000000000061096</v>
      </c>
      <c r="AB18" s="49">
        <v>8.9838000000000005</v>
      </c>
      <c r="AC18" s="43">
        <f t="shared" si="19"/>
        <v>0.200000000010192</v>
      </c>
      <c r="AD18" s="44">
        <f t="shared" si="20"/>
        <v>-1.1999999999989801</v>
      </c>
      <c r="AE18" s="45">
        <f t="shared" si="21"/>
        <v>0.200000000010192</v>
      </c>
      <c r="AF18" s="50">
        <v>79897</v>
      </c>
      <c r="AG18" s="58">
        <f t="shared" si="22"/>
        <v>78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44715</v>
      </c>
      <c r="B19" s="22">
        <v>791.46479999999997</v>
      </c>
      <c r="C19" s="27">
        <v>5.9980000000000002</v>
      </c>
      <c r="D19" s="23">
        <f t="shared" si="0"/>
        <v>797.46280000000002</v>
      </c>
      <c r="E19" s="24">
        <f t="shared" si="4"/>
        <v>0.60000000007676102</v>
      </c>
      <c r="F19" s="25">
        <f t="shared" si="5"/>
        <v>-1.69999999991433</v>
      </c>
      <c r="G19" s="26">
        <f t="shared" si="6"/>
        <v>0.60000000007676102</v>
      </c>
      <c r="H19" s="6">
        <v>7.1219999999999999</v>
      </c>
      <c r="I19" s="35">
        <f t="shared" si="1"/>
        <v>798.58680000000004</v>
      </c>
      <c r="J19" s="24">
        <f t="shared" si="7"/>
        <v>0.199999999949796</v>
      </c>
      <c r="K19" s="25">
        <f t="shared" si="8"/>
        <v>-2.2999999999910901</v>
      </c>
      <c r="L19" s="26">
        <f t="shared" si="9"/>
        <v>0.199999999949796</v>
      </c>
      <c r="M19" s="6">
        <v>6.0209999999999999</v>
      </c>
      <c r="N19" s="35">
        <f t="shared" si="2"/>
        <v>797.48580000000004</v>
      </c>
      <c r="O19" s="24">
        <f t="shared" si="10"/>
        <v>-0.20000000006348301</v>
      </c>
      <c r="P19" s="25">
        <f t="shared" si="11"/>
        <v>-2.5000000000545701</v>
      </c>
      <c r="Q19" s="26">
        <f t="shared" si="12"/>
        <v>-0.20000000006348301</v>
      </c>
      <c r="R19" s="41"/>
      <c r="S19" s="21">
        <f t="shared" si="3"/>
        <v>44715</v>
      </c>
      <c r="T19" s="42">
        <v>9.5086999999999993</v>
      </c>
      <c r="U19" s="43">
        <f t="shared" si="13"/>
        <v>0.29999999999930099</v>
      </c>
      <c r="V19" s="44">
        <f t="shared" si="14"/>
        <v>-2.2999999999999701</v>
      </c>
      <c r="W19" s="45">
        <f t="shared" si="15"/>
        <v>-0.29999999999930099</v>
      </c>
      <c r="X19" s="29">
        <v>12.1366</v>
      </c>
      <c r="Y19" s="43">
        <f t="shared" si="16"/>
        <v>-0.19999999999953399</v>
      </c>
      <c r="Z19" s="44">
        <f t="shared" si="17"/>
        <v>-2.6000000000010499</v>
      </c>
      <c r="AA19" s="45">
        <f t="shared" si="18"/>
        <v>-0.19999999999953399</v>
      </c>
      <c r="AB19" s="49">
        <v>8.9831999999999894</v>
      </c>
      <c r="AC19" s="43">
        <f t="shared" si="19"/>
        <v>-0.60000000001103604</v>
      </c>
      <c r="AD19" s="44">
        <f t="shared" si="20"/>
        <v>-1.80000000001002</v>
      </c>
      <c r="AE19" s="45">
        <f t="shared" si="21"/>
        <v>-0.60000000001103604</v>
      </c>
      <c r="AF19" s="50">
        <v>79903</v>
      </c>
      <c r="AG19" s="58">
        <f t="shared" si="22"/>
        <v>84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44716</v>
      </c>
      <c r="B20" s="22">
        <v>791.46479999999997</v>
      </c>
      <c r="C20" s="27">
        <v>5.9969999999999901</v>
      </c>
      <c r="D20" s="23">
        <f t="shared" si="0"/>
        <v>797.46180000000004</v>
      </c>
      <c r="E20" s="24">
        <f t="shared" si="4"/>
        <v>-1.00000000009004</v>
      </c>
      <c r="F20" s="25">
        <f t="shared" si="5"/>
        <v>-2.70000000000437</v>
      </c>
      <c r="G20" s="26">
        <f t="shared" si="6"/>
        <v>-1.00000000009004</v>
      </c>
      <c r="H20" s="6">
        <v>7.1214000000000102</v>
      </c>
      <c r="I20" s="35">
        <f t="shared" si="1"/>
        <v>798.58619999999996</v>
      </c>
      <c r="J20" s="24">
        <f t="shared" si="7"/>
        <v>-0.59999999996307496</v>
      </c>
      <c r="K20" s="25">
        <f t="shared" si="8"/>
        <v>-2.8999999999541601</v>
      </c>
      <c r="L20" s="26">
        <f t="shared" si="9"/>
        <v>-0.59999999996307496</v>
      </c>
      <c r="M20" s="6">
        <v>6.0210999999999997</v>
      </c>
      <c r="N20" s="35">
        <f t="shared" si="2"/>
        <v>797.48590000000002</v>
      </c>
      <c r="O20" s="24">
        <f t="shared" si="10"/>
        <v>0.10000000008858501</v>
      </c>
      <c r="P20" s="25">
        <f t="shared" si="11"/>
        <v>-2.39999999996598</v>
      </c>
      <c r="Q20" s="26">
        <f t="shared" si="12"/>
        <v>0.10000000008858501</v>
      </c>
      <c r="R20" s="41"/>
      <c r="S20" s="21">
        <f t="shared" si="3"/>
        <v>44716</v>
      </c>
      <c r="T20" s="42">
        <v>9.5079999999999991</v>
      </c>
      <c r="U20" s="43">
        <f t="shared" si="13"/>
        <v>-0.70000000000014495</v>
      </c>
      <c r="V20" s="44">
        <f t="shared" si="14"/>
        <v>-3.0000000000001101</v>
      </c>
      <c r="W20" s="45">
        <f t="shared" si="15"/>
        <v>0.70000000000014495</v>
      </c>
      <c r="X20" s="29">
        <v>12.137</v>
      </c>
      <c r="Y20" s="43">
        <f t="shared" si="16"/>
        <v>0.40000000000084401</v>
      </c>
      <c r="Z20" s="44">
        <f t="shared" si="17"/>
        <v>-2.2000000000002</v>
      </c>
      <c r="AA20" s="45">
        <f t="shared" si="18"/>
        <v>0.40000000000084401</v>
      </c>
      <c r="AB20" s="49">
        <v>8.9829999999999899</v>
      </c>
      <c r="AC20" s="43">
        <f t="shared" si="19"/>
        <v>-0.19999999999953399</v>
      </c>
      <c r="AD20" s="44">
        <f t="shared" si="20"/>
        <v>-2.0000000000095501</v>
      </c>
      <c r="AE20" s="45">
        <f t="shared" si="21"/>
        <v>-0.19999999999953399</v>
      </c>
      <c r="AF20" s="50">
        <v>79909</v>
      </c>
      <c r="AG20" s="58">
        <f t="shared" si="22"/>
        <v>90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44718</v>
      </c>
      <c r="B21" s="22">
        <v>791.46479999999997</v>
      </c>
      <c r="C21" s="27">
        <v>5.9967999999999897</v>
      </c>
      <c r="D21" s="23">
        <f t="shared" si="0"/>
        <v>797.46159999999998</v>
      </c>
      <c r="E21" s="24">
        <f t="shared" si="4"/>
        <v>-0.199999999949796</v>
      </c>
      <c r="F21" s="25">
        <f t="shared" si="5"/>
        <v>-2.8999999999541601</v>
      </c>
      <c r="G21" s="26">
        <f t="shared" si="6"/>
        <v>-9.9999999974897905E-2</v>
      </c>
      <c r="H21" s="6">
        <v>7.1212000000000097</v>
      </c>
      <c r="I21" s="35">
        <f t="shared" si="1"/>
        <v>798.58600000000001</v>
      </c>
      <c r="J21" s="24">
        <f t="shared" si="7"/>
        <v>-0.199999999949796</v>
      </c>
      <c r="K21" s="25">
        <f t="shared" si="8"/>
        <v>-3.09999999990396</v>
      </c>
      <c r="L21" s="26">
        <f t="shared" si="9"/>
        <v>-9.9999999974897905E-2</v>
      </c>
      <c r="M21" s="6">
        <v>6.0206000000000097</v>
      </c>
      <c r="N21" s="35">
        <f t="shared" si="2"/>
        <v>797.48540000000003</v>
      </c>
      <c r="O21" s="24">
        <f t="shared" si="10"/>
        <v>-0.49999999998817701</v>
      </c>
      <c r="P21" s="25">
        <f t="shared" si="11"/>
        <v>-2.8999999999541601</v>
      </c>
      <c r="Q21" s="26">
        <f t="shared" si="12"/>
        <v>-0.24999999999408801</v>
      </c>
      <c r="R21" s="41"/>
      <c r="S21" s="21">
        <f t="shared" si="3"/>
        <v>44718</v>
      </c>
      <c r="T21" s="42">
        <v>9.5077999999999996</v>
      </c>
      <c r="U21" s="43">
        <f t="shared" si="13"/>
        <v>-0.19999999999953399</v>
      </c>
      <c r="V21" s="44">
        <f t="shared" si="14"/>
        <v>-3.1999999999996498</v>
      </c>
      <c r="W21" s="45">
        <f t="shared" si="15"/>
        <v>9.99999999997669E-2</v>
      </c>
      <c r="X21" s="29">
        <v>12.136200000000001</v>
      </c>
      <c r="Y21" s="43">
        <f t="shared" si="16"/>
        <v>-0.799999999999912</v>
      </c>
      <c r="Z21" s="44">
        <f t="shared" si="17"/>
        <v>-3.0000000000001101</v>
      </c>
      <c r="AA21" s="45">
        <f t="shared" si="18"/>
        <v>-0.399999999999956</v>
      </c>
      <c r="AB21" s="49">
        <v>8.9832000000000001</v>
      </c>
      <c r="AC21" s="43">
        <f t="shared" si="19"/>
        <v>0.200000000010192</v>
      </c>
      <c r="AD21" s="44">
        <f t="shared" si="20"/>
        <v>-1.7999999999993599</v>
      </c>
      <c r="AE21" s="45">
        <f t="shared" si="21"/>
        <v>0.100000000005096</v>
      </c>
      <c r="AF21" s="50">
        <v>79915</v>
      </c>
      <c r="AG21" s="58">
        <f t="shared" si="22"/>
        <v>96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44720</v>
      </c>
      <c r="B22" s="22">
        <v>791.46479999999997</v>
      </c>
      <c r="C22" s="27">
        <v>5.9965999999999902</v>
      </c>
      <c r="D22" s="23">
        <f t="shared" si="0"/>
        <v>797.46140000000003</v>
      </c>
      <c r="E22" s="24">
        <f t="shared" si="4"/>
        <v>-0.20000000006348301</v>
      </c>
      <c r="F22" s="25">
        <f t="shared" si="5"/>
        <v>-3.1000000000176402</v>
      </c>
      <c r="G22" s="26">
        <f t="shared" si="6"/>
        <v>-0.100000000031741</v>
      </c>
      <c r="H22" s="6">
        <v>7.1210000000000102</v>
      </c>
      <c r="I22" s="35">
        <f t="shared" si="1"/>
        <v>798.58579999999995</v>
      </c>
      <c r="J22" s="24">
        <f t="shared" si="7"/>
        <v>-0.20000000006348301</v>
      </c>
      <c r="K22" s="25">
        <f t="shared" si="8"/>
        <v>-3.2999999999674401</v>
      </c>
      <c r="L22" s="26">
        <f t="shared" si="9"/>
        <v>-0.100000000031741</v>
      </c>
      <c r="M22" s="6">
        <v>6.0204000000000102</v>
      </c>
      <c r="N22" s="35">
        <f t="shared" si="2"/>
        <v>797.48519999999996</v>
      </c>
      <c r="O22" s="24">
        <f t="shared" si="10"/>
        <v>-0.20000000006348301</v>
      </c>
      <c r="P22" s="25">
        <f t="shared" si="11"/>
        <v>-3.1000000000176402</v>
      </c>
      <c r="Q22" s="26">
        <f t="shared" si="12"/>
        <v>-0.100000000031741</v>
      </c>
      <c r="R22" s="41"/>
      <c r="S22" s="21">
        <f t="shared" si="3"/>
        <v>44720</v>
      </c>
      <c r="T22" s="42">
        <v>9.5076999999999998</v>
      </c>
      <c r="U22" s="43">
        <f t="shared" si="13"/>
        <v>-9.99999999997669E-2</v>
      </c>
      <c r="V22" s="44">
        <f t="shared" si="14"/>
        <v>-3.2999999999994101</v>
      </c>
      <c r="W22" s="45">
        <f t="shared" si="15"/>
        <v>4.9999999999883499E-2</v>
      </c>
      <c r="X22" s="29">
        <v>12.135999999999999</v>
      </c>
      <c r="Y22" s="43">
        <f t="shared" si="16"/>
        <v>-0.20000000000130999</v>
      </c>
      <c r="Z22" s="44">
        <f t="shared" si="17"/>
        <v>-3.2000000000014199</v>
      </c>
      <c r="AA22" s="45">
        <f t="shared" si="18"/>
        <v>-0.100000000000655</v>
      </c>
      <c r="AB22" s="49">
        <v>8.9825999999999802</v>
      </c>
      <c r="AC22" s="43">
        <f t="shared" si="19"/>
        <v>-0.60000000001991804</v>
      </c>
      <c r="AD22" s="44">
        <f t="shared" si="20"/>
        <v>-2.40000000001928</v>
      </c>
      <c r="AE22" s="45">
        <f t="shared" si="21"/>
        <v>-0.30000000000995902</v>
      </c>
      <c r="AF22" s="50">
        <v>79921</v>
      </c>
      <c r="AG22" s="58">
        <f t="shared" si="22"/>
        <v>102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44722</v>
      </c>
      <c r="B23" s="22">
        <v>791.46479999999997</v>
      </c>
      <c r="C23" s="27">
        <v>5.9972000000000003</v>
      </c>
      <c r="D23" s="23">
        <f t="shared" si="0"/>
        <v>797.46199999999999</v>
      </c>
      <c r="E23" s="24">
        <f t="shared" si="4"/>
        <v>0.60000000007676102</v>
      </c>
      <c r="F23" s="25">
        <f t="shared" si="5"/>
        <v>-2.4999999999408802</v>
      </c>
      <c r="G23" s="26">
        <f t="shared" si="6"/>
        <v>0.30000000003838101</v>
      </c>
      <c r="H23" s="6">
        <v>7.1212999999999997</v>
      </c>
      <c r="I23" s="35">
        <f t="shared" si="1"/>
        <v>798.58609999999999</v>
      </c>
      <c r="J23" s="24">
        <f t="shared" si="7"/>
        <v>0.30000000003838101</v>
      </c>
      <c r="K23" s="25">
        <f t="shared" si="8"/>
        <v>-2.9999999999290599</v>
      </c>
      <c r="L23" s="26">
        <f t="shared" si="9"/>
        <v>0.15000000001919001</v>
      </c>
      <c r="M23" s="6">
        <v>6.0205000000000002</v>
      </c>
      <c r="N23" s="35">
        <f t="shared" si="2"/>
        <v>797.48530000000005</v>
      </c>
      <c r="O23" s="24">
        <f t="shared" si="10"/>
        <v>9.9999999974897905E-2</v>
      </c>
      <c r="P23" s="25">
        <f t="shared" si="11"/>
        <v>-3.0000000000427498</v>
      </c>
      <c r="Q23" s="26">
        <f t="shared" si="12"/>
        <v>4.9999999987449001E-2</v>
      </c>
      <c r="R23" s="41"/>
      <c r="S23" s="21">
        <f t="shared" si="3"/>
        <v>44722</v>
      </c>
      <c r="T23" s="42">
        <v>9.5074000000000094</v>
      </c>
      <c r="U23" s="43">
        <f t="shared" si="13"/>
        <v>-0.29999999999041899</v>
      </c>
      <c r="V23" s="44">
        <f t="shared" si="14"/>
        <v>-3.59999999998983</v>
      </c>
      <c r="W23" s="45">
        <f t="shared" si="15"/>
        <v>0.14999999999520999</v>
      </c>
      <c r="X23" s="29">
        <v>12.1365</v>
      </c>
      <c r="Y23" s="43">
        <f t="shared" si="16"/>
        <v>0.50000000000061096</v>
      </c>
      <c r="Z23" s="44">
        <f t="shared" si="17"/>
        <v>-2.7000000000008102</v>
      </c>
      <c r="AA23" s="45">
        <f t="shared" si="18"/>
        <v>0.25000000000030598</v>
      </c>
      <c r="AB23" s="49">
        <v>8.9823999999999806</v>
      </c>
      <c r="AC23" s="43">
        <f t="shared" si="19"/>
        <v>-0.19999999999953399</v>
      </c>
      <c r="AD23" s="44">
        <f t="shared" si="20"/>
        <v>-2.6000000000188099</v>
      </c>
      <c r="AE23" s="45">
        <f t="shared" si="21"/>
        <v>-9.99999999997669E-2</v>
      </c>
      <c r="AF23" s="50">
        <v>79927</v>
      </c>
      <c r="AG23" s="58">
        <f t="shared" si="22"/>
        <v>108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44724</v>
      </c>
      <c r="B24" s="22">
        <v>791.46479999999997</v>
      </c>
      <c r="C24" s="27">
        <v>5.9961999999999902</v>
      </c>
      <c r="D24" s="23">
        <f t="shared" si="0"/>
        <v>797.46100000000001</v>
      </c>
      <c r="E24" s="24">
        <f t="shared" si="4"/>
        <v>-0.99999999997635303</v>
      </c>
      <c r="F24" s="25">
        <f t="shared" si="5"/>
        <v>-3.49999999991724</v>
      </c>
      <c r="G24" s="26">
        <f t="shared" si="6"/>
        <v>-0.49999999998817701</v>
      </c>
      <c r="H24" s="6">
        <v>7.1206000000000103</v>
      </c>
      <c r="I24" s="35">
        <f t="shared" si="1"/>
        <v>798.58540000000005</v>
      </c>
      <c r="J24" s="24">
        <f t="shared" si="7"/>
        <v>-0.70000000005165897</v>
      </c>
      <c r="K24" s="25">
        <f t="shared" si="8"/>
        <v>-3.69999999998072</v>
      </c>
      <c r="L24" s="26">
        <f t="shared" si="9"/>
        <v>-0.35000000002582998</v>
      </c>
      <c r="M24" s="6">
        <v>6.0200000000000102</v>
      </c>
      <c r="N24" s="35">
        <f t="shared" si="2"/>
        <v>797.48479999999995</v>
      </c>
      <c r="O24" s="24">
        <f t="shared" si="10"/>
        <v>-0.49999999998817701</v>
      </c>
      <c r="P24" s="25">
        <f t="shared" si="11"/>
        <v>-3.5000000000309202</v>
      </c>
      <c r="Q24" s="26">
        <f t="shared" si="12"/>
        <v>-0.24999999999408801</v>
      </c>
      <c r="R24" s="41"/>
      <c r="S24" s="21">
        <f t="shared" si="3"/>
        <v>44724</v>
      </c>
      <c r="T24" s="42">
        <v>9.5072000000000099</v>
      </c>
      <c r="U24" s="43">
        <f t="shared" si="13"/>
        <v>-0.19999999999953399</v>
      </c>
      <c r="V24" s="44">
        <f t="shared" si="14"/>
        <v>-3.7999999999893701</v>
      </c>
      <c r="W24" s="45">
        <f t="shared" si="15"/>
        <v>9.99999999997669E-2</v>
      </c>
      <c r="X24" s="29">
        <v>12.1356</v>
      </c>
      <c r="Y24" s="43">
        <f t="shared" si="16"/>
        <v>-0.89999999999967895</v>
      </c>
      <c r="Z24" s="44">
        <f t="shared" si="17"/>
        <v>-3.6000000000004899</v>
      </c>
      <c r="AA24" s="45">
        <f t="shared" si="18"/>
        <v>-0.44999999999983897</v>
      </c>
      <c r="AB24" s="49">
        <v>8.9825999999999997</v>
      </c>
      <c r="AC24" s="43">
        <f t="shared" si="19"/>
        <v>0.200000000019074</v>
      </c>
      <c r="AD24" s="44">
        <f t="shared" si="20"/>
        <v>-2.3999999999997401</v>
      </c>
      <c r="AE24" s="45">
        <f t="shared" si="21"/>
        <v>0.100000000009537</v>
      </c>
      <c r="AF24" s="50">
        <v>79933</v>
      </c>
      <c r="AG24" s="58">
        <f t="shared" si="22"/>
        <v>114</v>
      </c>
      <c r="AH24" s="61"/>
      <c r="AI24" s="52"/>
      <c r="AJ24" s="52"/>
      <c r="AK24" s="52"/>
      <c r="AL24" s="52"/>
      <c r="AM24" s="52"/>
    </row>
    <row r="25" spans="1:48">
      <c r="A25" s="21">
        <v>44726</v>
      </c>
      <c r="B25" s="22">
        <v>791.46479999999997</v>
      </c>
      <c r="C25" s="27">
        <v>5.9966999999999997</v>
      </c>
      <c r="D25" s="23">
        <f t="shared" si="0"/>
        <v>797.4615</v>
      </c>
      <c r="E25" s="24">
        <f t="shared" si="4"/>
        <v>0.49999999998817701</v>
      </c>
      <c r="F25" s="25">
        <f t="shared" si="5"/>
        <v>-2.9999999999290599</v>
      </c>
      <c r="G25" s="26">
        <f t="shared" si="6"/>
        <v>0.24999999999408801</v>
      </c>
      <c r="H25" s="6">
        <v>7.1204000000000098</v>
      </c>
      <c r="I25" s="35">
        <f t="shared" si="1"/>
        <v>798.58519999999999</v>
      </c>
      <c r="J25" s="24">
        <f t="shared" si="7"/>
        <v>-0.199999999949796</v>
      </c>
      <c r="K25" s="25">
        <f t="shared" si="8"/>
        <v>-3.8999999999305102</v>
      </c>
      <c r="L25" s="26">
        <f t="shared" si="9"/>
        <v>-9.9999999974897905E-2</v>
      </c>
      <c r="M25" s="6">
        <v>6.0202</v>
      </c>
      <c r="N25" s="35">
        <f t="shared" si="2"/>
        <v>797.48500000000001</v>
      </c>
      <c r="O25" s="24">
        <f t="shared" si="10"/>
        <v>0.20000000006348301</v>
      </c>
      <c r="P25" s="25">
        <f t="shared" si="11"/>
        <v>-3.2999999999674401</v>
      </c>
      <c r="Q25" s="26">
        <f t="shared" si="12"/>
        <v>0.100000000031741</v>
      </c>
      <c r="R25" s="41"/>
      <c r="S25" s="21">
        <f t="shared" si="3"/>
        <v>44726</v>
      </c>
      <c r="T25" s="42">
        <v>9.5075000000000003</v>
      </c>
      <c r="U25" s="43">
        <f t="shared" si="13"/>
        <v>0.29999999999041899</v>
      </c>
      <c r="V25" s="44">
        <f t="shared" si="14"/>
        <v>-3.4999999999989502</v>
      </c>
      <c r="W25" s="45">
        <f t="shared" si="15"/>
        <v>-0.14999999999520999</v>
      </c>
      <c r="X25" s="29">
        <v>12.1358</v>
      </c>
      <c r="Y25" s="43">
        <f t="shared" si="16"/>
        <v>0.19999999999953399</v>
      </c>
      <c r="Z25" s="44">
        <f t="shared" si="17"/>
        <v>-3.40000000000096</v>
      </c>
      <c r="AA25" s="45">
        <f t="shared" si="18"/>
        <v>9.99999999997669E-2</v>
      </c>
      <c r="AB25" s="49">
        <v>8.9826999999999995</v>
      </c>
      <c r="AC25" s="43">
        <f t="shared" si="19"/>
        <v>9.99999999997669E-2</v>
      </c>
      <c r="AD25" s="44">
        <f t="shared" si="20"/>
        <v>-2.2999999999999701</v>
      </c>
      <c r="AE25" s="45">
        <f t="shared" si="21"/>
        <v>4.9999999999883499E-2</v>
      </c>
      <c r="AF25" s="50">
        <v>79939</v>
      </c>
      <c r="AG25" s="58">
        <f t="shared" si="22"/>
        <v>120</v>
      </c>
      <c r="AH25" s="61"/>
      <c r="AI25" s="52"/>
      <c r="AJ25" s="52"/>
      <c r="AK25" s="52"/>
      <c r="AL25" s="52"/>
      <c r="AM25" s="52"/>
    </row>
    <row r="26" spans="1:48">
      <c r="A26" s="21"/>
      <c r="B26" s="22"/>
      <c r="C26" s="27"/>
      <c r="D26" s="23"/>
      <c r="E26" s="65">
        <f>F25-F6</f>
        <v>-2.9999999999290599</v>
      </c>
      <c r="F26" s="33">
        <f>K25-K6</f>
        <v>-3.8999999999305102</v>
      </c>
      <c r="G26" s="33">
        <f>P25-P6</f>
        <v>-3.2999999999674401</v>
      </c>
      <c r="H26" s="33">
        <f>F25</f>
        <v>-2.9999999999290599</v>
      </c>
      <c r="I26" s="66">
        <f>K25</f>
        <v>-3.8999999999305102</v>
      </c>
      <c r="J26" s="65">
        <f>P25</f>
        <v>-3.2999999999674401</v>
      </c>
      <c r="K26" s="33">
        <f>(K25-K6)/24</f>
        <v>-0.16249999999710499</v>
      </c>
      <c r="L26" s="26"/>
      <c r="N26" s="35"/>
      <c r="O26" s="24"/>
      <c r="P26" s="25"/>
      <c r="Q26" s="26"/>
      <c r="R26" s="41"/>
      <c r="S26" s="21"/>
      <c r="T26" s="42"/>
      <c r="U26" s="65">
        <f>V25-V6</f>
        <v>-3.4999999999989502</v>
      </c>
      <c r="V26" s="33">
        <f>Z25-Z6</f>
        <v>-3.40000000000096</v>
      </c>
      <c r="W26" s="33">
        <f>AD25-AD6</f>
        <v>-2.2999999999999701</v>
      </c>
      <c r="X26" s="33">
        <f>V25</f>
        <v>-3.4999999999989502</v>
      </c>
      <c r="Y26" s="65">
        <f>Z25</f>
        <v>-3.40000000000096</v>
      </c>
      <c r="Z26" s="33">
        <f>AD25</f>
        <v>-2.2999999999999701</v>
      </c>
      <c r="AA26" s="33">
        <f>(V25-V6)/24</f>
        <v>-0.14583333333328999</v>
      </c>
      <c r="AB26" s="49"/>
      <c r="AC26" s="43"/>
      <c r="AD26" s="44"/>
      <c r="AE26" s="45"/>
      <c r="AF26" s="50"/>
      <c r="AG26" s="58"/>
      <c r="AH26" s="61"/>
      <c r="AI26" s="60"/>
      <c r="AJ26"/>
      <c r="AK26"/>
      <c r="AL26"/>
      <c r="AM26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P24" workbookViewId="0">
      <selection activeCell="U25" sqref="U25:AA2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44708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44708</v>
      </c>
      <c r="B6" s="22">
        <v>791.46479999999997</v>
      </c>
      <c r="C6" s="27">
        <v>5.9829999999999997</v>
      </c>
      <c r="D6" s="23">
        <f t="shared" ref="D6:D24" si="0">C6+B6</f>
        <v>797.44780000000003</v>
      </c>
      <c r="E6" s="24">
        <v>0</v>
      </c>
      <c r="F6" s="25">
        <v>0</v>
      </c>
      <c r="G6" s="26">
        <v>0</v>
      </c>
      <c r="H6" s="6">
        <v>7.5883000000000003</v>
      </c>
      <c r="I6" s="35">
        <f t="shared" ref="I6:I24" si="1">H6+B6</f>
        <v>799.05309999999997</v>
      </c>
      <c r="J6" s="24">
        <v>0</v>
      </c>
      <c r="K6" s="25">
        <v>0</v>
      </c>
      <c r="L6" s="26">
        <v>0</v>
      </c>
      <c r="M6" s="6">
        <v>5.8860999999999999</v>
      </c>
      <c r="N6" s="35">
        <f t="shared" ref="N6:N24" si="2">M6+B6</f>
        <v>797.35090000000002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44708</v>
      </c>
      <c r="T6" s="42">
        <v>9.2684999999999995</v>
      </c>
      <c r="U6" s="43">
        <v>0</v>
      </c>
      <c r="V6" s="44">
        <v>0</v>
      </c>
      <c r="W6" s="45">
        <f>U6/(S6-S11)</f>
        <v>0</v>
      </c>
      <c r="X6" s="29">
        <v>11.848699999999999</v>
      </c>
      <c r="Y6" s="43">
        <v>0</v>
      </c>
      <c r="Z6" s="44">
        <v>0</v>
      </c>
      <c r="AA6" s="45">
        <v>0</v>
      </c>
      <c r="AB6" s="49">
        <v>8.9425000000000008</v>
      </c>
      <c r="AC6" s="43">
        <v>0</v>
      </c>
      <c r="AD6" s="44">
        <v>0</v>
      </c>
      <c r="AE6" s="45">
        <v>0</v>
      </c>
      <c r="AF6" s="50">
        <v>79845</v>
      </c>
      <c r="AG6" s="58">
        <f>AF6-79839</f>
        <v>6</v>
      </c>
      <c r="AH6" s="59"/>
      <c r="AI6" s="60"/>
      <c r="AJ6" s="61"/>
      <c r="AK6" s="62"/>
      <c r="AL6" s="52"/>
      <c r="AM6" s="52"/>
    </row>
    <row r="7" spans="1:48">
      <c r="A7" s="21">
        <v>44709</v>
      </c>
      <c r="B7" s="22">
        <v>791.46479999999997</v>
      </c>
      <c r="C7" s="27">
        <v>5.9825999999999997</v>
      </c>
      <c r="D7" s="23">
        <f t="shared" si="0"/>
        <v>797.44740000000002</v>
      </c>
      <c r="E7" s="24">
        <f t="shared" ref="E7:E24" si="4">(D7-D6)*1000</f>
        <v>-0.39999999989959201</v>
      </c>
      <c r="F7" s="25">
        <f t="shared" ref="F7:F24" si="5">F6+E7</f>
        <v>-0.39999999989959201</v>
      </c>
      <c r="G7" s="26">
        <f t="shared" ref="G7:G24" si="6">E7/(A7-A6)</f>
        <v>-0.39999999989959201</v>
      </c>
      <c r="H7" s="6">
        <v>7.5880000000000001</v>
      </c>
      <c r="I7" s="35">
        <f t="shared" si="1"/>
        <v>799.05280000000005</v>
      </c>
      <c r="J7" s="24">
        <f t="shared" ref="J7:J24" si="7">(I7-I6)*1000</f>
        <v>-0.30000000003838101</v>
      </c>
      <c r="K7" s="25">
        <f t="shared" ref="K7:K24" si="8">K6+J7</f>
        <v>-0.30000000003838101</v>
      </c>
      <c r="L7" s="26">
        <f t="shared" ref="L7:L24" si="9">J7/(A7-A6)</f>
        <v>-0.30000000003838101</v>
      </c>
      <c r="M7" s="6">
        <v>5.8857999999999997</v>
      </c>
      <c r="N7" s="35">
        <f t="shared" si="2"/>
        <v>797.35059999999999</v>
      </c>
      <c r="O7" s="24">
        <f t="shared" ref="O7:O24" si="10">(N7-N6)*1000</f>
        <v>-0.30000000003838101</v>
      </c>
      <c r="P7" s="25">
        <f t="shared" ref="P7:P24" si="11">P6+O7</f>
        <v>-0.30000000003838101</v>
      </c>
      <c r="Q7" s="26">
        <f t="shared" ref="Q7:Q24" si="12">O7/(A7-A6)</f>
        <v>-0.30000000003838101</v>
      </c>
      <c r="R7" s="41"/>
      <c r="S7" s="21">
        <f t="shared" si="3"/>
        <v>44709</v>
      </c>
      <c r="T7" s="42">
        <v>9.2688000000000006</v>
      </c>
      <c r="U7" s="43">
        <f t="shared" ref="U7:U24" si="13">(T7-T6)*1000</f>
        <v>0.30000000000107702</v>
      </c>
      <c r="V7" s="44">
        <f t="shared" ref="V7:V24" si="14">V6+U7</f>
        <v>0.30000000000107702</v>
      </c>
      <c r="W7" s="45">
        <f t="shared" ref="W7:W24" si="15">U7/(S6-S7)</f>
        <v>-0.30000000000107702</v>
      </c>
      <c r="X7" s="29">
        <v>11.8483</v>
      </c>
      <c r="Y7" s="43">
        <f t="shared" ref="Y7:Y24" si="16">(X7-X6)*1000</f>
        <v>-0.39999999999906799</v>
      </c>
      <c r="Z7" s="44">
        <f t="shared" ref="Z7:Z24" si="17">Z6+Y7</f>
        <v>-0.39999999999906799</v>
      </c>
      <c r="AA7" s="45">
        <f t="shared" ref="AA7:AA24" si="18">Y7/(S7-S6)</f>
        <v>-0.39999999999906799</v>
      </c>
      <c r="AB7" s="49">
        <v>8.9421999999999997</v>
      </c>
      <c r="AC7" s="43">
        <f t="shared" ref="AC7:AC24" si="19">(AB7-AB6)*1000</f>
        <v>-0.30000000000107702</v>
      </c>
      <c r="AD7" s="44">
        <f t="shared" ref="AD7:AD24" si="20">AD6+AC7</f>
        <v>-0.30000000000107702</v>
      </c>
      <c r="AE7" s="45">
        <f t="shared" ref="AE7:AE24" si="21">AC7/(S7-S6)</f>
        <v>-0.30000000000107702</v>
      </c>
      <c r="AF7" s="50">
        <v>79851</v>
      </c>
      <c r="AG7" s="58">
        <f t="shared" ref="AG7:AG24" si="22">AF7-79839</f>
        <v>12</v>
      </c>
      <c r="AH7" s="59"/>
      <c r="AI7" s="60"/>
      <c r="AJ7" s="61"/>
      <c r="AK7" s="62"/>
      <c r="AL7" s="52"/>
      <c r="AM7" s="52"/>
    </row>
    <row r="8" spans="1:48">
      <c r="A8" s="21">
        <v>44710</v>
      </c>
      <c r="B8" s="22">
        <v>791.46479999999997</v>
      </c>
      <c r="C8" s="27">
        <v>5.9824999999999999</v>
      </c>
      <c r="D8" s="23">
        <f t="shared" si="0"/>
        <v>797.44730000000004</v>
      </c>
      <c r="E8" s="24">
        <f t="shared" si="4"/>
        <v>-0.10000000008858501</v>
      </c>
      <c r="F8" s="25">
        <f t="shared" si="5"/>
        <v>-0.49999999998817701</v>
      </c>
      <c r="G8" s="26">
        <f t="shared" si="6"/>
        <v>-0.10000000008858501</v>
      </c>
      <c r="H8" s="6">
        <v>7.5877999999999997</v>
      </c>
      <c r="I8" s="35">
        <f t="shared" si="1"/>
        <v>799.05259999999998</v>
      </c>
      <c r="J8" s="24">
        <f t="shared" si="7"/>
        <v>-0.199999999949796</v>
      </c>
      <c r="K8" s="25">
        <f t="shared" si="8"/>
        <v>-0.49999999998817701</v>
      </c>
      <c r="L8" s="26">
        <f t="shared" si="9"/>
        <v>-0.199999999949796</v>
      </c>
      <c r="M8" s="6">
        <v>5.8856000000000002</v>
      </c>
      <c r="N8" s="35">
        <f t="shared" si="2"/>
        <v>797.35040000000004</v>
      </c>
      <c r="O8" s="24">
        <f t="shared" si="10"/>
        <v>-0.20000000006348301</v>
      </c>
      <c r="P8" s="25">
        <f t="shared" si="11"/>
        <v>-0.50000000010186296</v>
      </c>
      <c r="Q8" s="26">
        <f t="shared" si="12"/>
        <v>-0.20000000006348301</v>
      </c>
      <c r="R8" s="41"/>
      <c r="S8" s="21">
        <f t="shared" si="3"/>
        <v>44710</v>
      </c>
      <c r="T8" s="42">
        <v>9.2683</v>
      </c>
      <c r="U8" s="43">
        <f t="shared" si="13"/>
        <v>-0.50000000000061096</v>
      </c>
      <c r="V8" s="44">
        <f t="shared" si="14"/>
        <v>-0.19999999999953399</v>
      </c>
      <c r="W8" s="45">
        <f t="shared" si="15"/>
        <v>0.50000000000061096</v>
      </c>
      <c r="X8" s="29">
        <v>11.848100000000001</v>
      </c>
      <c r="Y8" s="43">
        <f t="shared" si="16"/>
        <v>-0.19999999999953399</v>
      </c>
      <c r="Z8" s="44">
        <f t="shared" si="17"/>
        <v>-0.59999999999860198</v>
      </c>
      <c r="AA8" s="45">
        <f t="shared" si="18"/>
        <v>-0.19999999999953399</v>
      </c>
      <c r="AB8" s="49">
        <v>8.9423999999999992</v>
      </c>
      <c r="AC8" s="43">
        <f t="shared" si="19"/>
        <v>0.19999999999953399</v>
      </c>
      <c r="AD8" s="44">
        <f t="shared" si="20"/>
        <v>-0.10000000000154299</v>
      </c>
      <c r="AE8" s="45">
        <f t="shared" si="21"/>
        <v>0.19999999999953399</v>
      </c>
      <c r="AF8" s="50">
        <v>79857</v>
      </c>
      <c r="AG8" s="58">
        <f t="shared" si="22"/>
        <v>18</v>
      </c>
      <c r="AH8" s="59"/>
      <c r="AI8" s="60"/>
      <c r="AJ8" s="61"/>
      <c r="AK8" s="62"/>
      <c r="AL8" s="52"/>
      <c r="AM8" s="52"/>
    </row>
    <row r="9" spans="1:48">
      <c r="A9" s="21">
        <v>44711</v>
      </c>
      <c r="B9" s="22">
        <v>791.46479999999997</v>
      </c>
      <c r="C9" s="27">
        <v>5.9827000000000004</v>
      </c>
      <c r="D9" s="23">
        <f t="shared" si="0"/>
        <v>797.44749999999999</v>
      </c>
      <c r="E9" s="24">
        <f t="shared" si="4"/>
        <v>0.20000000006348301</v>
      </c>
      <c r="F9" s="25">
        <f t="shared" si="5"/>
        <v>-0.29999999992469401</v>
      </c>
      <c r="G9" s="26">
        <f t="shared" si="6"/>
        <v>0.20000000006348301</v>
      </c>
      <c r="H9" s="6">
        <v>7.5876000000000001</v>
      </c>
      <c r="I9" s="35">
        <f t="shared" si="1"/>
        <v>799.05240000000003</v>
      </c>
      <c r="J9" s="24">
        <f t="shared" si="7"/>
        <v>-0.20000000006348301</v>
      </c>
      <c r="K9" s="25">
        <f t="shared" si="8"/>
        <v>-0.70000000005165897</v>
      </c>
      <c r="L9" s="26">
        <f t="shared" si="9"/>
        <v>-0.20000000006348301</v>
      </c>
      <c r="M9" s="6">
        <v>5.8853999999999997</v>
      </c>
      <c r="N9" s="35">
        <f t="shared" si="2"/>
        <v>797.35019999999997</v>
      </c>
      <c r="O9" s="24">
        <f t="shared" si="10"/>
        <v>-0.199999999949796</v>
      </c>
      <c r="P9" s="25">
        <f t="shared" si="11"/>
        <v>-0.70000000005165897</v>
      </c>
      <c r="Q9" s="26">
        <f t="shared" si="12"/>
        <v>-0.199999999949796</v>
      </c>
      <c r="R9" s="41"/>
      <c r="S9" s="21">
        <f t="shared" si="3"/>
        <v>44711</v>
      </c>
      <c r="T9" s="42">
        <v>9.2681000000000004</v>
      </c>
      <c r="U9" s="43">
        <f t="shared" si="13"/>
        <v>-0.19999999999953399</v>
      </c>
      <c r="V9" s="44">
        <f t="shared" si="14"/>
        <v>-0.39999999999906799</v>
      </c>
      <c r="W9" s="45">
        <f t="shared" si="15"/>
        <v>0.19999999999953399</v>
      </c>
      <c r="X9" s="29">
        <v>11.8485</v>
      </c>
      <c r="Y9" s="43">
        <f t="shared" si="16"/>
        <v>0.39999999999906799</v>
      </c>
      <c r="Z9" s="44">
        <f t="shared" si="17"/>
        <v>-0.19999999999953399</v>
      </c>
      <c r="AA9" s="45">
        <f t="shared" si="18"/>
        <v>0.39999999999906799</v>
      </c>
      <c r="AB9" s="49">
        <v>8.9422999999999995</v>
      </c>
      <c r="AC9" s="43">
        <f t="shared" si="19"/>
        <v>-9.99999999997669E-2</v>
      </c>
      <c r="AD9" s="44">
        <f t="shared" si="20"/>
        <v>-0.20000000000130999</v>
      </c>
      <c r="AE9" s="45">
        <f t="shared" si="21"/>
        <v>-9.99999999997669E-2</v>
      </c>
      <c r="AF9" s="50">
        <v>79863</v>
      </c>
      <c r="AG9" s="58">
        <f t="shared" si="22"/>
        <v>24</v>
      </c>
      <c r="AH9" s="61"/>
      <c r="AI9" s="60"/>
      <c r="AJ9"/>
      <c r="AK9"/>
      <c r="AL9"/>
      <c r="AM9"/>
    </row>
    <row r="10" spans="1:48">
      <c r="A10" s="21">
        <v>44712</v>
      </c>
      <c r="B10" s="22">
        <v>791.46479999999997</v>
      </c>
      <c r="C10" s="27">
        <v>5.9824000000000002</v>
      </c>
      <c r="D10" s="23">
        <f t="shared" si="0"/>
        <v>797.44719999999995</v>
      </c>
      <c r="E10" s="24">
        <f t="shared" si="4"/>
        <v>-0.30000000003838101</v>
      </c>
      <c r="F10" s="25">
        <f t="shared" si="5"/>
        <v>-0.59999999996307496</v>
      </c>
      <c r="G10" s="26">
        <f t="shared" si="6"/>
        <v>-0.30000000003838101</v>
      </c>
      <c r="H10" s="6">
        <v>7.5876999999999999</v>
      </c>
      <c r="I10" s="35">
        <f t="shared" si="1"/>
        <v>799.05250000000001</v>
      </c>
      <c r="J10" s="24">
        <f t="shared" si="7"/>
        <v>0.10000000008858501</v>
      </c>
      <c r="K10" s="25">
        <f t="shared" si="8"/>
        <v>-0.59999999996307496</v>
      </c>
      <c r="L10" s="26">
        <f t="shared" si="9"/>
        <v>0.10000000008858501</v>
      </c>
      <c r="M10" s="6">
        <v>5.8853</v>
      </c>
      <c r="N10" s="35">
        <f t="shared" si="2"/>
        <v>797.3501</v>
      </c>
      <c r="O10" s="24">
        <f t="shared" si="10"/>
        <v>-9.9999999974897905E-2</v>
      </c>
      <c r="P10" s="25">
        <f t="shared" si="11"/>
        <v>-0.80000000002655702</v>
      </c>
      <c r="Q10" s="26">
        <f t="shared" si="12"/>
        <v>-9.9999999974897905E-2</v>
      </c>
      <c r="R10" s="41"/>
      <c r="S10" s="21">
        <f t="shared" si="3"/>
        <v>44712</v>
      </c>
      <c r="T10" s="42">
        <v>9.2678999999999991</v>
      </c>
      <c r="U10" s="43">
        <f t="shared" si="13"/>
        <v>-0.20000000000130999</v>
      </c>
      <c r="V10" s="44">
        <f t="shared" si="14"/>
        <v>-0.60000000000037801</v>
      </c>
      <c r="W10" s="45">
        <f t="shared" si="15"/>
        <v>0.20000000000130999</v>
      </c>
      <c r="X10" s="29">
        <v>11.8483</v>
      </c>
      <c r="Y10" s="43">
        <f t="shared" si="16"/>
        <v>-0.19999999999953399</v>
      </c>
      <c r="Z10" s="44">
        <f t="shared" si="17"/>
        <v>-0.39999999999906799</v>
      </c>
      <c r="AA10" s="45">
        <f t="shared" si="18"/>
        <v>-0.19999999999953399</v>
      </c>
      <c r="AB10" s="49">
        <v>8.9420999999999999</v>
      </c>
      <c r="AC10" s="43">
        <f t="shared" si="19"/>
        <v>-0.19999999999953399</v>
      </c>
      <c r="AD10" s="44">
        <f t="shared" si="20"/>
        <v>-0.40000000000084401</v>
      </c>
      <c r="AE10" s="45">
        <f t="shared" si="21"/>
        <v>-0.19999999999953399</v>
      </c>
      <c r="AF10" s="50">
        <v>79869</v>
      </c>
      <c r="AG10" s="58">
        <f t="shared" si="22"/>
        <v>30</v>
      </c>
      <c r="AH10" s="59"/>
      <c r="AI10" s="60"/>
      <c r="AJ10" s="61"/>
      <c r="AK10" s="62"/>
      <c r="AL10" s="52"/>
      <c r="AM10" s="52"/>
    </row>
    <row r="11" spans="1:48">
      <c r="A11" s="21">
        <v>44713</v>
      </c>
      <c r="B11" s="22">
        <v>791.46479999999997</v>
      </c>
      <c r="C11" s="27">
        <v>5.9821999999999997</v>
      </c>
      <c r="D11" s="23">
        <f t="shared" si="0"/>
        <v>797.447</v>
      </c>
      <c r="E11" s="24">
        <f t="shared" si="4"/>
        <v>-0.199999999949796</v>
      </c>
      <c r="F11" s="25">
        <f t="shared" si="5"/>
        <v>-0.79999999991286996</v>
      </c>
      <c r="G11" s="26">
        <f t="shared" si="6"/>
        <v>-0.199999999949796</v>
      </c>
      <c r="H11" s="6">
        <v>7.5872000000000002</v>
      </c>
      <c r="I11" s="35">
        <f t="shared" si="1"/>
        <v>799.05200000000002</v>
      </c>
      <c r="J11" s="24">
        <f t="shared" si="7"/>
        <v>-0.49999999998817701</v>
      </c>
      <c r="K11" s="25">
        <f t="shared" si="8"/>
        <v>-1.09999999995125</v>
      </c>
      <c r="L11" s="26">
        <f t="shared" si="9"/>
        <v>-0.49999999998817701</v>
      </c>
      <c r="M11" s="6">
        <v>5.8851000000000004</v>
      </c>
      <c r="N11" s="35">
        <f t="shared" si="2"/>
        <v>797.34990000000005</v>
      </c>
      <c r="O11" s="24">
        <f t="shared" si="10"/>
        <v>-0.20000000006348301</v>
      </c>
      <c r="P11" s="25">
        <f t="shared" si="11"/>
        <v>-1.00000000009004</v>
      </c>
      <c r="Q11" s="26">
        <f t="shared" si="12"/>
        <v>-0.20000000006348301</v>
      </c>
      <c r="R11" s="41"/>
      <c r="S11" s="21">
        <f t="shared" si="3"/>
        <v>44713</v>
      </c>
      <c r="T11" s="42">
        <v>9.2677999999999994</v>
      </c>
      <c r="U11" s="43">
        <f t="shared" si="13"/>
        <v>-9.99999999997669E-2</v>
      </c>
      <c r="V11" s="44">
        <f t="shared" si="14"/>
        <v>-0.70000000000014495</v>
      </c>
      <c r="W11" s="45">
        <f t="shared" si="15"/>
        <v>9.99999999997669E-2</v>
      </c>
      <c r="X11" s="29">
        <v>11.848100000000001</v>
      </c>
      <c r="Y11" s="43">
        <f t="shared" si="16"/>
        <v>-0.19999999999953399</v>
      </c>
      <c r="Z11" s="44">
        <f t="shared" si="17"/>
        <v>-0.59999999999860198</v>
      </c>
      <c r="AA11" s="45">
        <f t="shared" si="18"/>
        <v>-0.19999999999953399</v>
      </c>
      <c r="AB11" s="49">
        <v>8.9419000000000004</v>
      </c>
      <c r="AC11" s="43">
        <f t="shared" si="19"/>
        <v>-0.19999999999953399</v>
      </c>
      <c r="AD11" s="44">
        <f t="shared" si="20"/>
        <v>-0.60000000000037801</v>
      </c>
      <c r="AE11" s="45">
        <f t="shared" si="21"/>
        <v>-0.19999999999953399</v>
      </c>
      <c r="AF11" s="50">
        <v>79875</v>
      </c>
      <c r="AG11" s="58">
        <f t="shared" si="22"/>
        <v>36</v>
      </c>
      <c r="AH11" s="59"/>
      <c r="AI11" s="60"/>
      <c r="AJ11" s="52"/>
      <c r="AK11" s="52"/>
      <c r="AL11" s="52"/>
      <c r="AM11" s="52"/>
    </row>
    <row r="12" spans="1:48">
      <c r="A12" s="21">
        <v>44714</v>
      </c>
      <c r="B12" s="22">
        <v>791.46479999999997</v>
      </c>
      <c r="C12" s="27">
        <v>5.9820000000000002</v>
      </c>
      <c r="D12" s="23">
        <f t="shared" si="0"/>
        <v>797.44680000000005</v>
      </c>
      <c r="E12" s="24">
        <f t="shared" si="4"/>
        <v>-0.20000000006348301</v>
      </c>
      <c r="F12" s="25">
        <f t="shared" si="5"/>
        <v>-0.99999999997635303</v>
      </c>
      <c r="G12" s="26">
        <f t="shared" si="6"/>
        <v>-0.20000000006348301</v>
      </c>
      <c r="H12" s="6">
        <v>7.5869999999999997</v>
      </c>
      <c r="I12" s="35">
        <f t="shared" si="1"/>
        <v>799.05179999999996</v>
      </c>
      <c r="J12" s="24">
        <f t="shared" si="7"/>
        <v>-0.20000000006348301</v>
      </c>
      <c r="K12" s="25">
        <f t="shared" si="8"/>
        <v>-1.30000000001473</v>
      </c>
      <c r="L12" s="26">
        <f t="shared" si="9"/>
        <v>-0.20000000006348301</v>
      </c>
      <c r="M12" s="6">
        <v>5.8849</v>
      </c>
      <c r="N12" s="35">
        <f t="shared" si="2"/>
        <v>797.34969999999998</v>
      </c>
      <c r="O12" s="24">
        <f t="shared" si="10"/>
        <v>-0.199999999949796</v>
      </c>
      <c r="P12" s="25">
        <f t="shared" si="11"/>
        <v>-1.2000000000398401</v>
      </c>
      <c r="Q12" s="26">
        <f t="shared" si="12"/>
        <v>-0.199999999949796</v>
      </c>
      <c r="R12" s="41"/>
      <c r="S12" s="21">
        <f t="shared" si="3"/>
        <v>44714</v>
      </c>
      <c r="T12" s="42">
        <v>9.2675000000000001</v>
      </c>
      <c r="U12" s="43">
        <f t="shared" si="13"/>
        <v>-0.29999999999930099</v>
      </c>
      <c r="V12" s="44">
        <f t="shared" si="14"/>
        <v>-0.999999999999446</v>
      </c>
      <c r="W12" s="45">
        <f t="shared" si="15"/>
        <v>0.29999999999930099</v>
      </c>
      <c r="X12" s="29">
        <v>11.848000000000001</v>
      </c>
      <c r="Y12" s="43">
        <f t="shared" si="16"/>
        <v>-9.99999999997669E-2</v>
      </c>
      <c r="Z12" s="44">
        <f t="shared" si="17"/>
        <v>-0.69999999999836904</v>
      </c>
      <c r="AA12" s="45">
        <f t="shared" si="18"/>
        <v>-9.99999999997669E-2</v>
      </c>
      <c r="AB12" s="49">
        <v>8.9417000000000009</v>
      </c>
      <c r="AC12" s="43">
        <f t="shared" si="19"/>
        <v>-0.19999999999953399</v>
      </c>
      <c r="AD12" s="44">
        <f t="shared" si="20"/>
        <v>-0.799999999999912</v>
      </c>
      <c r="AE12" s="45">
        <f t="shared" si="21"/>
        <v>-0.19999999999953399</v>
      </c>
      <c r="AF12" s="50">
        <v>79881</v>
      </c>
      <c r="AG12" s="58">
        <f t="shared" si="22"/>
        <v>42</v>
      </c>
      <c r="AH12" s="61"/>
      <c r="AI12" s="60"/>
      <c r="AJ12"/>
      <c r="AK12"/>
      <c r="AL12"/>
      <c r="AM12"/>
    </row>
    <row r="13" spans="1:48">
      <c r="A13" s="21">
        <v>44715</v>
      </c>
      <c r="B13" s="22">
        <v>791.46479999999997</v>
      </c>
      <c r="C13" s="27">
        <v>5.9821</v>
      </c>
      <c r="D13" s="23">
        <f t="shared" si="0"/>
        <v>797.44690000000003</v>
      </c>
      <c r="E13" s="24">
        <f t="shared" si="4"/>
        <v>9.9999999974897905E-2</v>
      </c>
      <c r="F13" s="25">
        <f t="shared" si="5"/>
        <v>-0.90000000000145497</v>
      </c>
      <c r="G13" s="26">
        <f t="shared" si="6"/>
        <v>9.9999999974897905E-2</v>
      </c>
      <c r="H13" s="6">
        <v>7.5868000000000002</v>
      </c>
      <c r="I13" s="35">
        <f t="shared" si="1"/>
        <v>799.05160000000001</v>
      </c>
      <c r="J13" s="24">
        <f t="shared" si="7"/>
        <v>-0.199999999949796</v>
      </c>
      <c r="K13" s="25">
        <f t="shared" si="8"/>
        <v>-1.4999999999645299</v>
      </c>
      <c r="L13" s="26">
        <f t="shared" si="9"/>
        <v>-0.199999999949796</v>
      </c>
      <c r="M13" s="6">
        <v>5.8848000000000003</v>
      </c>
      <c r="N13" s="35">
        <f t="shared" si="2"/>
        <v>797.34960000000001</v>
      </c>
      <c r="O13" s="24">
        <f t="shared" si="10"/>
        <v>-9.9999999974897905E-2</v>
      </c>
      <c r="P13" s="25">
        <f t="shared" si="11"/>
        <v>-1.30000000001473</v>
      </c>
      <c r="Q13" s="26">
        <f t="shared" si="12"/>
        <v>-9.9999999974897905E-2</v>
      </c>
      <c r="R13" s="41"/>
      <c r="S13" s="21">
        <f t="shared" si="3"/>
        <v>44715</v>
      </c>
      <c r="T13" s="42">
        <v>9.2673000000000005</v>
      </c>
      <c r="U13" s="43">
        <f t="shared" si="13"/>
        <v>-0.19999999999953399</v>
      </c>
      <c r="V13" s="44">
        <f t="shared" si="14"/>
        <v>-1.1999999999989801</v>
      </c>
      <c r="W13" s="45">
        <f t="shared" si="15"/>
        <v>0.19999999999953399</v>
      </c>
      <c r="X13" s="29">
        <v>11.8477</v>
      </c>
      <c r="Y13" s="43">
        <f t="shared" si="16"/>
        <v>-0.30000000000107702</v>
      </c>
      <c r="Z13" s="44">
        <f t="shared" si="17"/>
        <v>-0.999999999999446</v>
      </c>
      <c r="AA13" s="45">
        <f t="shared" si="18"/>
        <v>-0.30000000000107702</v>
      </c>
      <c r="AB13" s="49">
        <v>8.9418000000000006</v>
      </c>
      <c r="AC13" s="43">
        <f t="shared" si="19"/>
        <v>9.99999999997669E-2</v>
      </c>
      <c r="AD13" s="44">
        <f t="shared" si="20"/>
        <v>-0.70000000000014495</v>
      </c>
      <c r="AE13" s="45">
        <f t="shared" si="21"/>
        <v>9.99999999997669E-2</v>
      </c>
      <c r="AF13" s="50">
        <v>79887</v>
      </c>
      <c r="AG13" s="58">
        <f t="shared" si="22"/>
        <v>48</v>
      </c>
      <c r="AH13" s="61"/>
      <c r="AI13" s="60"/>
      <c r="AJ13"/>
      <c r="AK13"/>
      <c r="AL13"/>
      <c r="AM13"/>
    </row>
    <row r="14" spans="1:48">
      <c r="A14" s="21">
        <v>44716</v>
      </c>
      <c r="B14" s="22">
        <v>791.46479999999997</v>
      </c>
      <c r="C14" s="27">
        <v>5.9816000000000003</v>
      </c>
      <c r="D14" s="23">
        <f t="shared" si="0"/>
        <v>797.44640000000004</v>
      </c>
      <c r="E14" s="24">
        <f t="shared" si="4"/>
        <v>-0.49999999998817701</v>
      </c>
      <c r="F14" s="25">
        <f t="shared" si="5"/>
        <v>-1.39999999998963</v>
      </c>
      <c r="G14" s="26">
        <f t="shared" si="6"/>
        <v>-0.49999999998817701</v>
      </c>
      <c r="H14" s="6">
        <v>7.5869999999999997</v>
      </c>
      <c r="I14" s="35">
        <f t="shared" si="1"/>
        <v>799.05179999999996</v>
      </c>
      <c r="J14" s="24">
        <f t="shared" si="7"/>
        <v>0.199999999949796</v>
      </c>
      <c r="K14" s="25">
        <f t="shared" si="8"/>
        <v>-1.30000000001473</v>
      </c>
      <c r="L14" s="26">
        <f t="shared" si="9"/>
        <v>0.199999999949796</v>
      </c>
      <c r="M14" s="6">
        <v>5.8845000000000001</v>
      </c>
      <c r="N14" s="35">
        <f t="shared" si="2"/>
        <v>797.34929999999997</v>
      </c>
      <c r="O14" s="24">
        <f t="shared" si="10"/>
        <v>-0.30000000003838101</v>
      </c>
      <c r="P14" s="25">
        <f t="shared" si="11"/>
        <v>-1.60000000005311</v>
      </c>
      <c r="Q14" s="26">
        <f t="shared" si="12"/>
        <v>-0.30000000003838101</v>
      </c>
      <c r="R14" s="41"/>
      <c r="S14" s="21">
        <f t="shared" si="3"/>
        <v>44716</v>
      </c>
      <c r="T14" s="42">
        <v>9.2674000000000003</v>
      </c>
      <c r="U14" s="43">
        <f t="shared" si="13"/>
        <v>9.99999999997669E-2</v>
      </c>
      <c r="V14" s="44">
        <f t="shared" si="14"/>
        <v>-1.0999999999992101</v>
      </c>
      <c r="W14" s="45">
        <f t="shared" si="15"/>
        <v>-9.99999999997669E-2</v>
      </c>
      <c r="X14" s="29">
        <v>11.8475</v>
      </c>
      <c r="Y14" s="43">
        <f t="shared" si="16"/>
        <v>-0.19999999999953399</v>
      </c>
      <c r="Z14" s="44">
        <f t="shared" si="17"/>
        <v>-1.1999999999989801</v>
      </c>
      <c r="AA14" s="45">
        <f t="shared" si="18"/>
        <v>-0.19999999999953399</v>
      </c>
      <c r="AB14" s="49">
        <v>8.9413</v>
      </c>
      <c r="AC14" s="43">
        <f t="shared" si="19"/>
        <v>-0.50000000000061096</v>
      </c>
      <c r="AD14" s="44">
        <f t="shared" si="20"/>
        <v>-1.20000000000076</v>
      </c>
      <c r="AE14" s="45">
        <f t="shared" si="21"/>
        <v>-0.50000000000061096</v>
      </c>
      <c r="AF14" s="50">
        <v>79893</v>
      </c>
      <c r="AG14" s="58">
        <f t="shared" si="22"/>
        <v>54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44717</v>
      </c>
      <c r="B15" s="22">
        <v>791.46479999999997</v>
      </c>
      <c r="C15" s="27">
        <v>5.9813999999999998</v>
      </c>
      <c r="D15" s="23">
        <f t="shared" si="0"/>
        <v>797.44619999999998</v>
      </c>
      <c r="E15" s="24">
        <f t="shared" si="4"/>
        <v>-0.199999999949796</v>
      </c>
      <c r="F15" s="25">
        <f t="shared" si="5"/>
        <v>-1.5999999999394301</v>
      </c>
      <c r="G15" s="26">
        <f t="shared" si="6"/>
        <v>-0.199999999949796</v>
      </c>
      <c r="H15" s="6">
        <v>7.5864000000000003</v>
      </c>
      <c r="I15" s="35">
        <f t="shared" si="1"/>
        <v>799.05119999999999</v>
      </c>
      <c r="J15" s="24">
        <f t="shared" si="7"/>
        <v>-0.59999999996307496</v>
      </c>
      <c r="K15" s="25">
        <f t="shared" si="8"/>
        <v>-1.8999999999778101</v>
      </c>
      <c r="L15" s="26">
        <f t="shared" si="9"/>
        <v>-0.59999999996307496</v>
      </c>
      <c r="M15" s="6">
        <v>5.8842999999999996</v>
      </c>
      <c r="N15" s="35">
        <f t="shared" si="2"/>
        <v>797.34910000000002</v>
      </c>
      <c r="O15" s="24">
        <f t="shared" si="10"/>
        <v>-0.199999999949796</v>
      </c>
      <c r="P15" s="25">
        <f t="shared" si="11"/>
        <v>-1.8000000000029099</v>
      </c>
      <c r="Q15" s="26">
        <f t="shared" si="12"/>
        <v>-0.199999999949796</v>
      </c>
      <c r="R15" s="41"/>
      <c r="S15" s="21">
        <f t="shared" si="3"/>
        <v>44717</v>
      </c>
      <c r="T15" s="42">
        <v>9.2668999999999997</v>
      </c>
      <c r="U15" s="43">
        <f t="shared" si="13"/>
        <v>-0.50000000000061096</v>
      </c>
      <c r="V15" s="44">
        <f t="shared" si="14"/>
        <v>-1.59999999999982</v>
      </c>
      <c r="W15" s="45">
        <f t="shared" si="15"/>
        <v>0.50000000000061096</v>
      </c>
      <c r="X15" s="29">
        <v>11.847799999999999</v>
      </c>
      <c r="Y15" s="43">
        <f t="shared" si="16"/>
        <v>0.29999999999930099</v>
      </c>
      <c r="Z15" s="44">
        <f t="shared" si="17"/>
        <v>-0.89999999999967895</v>
      </c>
      <c r="AA15" s="45">
        <f t="shared" si="18"/>
        <v>0.29999999999930099</v>
      </c>
      <c r="AB15" s="49">
        <v>8.9411000000000005</v>
      </c>
      <c r="AC15" s="43">
        <f t="shared" si="19"/>
        <v>-0.19999999999953399</v>
      </c>
      <c r="AD15" s="44">
        <f t="shared" si="20"/>
        <v>-1.4000000000002899</v>
      </c>
      <c r="AE15" s="45">
        <f t="shared" si="21"/>
        <v>-0.19999999999953399</v>
      </c>
      <c r="AF15" s="50">
        <v>79899</v>
      </c>
      <c r="AG15" s="58">
        <f t="shared" si="22"/>
        <v>60</v>
      </c>
      <c r="AH15" s="61"/>
      <c r="AI15" s="60"/>
      <c r="AJ15"/>
      <c r="AK15"/>
      <c r="AL15"/>
      <c r="AM15"/>
    </row>
    <row r="16" spans="1:48">
      <c r="A16" s="21">
        <v>44718</v>
      </c>
      <c r="B16" s="22">
        <v>791.46479999999997</v>
      </c>
      <c r="C16" s="27">
        <v>5.9817</v>
      </c>
      <c r="D16" s="23">
        <f t="shared" si="0"/>
        <v>797.44650000000001</v>
      </c>
      <c r="E16" s="24">
        <f t="shared" si="4"/>
        <v>0.30000000003838101</v>
      </c>
      <c r="F16" s="25">
        <f t="shared" si="5"/>
        <v>-1.2999999999010501</v>
      </c>
      <c r="G16" s="26">
        <f t="shared" si="6"/>
        <v>0.30000000003838101</v>
      </c>
      <c r="H16" s="6">
        <v>7.5861999999999998</v>
      </c>
      <c r="I16" s="35">
        <f t="shared" si="1"/>
        <v>799.05100000000004</v>
      </c>
      <c r="J16" s="24">
        <f t="shared" si="7"/>
        <v>-0.20000000006348301</v>
      </c>
      <c r="K16" s="25">
        <f t="shared" si="8"/>
        <v>-2.1000000000412902</v>
      </c>
      <c r="L16" s="26">
        <f t="shared" si="9"/>
        <v>-0.20000000006348301</v>
      </c>
      <c r="M16" s="6">
        <v>5.8842999999999996</v>
      </c>
      <c r="N16" s="35">
        <f t="shared" si="2"/>
        <v>797.34910000000002</v>
      </c>
      <c r="O16" s="24">
        <f t="shared" si="10"/>
        <v>0</v>
      </c>
      <c r="P16" s="25">
        <f t="shared" si="11"/>
        <v>-1.8000000000029099</v>
      </c>
      <c r="Q16" s="26">
        <f t="shared" si="12"/>
        <v>0</v>
      </c>
      <c r="R16" s="41"/>
      <c r="S16" s="21">
        <f t="shared" si="3"/>
        <v>44718</v>
      </c>
      <c r="T16" s="42">
        <v>9.2667000000000002</v>
      </c>
      <c r="U16" s="43">
        <f t="shared" si="13"/>
        <v>-0.19999999999953399</v>
      </c>
      <c r="V16" s="44">
        <f t="shared" si="14"/>
        <v>-1.7999999999993599</v>
      </c>
      <c r="W16" s="45">
        <f t="shared" si="15"/>
        <v>0.19999999999953399</v>
      </c>
      <c r="X16" s="29">
        <v>11.847099999999999</v>
      </c>
      <c r="Y16" s="43">
        <f t="shared" si="16"/>
        <v>-0.70000000000014495</v>
      </c>
      <c r="Z16" s="44">
        <f t="shared" si="17"/>
        <v>-1.59999999999982</v>
      </c>
      <c r="AA16" s="45">
        <f t="shared" si="18"/>
        <v>-0.70000000000014495</v>
      </c>
      <c r="AB16" s="49">
        <v>8.9414999999999996</v>
      </c>
      <c r="AC16" s="43">
        <f t="shared" si="19"/>
        <v>0.39999999999906799</v>
      </c>
      <c r="AD16" s="44">
        <f t="shared" si="20"/>
        <v>-1.0000000000012199</v>
      </c>
      <c r="AE16" s="45">
        <f t="shared" si="21"/>
        <v>0.39999999999906799</v>
      </c>
      <c r="AF16" s="50">
        <v>79905</v>
      </c>
      <c r="AG16" s="58">
        <f t="shared" si="22"/>
        <v>66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44719</v>
      </c>
      <c r="B17" s="22">
        <v>791.46479999999997</v>
      </c>
      <c r="C17" s="27">
        <v>5.9809999999999999</v>
      </c>
      <c r="D17" s="23">
        <f t="shared" si="0"/>
        <v>797.44579999999996</v>
      </c>
      <c r="E17" s="24">
        <f t="shared" si="4"/>
        <v>-0.70000000005165897</v>
      </c>
      <c r="F17" s="25">
        <f t="shared" si="5"/>
        <v>-1.9999999999527101</v>
      </c>
      <c r="G17" s="26">
        <f t="shared" si="6"/>
        <v>-0.70000000005165897</v>
      </c>
      <c r="H17" s="6">
        <v>7.5865</v>
      </c>
      <c r="I17" s="35">
        <f t="shared" si="1"/>
        <v>799.05129999999997</v>
      </c>
      <c r="J17" s="24">
        <f t="shared" si="7"/>
        <v>0.30000000003838101</v>
      </c>
      <c r="K17" s="25">
        <f t="shared" si="8"/>
        <v>-1.8000000000029099</v>
      </c>
      <c r="L17" s="26">
        <f t="shared" si="9"/>
        <v>0.30000000003838101</v>
      </c>
      <c r="M17" s="6">
        <v>5.8838999999999997</v>
      </c>
      <c r="N17" s="35">
        <f t="shared" si="2"/>
        <v>797.34870000000001</v>
      </c>
      <c r="O17" s="24">
        <f t="shared" si="10"/>
        <v>-0.40000000001327901</v>
      </c>
      <c r="P17" s="25">
        <f t="shared" si="11"/>
        <v>-2.2000000000161899</v>
      </c>
      <c r="Q17" s="26">
        <f t="shared" si="12"/>
        <v>-0.40000000001327901</v>
      </c>
      <c r="R17" s="41"/>
      <c r="S17" s="21">
        <f t="shared" si="3"/>
        <v>44719</v>
      </c>
      <c r="T17" s="42">
        <v>9.2669999999999995</v>
      </c>
      <c r="U17" s="43">
        <f t="shared" si="13"/>
        <v>0.29999999999930099</v>
      </c>
      <c r="V17" s="44">
        <f t="shared" si="14"/>
        <v>-1.50000000000006</v>
      </c>
      <c r="W17" s="45">
        <f t="shared" si="15"/>
        <v>-0.29999999999930099</v>
      </c>
      <c r="X17" s="29">
        <v>11.8469</v>
      </c>
      <c r="Y17" s="43">
        <f t="shared" si="16"/>
        <v>-0.19999999999953399</v>
      </c>
      <c r="Z17" s="44">
        <f t="shared" si="17"/>
        <v>-1.7999999999993599</v>
      </c>
      <c r="AA17" s="45">
        <f t="shared" si="18"/>
        <v>-0.19999999999953399</v>
      </c>
      <c r="AB17" s="49">
        <v>8.9406999999999996</v>
      </c>
      <c r="AC17" s="43">
        <f t="shared" si="19"/>
        <v>-0.799999999999912</v>
      </c>
      <c r="AD17" s="44">
        <f t="shared" si="20"/>
        <v>-1.80000000000113</v>
      </c>
      <c r="AE17" s="45">
        <f t="shared" si="21"/>
        <v>-0.799999999999912</v>
      </c>
      <c r="AF17" s="50">
        <v>79911</v>
      </c>
      <c r="AG17" s="58">
        <f t="shared" si="22"/>
        <v>72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44720</v>
      </c>
      <c r="B18" s="22">
        <v>791.46479999999997</v>
      </c>
      <c r="C18" s="27">
        <v>5.9808000000000003</v>
      </c>
      <c r="D18" s="23">
        <f t="shared" si="0"/>
        <v>797.44560000000001</v>
      </c>
      <c r="E18" s="24">
        <f t="shared" si="4"/>
        <v>-0.199999999949796</v>
      </c>
      <c r="F18" s="25">
        <f t="shared" si="5"/>
        <v>-2.1999999999024999</v>
      </c>
      <c r="G18" s="26">
        <f t="shared" si="6"/>
        <v>-0.199999999949796</v>
      </c>
      <c r="H18" s="6">
        <v>7.5857999999999999</v>
      </c>
      <c r="I18" s="35">
        <f t="shared" si="1"/>
        <v>799.05060000000003</v>
      </c>
      <c r="J18" s="24">
        <f t="shared" si="7"/>
        <v>-0.70000000005165897</v>
      </c>
      <c r="K18" s="25">
        <f t="shared" si="8"/>
        <v>-2.5000000000545701</v>
      </c>
      <c r="L18" s="26">
        <f t="shared" si="9"/>
        <v>-0.70000000005165897</v>
      </c>
      <c r="M18" s="6">
        <v>5.8837000000000002</v>
      </c>
      <c r="N18" s="35">
        <f t="shared" si="2"/>
        <v>797.34849999999994</v>
      </c>
      <c r="O18" s="24">
        <f t="shared" si="10"/>
        <v>-0.20000000006348301</v>
      </c>
      <c r="P18" s="25">
        <f t="shared" si="11"/>
        <v>-2.40000000007967</v>
      </c>
      <c r="Q18" s="26">
        <f t="shared" si="12"/>
        <v>-0.20000000006348301</v>
      </c>
      <c r="R18" s="41"/>
      <c r="S18" s="21">
        <f t="shared" si="3"/>
        <v>44720</v>
      </c>
      <c r="T18" s="42">
        <v>9.2662999999999993</v>
      </c>
      <c r="U18" s="43">
        <f t="shared" si="13"/>
        <v>-0.70000000000014495</v>
      </c>
      <c r="V18" s="44">
        <f t="shared" si="14"/>
        <v>-2.2000000000002</v>
      </c>
      <c r="W18" s="45">
        <f t="shared" si="15"/>
        <v>0.70000000000014495</v>
      </c>
      <c r="X18" s="29">
        <v>11.846500000000001</v>
      </c>
      <c r="Y18" s="43">
        <f t="shared" si="16"/>
        <v>-0.39999999999906799</v>
      </c>
      <c r="Z18" s="44">
        <f t="shared" si="17"/>
        <v>-2.1999999999984299</v>
      </c>
      <c r="AA18" s="45">
        <f t="shared" si="18"/>
        <v>-0.39999999999906799</v>
      </c>
      <c r="AB18" s="49">
        <v>8.9405000000000001</v>
      </c>
      <c r="AC18" s="43">
        <f t="shared" si="19"/>
        <v>-0.19999999999953399</v>
      </c>
      <c r="AD18" s="44">
        <f t="shared" si="20"/>
        <v>-2.0000000000006701</v>
      </c>
      <c r="AE18" s="45">
        <f t="shared" si="21"/>
        <v>-0.19999999999953399</v>
      </c>
      <c r="AF18" s="50">
        <v>79917</v>
      </c>
      <c r="AG18" s="58">
        <f t="shared" si="22"/>
        <v>78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44721</v>
      </c>
      <c r="B19" s="22">
        <v>791.46479999999997</v>
      </c>
      <c r="C19" s="27">
        <v>5.9814999999999996</v>
      </c>
      <c r="D19" s="23">
        <f t="shared" si="0"/>
        <v>797.44629999999995</v>
      </c>
      <c r="E19" s="24">
        <f t="shared" si="4"/>
        <v>0.69999999993797202</v>
      </c>
      <c r="F19" s="25">
        <f t="shared" si="5"/>
        <v>-1.4999999999645299</v>
      </c>
      <c r="G19" s="26">
        <f t="shared" si="6"/>
        <v>0.69999999993797202</v>
      </c>
      <c r="H19" s="6">
        <v>7.5856000000000003</v>
      </c>
      <c r="I19" s="35">
        <f t="shared" si="1"/>
        <v>799.05039999999997</v>
      </c>
      <c r="J19" s="24">
        <f t="shared" si="7"/>
        <v>-0.199999999949796</v>
      </c>
      <c r="K19" s="25">
        <f t="shared" si="8"/>
        <v>-2.70000000000437</v>
      </c>
      <c r="L19" s="26">
        <f t="shared" si="9"/>
        <v>-0.199999999949796</v>
      </c>
      <c r="M19" s="6">
        <v>5.8834999999999997</v>
      </c>
      <c r="N19" s="35">
        <f t="shared" si="2"/>
        <v>797.34829999999999</v>
      </c>
      <c r="O19" s="24">
        <f t="shared" si="10"/>
        <v>-0.199999999949796</v>
      </c>
      <c r="P19" s="25">
        <f t="shared" si="11"/>
        <v>-2.6000000000294698</v>
      </c>
      <c r="Q19" s="26">
        <f t="shared" si="12"/>
        <v>-0.199999999949796</v>
      </c>
      <c r="R19" s="41"/>
      <c r="S19" s="21">
        <f t="shared" si="3"/>
        <v>44721</v>
      </c>
      <c r="T19" s="42">
        <v>9.2661000000000104</v>
      </c>
      <c r="U19" s="43">
        <f t="shared" si="13"/>
        <v>-0.19999999998887599</v>
      </c>
      <c r="V19" s="44">
        <f t="shared" si="14"/>
        <v>-2.3999999999890802</v>
      </c>
      <c r="W19" s="45">
        <f t="shared" si="15"/>
        <v>0.19999999998887599</v>
      </c>
      <c r="X19" s="29">
        <v>11.846500000000001</v>
      </c>
      <c r="Y19" s="43">
        <f t="shared" si="16"/>
        <v>0</v>
      </c>
      <c r="Z19" s="44">
        <f t="shared" si="17"/>
        <v>-2.1999999999984299</v>
      </c>
      <c r="AA19" s="45">
        <f t="shared" si="18"/>
        <v>0</v>
      </c>
      <c r="AB19" s="49">
        <v>8.9402000000000008</v>
      </c>
      <c r="AC19" s="43">
        <f t="shared" si="19"/>
        <v>-0.29999999999930099</v>
      </c>
      <c r="AD19" s="44">
        <f t="shared" si="20"/>
        <v>-2.2999999999999701</v>
      </c>
      <c r="AE19" s="45">
        <f t="shared" si="21"/>
        <v>-0.29999999999930099</v>
      </c>
      <c r="AF19" s="50">
        <v>79923</v>
      </c>
      <c r="AG19" s="58">
        <f t="shared" si="22"/>
        <v>84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44722</v>
      </c>
      <c r="B20" s="22">
        <v>791.46479999999997</v>
      </c>
      <c r="C20" s="27">
        <v>5.9804000000000004</v>
      </c>
      <c r="D20" s="23">
        <f t="shared" si="0"/>
        <v>797.4452</v>
      </c>
      <c r="E20" s="24">
        <f t="shared" si="4"/>
        <v>-1.09999999995125</v>
      </c>
      <c r="F20" s="25">
        <f t="shared" si="5"/>
        <v>-2.5999999999157799</v>
      </c>
      <c r="G20" s="26">
        <f t="shared" si="6"/>
        <v>-1.09999999995125</v>
      </c>
      <c r="H20" s="6">
        <v>7.5862999999999996</v>
      </c>
      <c r="I20" s="35">
        <f t="shared" si="1"/>
        <v>799.05110000000002</v>
      </c>
      <c r="J20" s="24">
        <f t="shared" si="7"/>
        <v>0.70000000005165897</v>
      </c>
      <c r="K20" s="25">
        <f t="shared" si="8"/>
        <v>-1.9999999999527101</v>
      </c>
      <c r="L20" s="26">
        <f t="shared" si="9"/>
        <v>0.70000000005165897</v>
      </c>
      <c r="M20" s="6">
        <v>5.8836000000000004</v>
      </c>
      <c r="N20" s="35">
        <f t="shared" si="2"/>
        <v>797.34839999999997</v>
      </c>
      <c r="O20" s="24">
        <f t="shared" si="10"/>
        <v>9.9999999974897905E-2</v>
      </c>
      <c r="P20" s="25">
        <f t="shared" si="11"/>
        <v>-2.5000000000545701</v>
      </c>
      <c r="Q20" s="26">
        <f t="shared" si="12"/>
        <v>9.9999999974897905E-2</v>
      </c>
      <c r="R20" s="41"/>
      <c r="S20" s="21">
        <f t="shared" si="3"/>
        <v>44722</v>
      </c>
      <c r="T20" s="42">
        <v>9.2665000000000006</v>
      </c>
      <c r="U20" s="43">
        <f t="shared" si="13"/>
        <v>0.39999999999018598</v>
      </c>
      <c r="V20" s="44">
        <f t="shared" si="14"/>
        <v>-1.99999999999889</v>
      </c>
      <c r="W20" s="45">
        <f t="shared" si="15"/>
        <v>-0.39999999999018598</v>
      </c>
      <c r="X20" s="29">
        <v>11.846299999999999</v>
      </c>
      <c r="Y20" s="43">
        <f t="shared" si="16"/>
        <v>-0.20000000000130999</v>
      </c>
      <c r="Z20" s="44">
        <f t="shared" si="17"/>
        <v>-2.3999999999997401</v>
      </c>
      <c r="AA20" s="45">
        <f t="shared" si="18"/>
        <v>-0.20000000000130999</v>
      </c>
      <c r="AB20" s="49">
        <v>8.9400999999999993</v>
      </c>
      <c r="AC20" s="43">
        <f t="shared" si="19"/>
        <v>-0.10000000000154299</v>
      </c>
      <c r="AD20" s="44">
        <f t="shared" si="20"/>
        <v>-2.4000000000015098</v>
      </c>
      <c r="AE20" s="45">
        <f t="shared" si="21"/>
        <v>-0.10000000000154299</v>
      </c>
      <c r="AF20" s="50">
        <v>79929</v>
      </c>
      <c r="AG20" s="58">
        <f t="shared" si="22"/>
        <v>90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44724</v>
      </c>
      <c r="B21" s="22">
        <v>791.46479999999997</v>
      </c>
      <c r="C21" s="27">
        <v>5.9802</v>
      </c>
      <c r="D21" s="23">
        <f t="shared" si="0"/>
        <v>797.44500000000005</v>
      </c>
      <c r="E21" s="24">
        <f t="shared" si="4"/>
        <v>-0.20000000006348301</v>
      </c>
      <c r="F21" s="25">
        <f t="shared" si="5"/>
        <v>-2.79999999997926</v>
      </c>
      <c r="G21" s="26">
        <f t="shared" si="6"/>
        <v>-0.100000000031741</v>
      </c>
      <c r="H21" s="6">
        <v>7.5851999999999897</v>
      </c>
      <c r="I21" s="35">
        <f t="shared" si="1"/>
        <v>799.05</v>
      </c>
      <c r="J21" s="24">
        <f t="shared" si="7"/>
        <v>-1.1000000000649399</v>
      </c>
      <c r="K21" s="25">
        <f t="shared" si="8"/>
        <v>-3.1000000000176402</v>
      </c>
      <c r="L21" s="26">
        <f t="shared" si="9"/>
        <v>-0.55000000003246896</v>
      </c>
      <c r="M21" s="6">
        <v>5.8831000000000104</v>
      </c>
      <c r="N21" s="35">
        <f t="shared" si="2"/>
        <v>797.34789999999998</v>
      </c>
      <c r="O21" s="24">
        <f t="shared" si="10"/>
        <v>-0.49999999998817701</v>
      </c>
      <c r="P21" s="25">
        <f t="shared" si="11"/>
        <v>-3.0000000000427498</v>
      </c>
      <c r="Q21" s="26">
        <f t="shared" si="12"/>
        <v>-0.24999999999408801</v>
      </c>
      <c r="R21" s="41"/>
      <c r="S21" s="21">
        <f t="shared" si="3"/>
        <v>44724</v>
      </c>
      <c r="T21" s="42">
        <v>9.2657000000000096</v>
      </c>
      <c r="U21" s="43">
        <f t="shared" si="13"/>
        <v>-0.79999999999103</v>
      </c>
      <c r="V21" s="44">
        <f t="shared" si="14"/>
        <v>-2.7999999999899199</v>
      </c>
      <c r="W21" s="45">
        <f t="shared" si="15"/>
        <v>0.399999999995515</v>
      </c>
      <c r="X21" s="29">
        <v>11.8461</v>
      </c>
      <c r="Y21" s="43">
        <f t="shared" si="16"/>
        <v>-0.19999999999953399</v>
      </c>
      <c r="Z21" s="44">
        <f t="shared" si="17"/>
        <v>-2.59999999999927</v>
      </c>
      <c r="AA21" s="45">
        <f t="shared" si="18"/>
        <v>-9.99999999997669E-2</v>
      </c>
      <c r="AB21" s="49">
        <v>8.9399000000000104</v>
      </c>
      <c r="AC21" s="43">
        <f t="shared" si="19"/>
        <v>-0.19999999998887599</v>
      </c>
      <c r="AD21" s="44">
        <f t="shared" si="20"/>
        <v>-2.59999999999039</v>
      </c>
      <c r="AE21" s="45">
        <f t="shared" si="21"/>
        <v>-9.9999999994437899E-2</v>
      </c>
      <c r="AF21" s="50">
        <v>79935</v>
      </c>
      <c r="AG21" s="58">
        <f t="shared" si="22"/>
        <v>96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44726</v>
      </c>
      <c r="B22" s="22">
        <v>791.46479999999997</v>
      </c>
      <c r="C22" s="27">
        <v>5.98</v>
      </c>
      <c r="D22" s="23">
        <f t="shared" si="0"/>
        <v>797.44479999999999</v>
      </c>
      <c r="E22" s="24">
        <f t="shared" si="4"/>
        <v>-0.199999999949796</v>
      </c>
      <c r="F22" s="25">
        <f t="shared" si="5"/>
        <v>-2.9999999999290599</v>
      </c>
      <c r="G22" s="26">
        <f t="shared" si="6"/>
        <v>-9.9999999974897905E-2</v>
      </c>
      <c r="H22" s="6">
        <v>7.5849999999999902</v>
      </c>
      <c r="I22" s="35">
        <f t="shared" si="1"/>
        <v>799.0498</v>
      </c>
      <c r="J22" s="24">
        <f t="shared" si="7"/>
        <v>-0.199999999949796</v>
      </c>
      <c r="K22" s="25">
        <f t="shared" si="8"/>
        <v>-3.2999999999674401</v>
      </c>
      <c r="L22" s="26">
        <f t="shared" si="9"/>
        <v>-9.9999999974897905E-2</v>
      </c>
      <c r="M22" s="6">
        <v>5.88290000000001</v>
      </c>
      <c r="N22" s="35">
        <f t="shared" si="2"/>
        <v>797.34770000000003</v>
      </c>
      <c r="O22" s="24">
        <f t="shared" si="10"/>
        <v>-0.199999999949796</v>
      </c>
      <c r="P22" s="25">
        <f t="shared" si="11"/>
        <v>-3.1999999999925399</v>
      </c>
      <c r="Q22" s="26">
        <f t="shared" si="12"/>
        <v>-9.9999999974897905E-2</v>
      </c>
      <c r="R22" s="41"/>
      <c r="S22" s="21">
        <f t="shared" si="3"/>
        <v>44726</v>
      </c>
      <c r="T22" s="42">
        <v>9.2655000000000101</v>
      </c>
      <c r="U22" s="43">
        <f t="shared" si="13"/>
        <v>-0.19999999999953399</v>
      </c>
      <c r="V22" s="44">
        <f t="shared" si="14"/>
        <v>-2.99999999998946</v>
      </c>
      <c r="W22" s="45">
        <f t="shared" si="15"/>
        <v>9.99999999997669E-2</v>
      </c>
      <c r="X22" s="29">
        <v>11.846</v>
      </c>
      <c r="Y22" s="43">
        <f t="shared" si="16"/>
        <v>-9.99999999997669E-2</v>
      </c>
      <c r="Z22" s="44">
        <f t="shared" si="17"/>
        <v>-2.6999999999990401</v>
      </c>
      <c r="AA22" s="45">
        <f t="shared" si="18"/>
        <v>-4.9999999999883499E-2</v>
      </c>
      <c r="AB22" s="49">
        <v>8.94</v>
      </c>
      <c r="AC22" s="43">
        <f t="shared" si="19"/>
        <v>9.9999999989108801E-2</v>
      </c>
      <c r="AD22" s="44">
        <f t="shared" si="20"/>
        <v>-2.5000000000012799</v>
      </c>
      <c r="AE22" s="45">
        <f t="shared" si="21"/>
        <v>4.99999999945544E-2</v>
      </c>
      <c r="AF22" s="50">
        <v>79941</v>
      </c>
      <c r="AG22" s="58">
        <f t="shared" si="22"/>
        <v>102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44728</v>
      </c>
      <c r="B23" s="22">
        <v>791.46479999999997</v>
      </c>
      <c r="C23" s="27">
        <v>5.9797999999999902</v>
      </c>
      <c r="D23" s="23">
        <f t="shared" si="0"/>
        <v>797.44460000000004</v>
      </c>
      <c r="E23" s="24">
        <f t="shared" si="4"/>
        <v>-0.20000000006348301</v>
      </c>
      <c r="F23" s="25">
        <f t="shared" si="5"/>
        <v>-3.1999999999925399</v>
      </c>
      <c r="G23" s="26">
        <f t="shared" si="6"/>
        <v>-0.100000000031741</v>
      </c>
      <c r="H23" s="6">
        <v>7.5852000000000004</v>
      </c>
      <c r="I23" s="35">
        <f t="shared" si="1"/>
        <v>799.05</v>
      </c>
      <c r="J23" s="24">
        <f t="shared" si="7"/>
        <v>0.199999999949796</v>
      </c>
      <c r="K23" s="25">
        <f t="shared" si="8"/>
        <v>-3.1000000000176402</v>
      </c>
      <c r="L23" s="26">
        <f t="shared" si="9"/>
        <v>9.9999999974897905E-2</v>
      </c>
      <c r="M23" s="6">
        <v>5.8827000000000096</v>
      </c>
      <c r="N23" s="35">
        <f t="shared" si="2"/>
        <v>797.34749999999997</v>
      </c>
      <c r="O23" s="24">
        <f t="shared" si="10"/>
        <v>-0.20000000006348301</v>
      </c>
      <c r="P23" s="25">
        <f t="shared" si="11"/>
        <v>-3.40000000005602</v>
      </c>
      <c r="Q23" s="26">
        <f t="shared" si="12"/>
        <v>-0.100000000031741</v>
      </c>
      <c r="R23" s="41"/>
      <c r="S23" s="21">
        <f t="shared" si="3"/>
        <v>44728</v>
      </c>
      <c r="T23" s="42">
        <v>9.2653000000000105</v>
      </c>
      <c r="U23" s="43">
        <f t="shared" si="13"/>
        <v>-0.19999999999953399</v>
      </c>
      <c r="V23" s="44">
        <f t="shared" si="14"/>
        <v>-3.1999999999889899</v>
      </c>
      <c r="W23" s="45">
        <f t="shared" si="15"/>
        <v>9.99999999997669E-2</v>
      </c>
      <c r="X23" s="29">
        <v>11.845700000000001</v>
      </c>
      <c r="Y23" s="43">
        <f t="shared" si="16"/>
        <v>-0.29999999999930099</v>
      </c>
      <c r="Z23" s="44">
        <f t="shared" si="17"/>
        <v>-2.99999999999834</v>
      </c>
      <c r="AA23" s="45">
        <f t="shared" si="18"/>
        <v>-0.14999999999965</v>
      </c>
      <c r="AB23" s="49">
        <v>8.9395000000000095</v>
      </c>
      <c r="AC23" s="43">
        <f t="shared" si="19"/>
        <v>-0.49999999998995298</v>
      </c>
      <c r="AD23" s="44">
        <f t="shared" si="20"/>
        <v>-2.9999999999912301</v>
      </c>
      <c r="AE23" s="45">
        <f t="shared" si="21"/>
        <v>-0.24999999999497599</v>
      </c>
      <c r="AF23" s="50">
        <v>79943</v>
      </c>
      <c r="AG23" s="58">
        <f t="shared" si="22"/>
        <v>104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44730</v>
      </c>
      <c r="B24" s="22">
        <v>791.46479999999997</v>
      </c>
      <c r="C24" s="27">
        <v>5.98</v>
      </c>
      <c r="D24" s="23">
        <f t="shared" si="0"/>
        <v>797.44479999999999</v>
      </c>
      <c r="E24" s="24">
        <f t="shared" si="4"/>
        <v>0.20000000006348301</v>
      </c>
      <c r="F24" s="25">
        <f t="shared" si="5"/>
        <v>-2.9999999999290599</v>
      </c>
      <c r="G24" s="26">
        <f t="shared" si="6"/>
        <v>0.100000000031741</v>
      </c>
      <c r="H24" s="6">
        <v>7.5850999999999997</v>
      </c>
      <c r="I24" s="35">
        <f t="shared" si="1"/>
        <v>799.04989999999998</v>
      </c>
      <c r="J24" s="24">
        <f t="shared" si="7"/>
        <v>-9.9999999974897905E-2</v>
      </c>
      <c r="K24" s="25">
        <f t="shared" si="8"/>
        <v>-3.1999999999925399</v>
      </c>
      <c r="L24" s="26">
        <f t="shared" si="9"/>
        <v>-4.9999999987449001E-2</v>
      </c>
      <c r="M24" s="6">
        <v>5.8827999999999996</v>
      </c>
      <c r="N24" s="35">
        <f t="shared" si="2"/>
        <v>797.34760000000006</v>
      </c>
      <c r="O24" s="24">
        <f t="shared" si="10"/>
        <v>9.9999999974897905E-2</v>
      </c>
      <c r="P24" s="25">
        <f t="shared" si="11"/>
        <v>-3.30000000008113</v>
      </c>
      <c r="Q24" s="26">
        <f t="shared" si="12"/>
        <v>4.9999999987449001E-2</v>
      </c>
      <c r="R24" s="41"/>
      <c r="S24" s="21">
        <f t="shared" si="3"/>
        <v>44730</v>
      </c>
      <c r="T24" s="42">
        <v>9.2657000000000007</v>
      </c>
      <c r="U24" s="43">
        <f t="shared" si="13"/>
        <v>0.39999999999018598</v>
      </c>
      <c r="V24" s="44">
        <f t="shared" si="14"/>
        <v>-2.7999999999987999</v>
      </c>
      <c r="W24" s="45">
        <f t="shared" si="15"/>
        <v>-0.19999999999509299</v>
      </c>
      <c r="X24" s="29">
        <v>11.845800000000001</v>
      </c>
      <c r="Y24" s="43">
        <f t="shared" si="16"/>
        <v>9.99999999997669E-2</v>
      </c>
      <c r="Z24" s="44">
        <f t="shared" si="17"/>
        <v>-2.8999999999985699</v>
      </c>
      <c r="AA24" s="45">
        <f t="shared" si="18"/>
        <v>4.9999999999883499E-2</v>
      </c>
      <c r="AB24" s="49">
        <v>8.9396000000000004</v>
      </c>
      <c r="AC24" s="43">
        <f t="shared" si="19"/>
        <v>9.9999999990885199E-2</v>
      </c>
      <c r="AD24" s="44">
        <f t="shared" si="20"/>
        <v>-2.9000000000003499</v>
      </c>
      <c r="AE24" s="45">
        <f t="shared" si="21"/>
        <v>4.99999999954426E-2</v>
      </c>
      <c r="AF24" s="50">
        <v>79946</v>
      </c>
      <c r="AG24" s="58">
        <f t="shared" si="22"/>
        <v>107</v>
      </c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F24-F6</f>
        <v>-2.9999999999290599</v>
      </c>
      <c r="F25" s="33">
        <f>K24-K6</f>
        <v>-3.1999999999925399</v>
      </c>
      <c r="G25" s="33">
        <f>P24-P6</f>
        <v>-3.30000000008113</v>
      </c>
      <c r="H25" s="33">
        <f>F24</f>
        <v>-2.9999999999290599</v>
      </c>
      <c r="I25" s="66">
        <f>K24</f>
        <v>-3.1999999999925399</v>
      </c>
      <c r="J25" s="65">
        <f>P24</f>
        <v>-3.30000000008113</v>
      </c>
      <c r="K25" s="33">
        <f>(P24-P6)/23</f>
        <v>-0.14347826087309201</v>
      </c>
      <c r="L25" s="26"/>
      <c r="N25" s="35"/>
      <c r="O25" s="24"/>
      <c r="P25" s="25"/>
      <c r="Q25" s="26"/>
      <c r="R25" s="41"/>
      <c r="S25" s="21"/>
      <c r="T25" s="42"/>
      <c r="U25" s="65">
        <f>V24-V6</f>
        <v>-2.7999999999987999</v>
      </c>
      <c r="V25" s="33">
        <f>Z24-Z6</f>
        <v>-2.8999999999985699</v>
      </c>
      <c r="W25" s="33">
        <f>AD24-AD6</f>
        <v>-2.9000000000003499</v>
      </c>
      <c r="X25" s="33">
        <f>V24</f>
        <v>-2.7999999999987999</v>
      </c>
      <c r="Y25" s="65">
        <f>Z24</f>
        <v>-2.8999999999985699</v>
      </c>
      <c r="Z25" s="33">
        <f>AD24</f>
        <v>-2.9000000000003499</v>
      </c>
      <c r="AA25" s="33">
        <f>(AD24-AD6)/23</f>
        <v>-0.126086956521754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O16" workbookViewId="0">
      <selection activeCell="O23" sqref="A23:XFD2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44713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44713</v>
      </c>
      <c r="B6" s="22">
        <v>791.46479999999997</v>
      </c>
      <c r="C6" s="27">
        <v>5.7735000000000003</v>
      </c>
      <c r="D6" s="23">
        <f t="shared" ref="D6:D22" si="0">C6+B6</f>
        <v>797.23829999999998</v>
      </c>
      <c r="E6" s="24">
        <v>0</v>
      </c>
      <c r="F6" s="25">
        <v>0</v>
      </c>
      <c r="G6" s="26">
        <v>0</v>
      </c>
      <c r="H6" s="6">
        <v>7.8224999999999998</v>
      </c>
      <c r="I6" s="35">
        <f t="shared" ref="I6:I22" si="1">H6+B6</f>
        <v>799.28729999999996</v>
      </c>
      <c r="J6" s="24">
        <v>0</v>
      </c>
      <c r="K6" s="25">
        <v>0</v>
      </c>
      <c r="L6" s="26">
        <v>0</v>
      </c>
      <c r="M6" s="6">
        <v>6.3836000000000004</v>
      </c>
      <c r="N6" s="35">
        <f t="shared" ref="N6:N22" si="2">M6+B6</f>
        <v>797.84839999999997</v>
      </c>
      <c r="O6" s="24">
        <v>0</v>
      </c>
      <c r="P6" s="25">
        <v>0</v>
      </c>
      <c r="Q6" s="26">
        <v>0</v>
      </c>
      <c r="R6" s="41"/>
      <c r="S6" s="21">
        <f t="shared" ref="S6:S22" si="3">A6</f>
        <v>44713</v>
      </c>
      <c r="T6" s="42">
        <v>8.7035999999999998</v>
      </c>
      <c r="U6" s="43">
        <v>0</v>
      </c>
      <c r="V6" s="44">
        <v>0</v>
      </c>
      <c r="W6" s="45">
        <f>U6/(S6-S11)</f>
        <v>0</v>
      </c>
      <c r="X6" s="29">
        <v>11.8499</v>
      </c>
      <c r="Y6" s="43">
        <v>0</v>
      </c>
      <c r="Z6" s="44">
        <v>0</v>
      </c>
      <c r="AA6" s="45">
        <v>0</v>
      </c>
      <c r="AB6" s="49">
        <v>9.2561999999999998</v>
      </c>
      <c r="AC6" s="43">
        <v>0</v>
      </c>
      <c r="AD6" s="44">
        <v>0</v>
      </c>
      <c r="AE6" s="45">
        <v>0</v>
      </c>
      <c r="AF6" s="50">
        <v>79880</v>
      </c>
      <c r="AG6" s="58">
        <f>AF6-79870</f>
        <v>10</v>
      </c>
      <c r="AH6" s="59"/>
      <c r="AI6" s="60"/>
      <c r="AJ6" s="61"/>
      <c r="AK6" s="62"/>
      <c r="AL6" s="52"/>
      <c r="AM6" s="52"/>
    </row>
    <row r="7" spans="1:48">
      <c r="A7" s="21">
        <v>44714</v>
      </c>
      <c r="B7" s="22">
        <v>791.46479999999997</v>
      </c>
      <c r="C7" s="27">
        <v>5.7732999999999999</v>
      </c>
      <c r="D7" s="23">
        <f t="shared" si="0"/>
        <v>797.23810000000003</v>
      </c>
      <c r="E7" s="24">
        <f t="shared" ref="E7:E22" si="4">(D7-D6)*1000</f>
        <v>-0.20000000006348301</v>
      </c>
      <c r="F7" s="25">
        <f t="shared" ref="F7:F22" si="5">F6+E7</f>
        <v>-0.20000000006348301</v>
      </c>
      <c r="G7" s="26">
        <f t="shared" ref="G7:G22" si="6">E7/(A7-A6)</f>
        <v>-0.20000000006348301</v>
      </c>
      <c r="H7" s="6">
        <v>7.8223000000000003</v>
      </c>
      <c r="I7" s="35">
        <f t="shared" si="1"/>
        <v>799.28710000000001</v>
      </c>
      <c r="J7" s="24">
        <f t="shared" ref="J7:J22" si="7">(I7-I6)*1000</f>
        <v>-0.199999999949796</v>
      </c>
      <c r="K7" s="25">
        <f t="shared" ref="K7:K22" si="8">K6+J7</f>
        <v>-0.199999999949796</v>
      </c>
      <c r="L7" s="26">
        <f t="shared" ref="L7:L22" si="9">J7/(A7-A6)</f>
        <v>-0.199999999949796</v>
      </c>
      <c r="M7" s="6">
        <v>6.3834999999999997</v>
      </c>
      <c r="N7" s="35">
        <f t="shared" si="2"/>
        <v>797.84829999999999</v>
      </c>
      <c r="O7" s="24">
        <f t="shared" ref="O7:O22" si="10">(N7-N6)*1000</f>
        <v>-9.9999999974897905E-2</v>
      </c>
      <c r="P7" s="25">
        <f t="shared" ref="P7:P22" si="11">P6+O7</f>
        <v>-9.9999999974897905E-2</v>
      </c>
      <c r="Q7" s="26">
        <f t="shared" ref="Q7:Q22" si="12">O7/(A7-A6)</f>
        <v>-9.9999999974897905E-2</v>
      </c>
      <c r="R7" s="41"/>
      <c r="S7" s="21">
        <f t="shared" si="3"/>
        <v>44714</v>
      </c>
      <c r="T7" s="42">
        <v>8.7034000000000002</v>
      </c>
      <c r="U7" s="43">
        <f t="shared" ref="U7:U22" si="13">(T7-T6)*1000</f>
        <v>-0.19999999999953399</v>
      </c>
      <c r="V7" s="44">
        <f t="shared" ref="V7:V22" si="14">V6+U7</f>
        <v>-0.19999999999953399</v>
      </c>
      <c r="W7" s="45">
        <f t="shared" ref="W7:W22" si="15">U7/(S6-S7)</f>
        <v>0.19999999999953399</v>
      </c>
      <c r="X7" s="29">
        <v>11.849500000000001</v>
      </c>
      <c r="Y7" s="43">
        <f t="shared" ref="Y7:Y22" si="16">(X7-X6)*1000</f>
        <v>-0.39999999999906799</v>
      </c>
      <c r="Z7" s="44">
        <f t="shared" ref="Z7:Z22" si="17">Z6+Y7</f>
        <v>-0.39999999999906799</v>
      </c>
      <c r="AA7" s="45">
        <f t="shared" ref="AA7:AA22" si="18">Y7/(S7-S6)</f>
        <v>-0.39999999999906799</v>
      </c>
      <c r="AB7" s="49">
        <v>9.2560000000000002</v>
      </c>
      <c r="AC7" s="43">
        <f t="shared" ref="AC7:AC22" si="19">(AB7-AB6)*1000</f>
        <v>-0.19999999999953399</v>
      </c>
      <c r="AD7" s="44">
        <f t="shared" ref="AD7:AD22" si="20">AD6+AC7</f>
        <v>-0.19999999999953399</v>
      </c>
      <c r="AE7" s="45">
        <f t="shared" ref="AE7:AE22" si="21">AC7/(S7-S6)</f>
        <v>-0.19999999999953399</v>
      </c>
      <c r="AF7" s="50">
        <v>79883</v>
      </c>
      <c r="AG7" s="58">
        <f t="shared" ref="AG7:AG22" si="22">AF7-79870</f>
        <v>13</v>
      </c>
      <c r="AH7" s="59"/>
      <c r="AI7" s="60"/>
      <c r="AJ7" s="61"/>
      <c r="AK7" s="62"/>
      <c r="AL7" s="52"/>
      <c r="AM7" s="52"/>
    </row>
    <row r="8" spans="1:48">
      <c r="A8" s="21">
        <v>44715</v>
      </c>
      <c r="B8" s="22">
        <v>791.46479999999997</v>
      </c>
      <c r="C8" s="27">
        <v>5.7732000000000001</v>
      </c>
      <c r="D8" s="23">
        <f t="shared" si="0"/>
        <v>797.23800000000006</v>
      </c>
      <c r="E8" s="24">
        <f t="shared" si="4"/>
        <v>-9.9999999974897905E-2</v>
      </c>
      <c r="F8" s="25">
        <f t="shared" si="5"/>
        <v>-0.30000000003838101</v>
      </c>
      <c r="G8" s="26">
        <f t="shared" si="6"/>
        <v>-9.9999999974897905E-2</v>
      </c>
      <c r="H8" s="6">
        <v>7.8220999999999998</v>
      </c>
      <c r="I8" s="35">
        <f t="shared" si="1"/>
        <v>799.28689999999995</v>
      </c>
      <c r="J8" s="24">
        <f t="shared" si="7"/>
        <v>-0.20000000006348301</v>
      </c>
      <c r="K8" s="25">
        <f t="shared" si="8"/>
        <v>-0.40000000001327901</v>
      </c>
      <c r="L8" s="26">
        <f t="shared" si="9"/>
        <v>-0.20000000006348301</v>
      </c>
      <c r="M8" s="6">
        <v>6.3832000000000004</v>
      </c>
      <c r="N8" s="35">
        <f t="shared" si="2"/>
        <v>797.84799999999996</v>
      </c>
      <c r="O8" s="24">
        <f t="shared" si="10"/>
        <v>-0.30000000003838101</v>
      </c>
      <c r="P8" s="25">
        <f t="shared" si="11"/>
        <v>-0.40000000001327901</v>
      </c>
      <c r="Q8" s="26">
        <f t="shared" si="12"/>
        <v>-0.30000000003838101</v>
      </c>
      <c r="R8" s="41"/>
      <c r="S8" s="21">
        <f t="shared" si="3"/>
        <v>44715</v>
      </c>
      <c r="T8" s="42">
        <v>8.7027999999999999</v>
      </c>
      <c r="U8" s="43">
        <f t="shared" si="13"/>
        <v>-0.60000000000037801</v>
      </c>
      <c r="V8" s="44">
        <f t="shared" si="14"/>
        <v>-0.799999999999912</v>
      </c>
      <c r="W8" s="45">
        <f t="shared" si="15"/>
        <v>0.60000000000037801</v>
      </c>
      <c r="X8" s="29">
        <v>11.849299999999999</v>
      </c>
      <c r="Y8" s="43">
        <f t="shared" si="16"/>
        <v>-0.20000000000130999</v>
      </c>
      <c r="Z8" s="44">
        <f t="shared" si="17"/>
        <v>-0.60000000000037801</v>
      </c>
      <c r="AA8" s="45">
        <f t="shared" si="18"/>
        <v>-0.20000000000130999</v>
      </c>
      <c r="AB8" s="49">
        <v>9.2561</v>
      </c>
      <c r="AC8" s="43">
        <f t="shared" si="19"/>
        <v>9.99999999997669E-2</v>
      </c>
      <c r="AD8" s="44">
        <f t="shared" si="20"/>
        <v>-9.99999999997669E-2</v>
      </c>
      <c r="AE8" s="45">
        <f t="shared" si="21"/>
        <v>9.99999999997669E-2</v>
      </c>
      <c r="AF8" s="50">
        <v>79886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44716</v>
      </c>
      <c r="B9" s="22">
        <v>791.46479999999997</v>
      </c>
      <c r="C9" s="27">
        <v>5.7729999999999997</v>
      </c>
      <c r="D9" s="23">
        <f t="shared" si="0"/>
        <v>797.23779999999999</v>
      </c>
      <c r="E9" s="24">
        <f t="shared" si="4"/>
        <v>-0.199999999949796</v>
      </c>
      <c r="F9" s="25">
        <f t="shared" si="5"/>
        <v>-0.49999999998817701</v>
      </c>
      <c r="G9" s="26">
        <f t="shared" si="6"/>
        <v>-0.199999999949796</v>
      </c>
      <c r="H9" s="6">
        <v>7.8224</v>
      </c>
      <c r="I9" s="35">
        <f t="shared" si="1"/>
        <v>799.28719999999998</v>
      </c>
      <c r="J9" s="24">
        <f t="shared" si="7"/>
        <v>0.30000000003838101</v>
      </c>
      <c r="K9" s="25">
        <f t="shared" si="8"/>
        <v>-9.9999999974897905E-2</v>
      </c>
      <c r="L9" s="26">
        <f t="shared" si="9"/>
        <v>0.30000000003838101</v>
      </c>
      <c r="M9" s="6">
        <v>6.3833000000000002</v>
      </c>
      <c r="N9" s="35">
        <f t="shared" si="2"/>
        <v>797.84810000000004</v>
      </c>
      <c r="O9" s="24">
        <f t="shared" si="10"/>
        <v>9.9999999974897905E-2</v>
      </c>
      <c r="P9" s="25">
        <f t="shared" si="11"/>
        <v>-0.30000000003838101</v>
      </c>
      <c r="Q9" s="26">
        <f t="shared" si="12"/>
        <v>9.9999999974897905E-2</v>
      </c>
      <c r="R9" s="41"/>
      <c r="S9" s="21">
        <f t="shared" si="3"/>
        <v>44716</v>
      </c>
      <c r="T9" s="42">
        <v>8.7029999999999994</v>
      </c>
      <c r="U9" s="43">
        <f t="shared" si="13"/>
        <v>0.19999999999953399</v>
      </c>
      <c r="V9" s="44">
        <f t="shared" si="14"/>
        <v>-0.60000000000037801</v>
      </c>
      <c r="W9" s="45">
        <f t="shared" si="15"/>
        <v>-0.19999999999953399</v>
      </c>
      <c r="X9" s="29">
        <v>11.8491</v>
      </c>
      <c r="Y9" s="43">
        <f t="shared" si="16"/>
        <v>-0.19999999999953399</v>
      </c>
      <c r="Z9" s="44">
        <f t="shared" si="17"/>
        <v>-0.799999999999912</v>
      </c>
      <c r="AA9" s="45">
        <f t="shared" si="18"/>
        <v>-0.19999999999953399</v>
      </c>
      <c r="AB9" s="49">
        <v>9.2555999999999994</v>
      </c>
      <c r="AC9" s="43">
        <f t="shared" si="19"/>
        <v>-0.50000000000061096</v>
      </c>
      <c r="AD9" s="44">
        <f t="shared" si="20"/>
        <v>-0.60000000000037801</v>
      </c>
      <c r="AE9" s="45">
        <f t="shared" si="21"/>
        <v>-0.50000000000061096</v>
      </c>
      <c r="AF9" s="50">
        <v>79889</v>
      </c>
      <c r="AG9" s="58">
        <f t="shared" si="22"/>
        <v>19</v>
      </c>
      <c r="AH9" s="61"/>
      <c r="AI9" s="60"/>
      <c r="AJ9"/>
      <c r="AK9"/>
      <c r="AL9"/>
      <c r="AM9"/>
    </row>
    <row r="10" spans="1:48">
      <c r="A10" s="21">
        <v>44717</v>
      </c>
      <c r="B10" s="22">
        <v>791.46479999999997</v>
      </c>
      <c r="C10" s="27">
        <v>5.7731000000000003</v>
      </c>
      <c r="D10" s="23">
        <f t="shared" si="0"/>
        <v>797.23789999999997</v>
      </c>
      <c r="E10" s="24">
        <f t="shared" si="4"/>
        <v>9.9999999974897905E-2</v>
      </c>
      <c r="F10" s="25">
        <f t="shared" si="5"/>
        <v>-0.40000000001327901</v>
      </c>
      <c r="G10" s="26">
        <f t="shared" si="6"/>
        <v>9.9999999974897905E-2</v>
      </c>
      <c r="H10" s="6">
        <v>7.8216999999999999</v>
      </c>
      <c r="I10" s="35">
        <f t="shared" si="1"/>
        <v>799.28650000000005</v>
      </c>
      <c r="J10" s="24">
        <f t="shared" si="7"/>
        <v>-0.70000000005165897</v>
      </c>
      <c r="K10" s="25">
        <f t="shared" si="8"/>
        <v>-0.80000000002655702</v>
      </c>
      <c r="L10" s="26">
        <f t="shared" si="9"/>
        <v>-0.70000000005165897</v>
      </c>
      <c r="M10" s="6">
        <v>6.3832000000000004</v>
      </c>
      <c r="N10" s="35">
        <f t="shared" si="2"/>
        <v>797.84799999999996</v>
      </c>
      <c r="O10" s="24">
        <f t="shared" si="10"/>
        <v>-9.9999999974897905E-2</v>
      </c>
      <c r="P10" s="25">
        <f t="shared" si="11"/>
        <v>-0.40000000001327901</v>
      </c>
      <c r="Q10" s="26">
        <f t="shared" si="12"/>
        <v>-9.9999999974897905E-2</v>
      </c>
      <c r="R10" s="41"/>
      <c r="S10" s="21">
        <f t="shared" si="3"/>
        <v>44717</v>
      </c>
      <c r="T10" s="42">
        <v>8.7027999999999999</v>
      </c>
      <c r="U10" s="43">
        <f t="shared" si="13"/>
        <v>-0.19999999999953399</v>
      </c>
      <c r="V10" s="44">
        <f t="shared" si="14"/>
        <v>-0.799999999999912</v>
      </c>
      <c r="W10" s="45">
        <f t="shared" si="15"/>
        <v>0.19999999999953399</v>
      </c>
      <c r="X10" s="29">
        <v>11.849500000000001</v>
      </c>
      <c r="Y10" s="43">
        <f t="shared" si="16"/>
        <v>0.40000000000084401</v>
      </c>
      <c r="Z10" s="44">
        <f t="shared" si="17"/>
        <v>-0.39999999999906799</v>
      </c>
      <c r="AA10" s="45">
        <f t="shared" si="18"/>
        <v>0.40000000000084401</v>
      </c>
      <c r="AB10" s="49">
        <v>9.2553999999999998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79892</v>
      </c>
      <c r="AG10" s="58">
        <f t="shared" si="22"/>
        <v>22</v>
      </c>
      <c r="AH10" s="59"/>
      <c r="AI10" s="60"/>
      <c r="AJ10" s="61"/>
      <c r="AK10" s="62"/>
      <c r="AL10" s="52"/>
      <c r="AM10" s="52"/>
    </row>
    <row r="11" spans="1:48">
      <c r="A11" s="21">
        <v>44718</v>
      </c>
      <c r="B11" s="22">
        <v>791.46479999999997</v>
      </c>
      <c r="C11" s="27">
        <v>5.7725999999999997</v>
      </c>
      <c r="D11" s="23">
        <f t="shared" si="0"/>
        <v>797.23739999999998</v>
      </c>
      <c r="E11" s="24">
        <f t="shared" si="4"/>
        <v>-0.49999999998817701</v>
      </c>
      <c r="F11" s="25">
        <f t="shared" si="5"/>
        <v>-0.90000000000145497</v>
      </c>
      <c r="G11" s="26">
        <f t="shared" si="6"/>
        <v>-0.49999999998817701</v>
      </c>
      <c r="H11" s="6">
        <v>7.8215000000000003</v>
      </c>
      <c r="I11" s="35">
        <f t="shared" si="1"/>
        <v>799.28629999999998</v>
      </c>
      <c r="J11" s="24">
        <f t="shared" si="7"/>
        <v>-0.199999999949796</v>
      </c>
      <c r="K11" s="25">
        <f t="shared" si="8"/>
        <v>-0.99999999997635303</v>
      </c>
      <c r="L11" s="26">
        <f t="shared" si="9"/>
        <v>-0.199999999949796</v>
      </c>
      <c r="M11" s="6">
        <v>6.3827999999999996</v>
      </c>
      <c r="N11" s="35">
        <f t="shared" si="2"/>
        <v>797.84760000000006</v>
      </c>
      <c r="O11" s="24">
        <f t="shared" si="10"/>
        <v>-0.40000000001327901</v>
      </c>
      <c r="P11" s="25">
        <f t="shared" si="11"/>
        <v>-0.80000000002655702</v>
      </c>
      <c r="Q11" s="26">
        <f t="shared" si="12"/>
        <v>-0.40000000001327901</v>
      </c>
      <c r="R11" s="41"/>
      <c r="S11" s="21">
        <f t="shared" si="3"/>
        <v>44718</v>
      </c>
      <c r="T11" s="42">
        <v>8.7024000000000008</v>
      </c>
      <c r="U11" s="43">
        <f t="shared" si="13"/>
        <v>-0.39999999999906799</v>
      </c>
      <c r="V11" s="44">
        <f t="shared" si="14"/>
        <v>-1.1999999999989801</v>
      </c>
      <c r="W11" s="45">
        <f t="shared" si="15"/>
        <v>0.39999999999906799</v>
      </c>
      <c r="X11" s="29">
        <v>11.848699999999999</v>
      </c>
      <c r="Y11" s="43">
        <f t="shared" si="16"/>
        <v>-0.80000000000168803</v>
      </c>
      <c r="Z11" s="44">
        <f t="shared" si="17"/>
        <v>-1.20000000000076</v>
      </c>
      <c r="AA11" s="45">
        <f t="shared" si="18"/>
        <v>-0.80000000000168803</v>
      </c>
      <c r="AB11" s="49">
        <v>9.2553000000000001</v>
      </c>
      <c r="AC11" s="43">
        <f t="shared" si="19"/>
        <v>-9.99999999997669E-2</v>
      </c>
      <c r="AD11" s="44">
        <f t="shared" si="20"/>
        <v>-0.89999999999967895</v>
      </c>
      <c r="AE11" s="45">
        <f t="shared" si="21"/>
        <v>-9.99999999997669E-2</v>
      </c>
      <c r="AF11" s="50">
        <v>79895</v>
      </c>
      <c r="AG11" s="58">
        <f t="shared" si="22"/>
        <v>25</v>
      </c>
      <c r="AH11" s="59"/>
      <c r="AI11" s="60"/>
      <c r="AJ11" s="52"/>
      <c r="AK11" s="52"/>
      <c r="AL11" s="52"/>
      <c r="AM11" s="52"/>
    </row>
    <row r="12" spans="1:48">
      <c r="A12" s="21">
        <v>44719</v>
      </c>
      <c r="B12" s="22">
        <v>791.46479999999997</v>
      </c>
      <c r="C12" s="27">
        <v>5.7724000000000002</v>
      </c>
      <c r="D12" s="23">
        <f t="shared" si="0"/>
        <v>797.23720000000003</v>
      </c>
      <c r="E12" s="24">
        <f t="shared" si="4"/>
        <v>-0.20000000006348301</v>
      </c>
      <c r="F12" s="25">
        <f t="shared" si="5"/>
        <v>-1.1000000000649399</v>
      </c>
      <c r="G12" s="26">
        <f t="shared" si="6"/>
        <v>-0.20000000006348301</v>
      </c>
      <c r="H12" s="6">
        <v>7.8220000000000001</v>
      </c>
      <c r="I12" s="35">
        <f t="shared" si="1"/>
        <v>799.28679999999997</v>
      </c>
      <c r="J12" s="24">
        <f t="shared" si="7"/>
        <v>0.49999999998817701</v>
      </c>
      <c r="K12" s="25">
        <f t="shared" si="8"/>
        <v>-0.49999999998817701</v>
      </c>
      <c r="L12" s="26">
        <f t="shared" si="9"/>
        <v>0.49999999998817701</v>
      </c>
      <c r="M12" s="6">
        <v>6.383</v>
      </c>
      <c r="N12" s="35">
        <f t="shared" si="2"/>
        <v>797.84780000000001</v>
      </c>
      <c r="O12" s="24">
        <f t="shared" si="10"/>
        <v>0.20000000006348301</v>
      </c>
      <c r="P12" s="25">
        <f t="shared" si="11"/>
        <v>-0.59999999996307496</v>
      </c>
      <c r="Q12" s="26">
        <f t="shared" si="12"/>
        <v>0.20000000006348301</v>
      </c>
      <c r="R12" s="41"/>
      <c r="S12" s="21">
        <f t="shared" si="3"/>
        <v>44719</v>
      </c>
      <c r="T12" s="42">
        <v>8.7024000000000008</v>
      </c>
      <c r="U12" s="43">
        <f t="shared" si="13"/>
        <v>0</v>
      </c>
      <c r="V12" s="44">
        <f t="shared" si="14"/>
        <v>-1.1999999999989801</v>
      </c>
      <c r="W12" s="45">
        <f t="shared" si="15"/>
        <v>0</v>
      </c>
      <c r="X12" s="29">
        <v>11.8485</v>
      </c>
      <c r="Y12" s="43">
        <f t="shared" si="16"/>
        <v>-0.19999999999953399</v>
      </c>
      <c r="Z12" s="44">
        <f t="shared" si="17"/>
        <v>-1.4000000000002899</v>
      </c>
      <c r="AA12" s="45">
        <f t="shared" si="18"/>
        <v>-0.19999999999953399</v>
      </c>
      <c r="AB12" s="49">
        <v>9.2550000000000008</v>
      </c>
      <c r="AC12" s="43">
        <f t="shared" si="19"/>
        <v>-0.29999999999930099</v>
      </c>
      <c r="AD12" s="44">
        <f t="shared" si="20"/>
        <v>-1.1999999999989801</v>
      </c>
      <c r="AE12" s="45">
        <f t="shared" si="21"/>
        <v>-0.29999999999930099</v>
      </c>
      <c r="AF12" s="50">
        <v>79898</v>
      </c>
      <c r="AG12" s="58">
        <f t="shared" si="22"/>
        <v>28</v>
      </c>
      <c r="AH12" s="61"/>
      <c r="AI12" s="60"/>
      <c r="AJ12"/>
      <c r="AK12"/>
      <c r="AL12"/>
      <c r="AM12"/>
    </row>
    <row r="13" spans="1:48">
      <c r="A13" s="21">
        <v>44720</v>
      </c>
      <c r="B13" s="22">
        <v>791.46479999999997</v>
      </c>
      <c r="C13" s="27">
        <v>5.7725</v>
      </c>
      <c r="D13" s="23">
        <f t="shared" si="0"/>
        <v>797.2373</v>
      </c>
      <c r="E13" s="24">
        <f t="shared" si="4"/>
        <v>0.10000000008858501</v>
      </c>
      <c r="F13" s="25">
        <f t="shared" si="5"/>
        <v>-0.99999999997635303</v>
      </c>
      <c r="G13" s="26">
        <f t="shared" si="6"/>
        <v>0.10000000008858501</v>
      </c>
      <c r="H13" s="6">
        <v>7.8211000000000004</v>
      </c>
      <c r="I13" s="35">
        <f t="shared" si="1"/>
        <v>799.28589999999997</v>
      </c>
      <c r="J13" s="24">
        <f t="shared" si="7"/>
        <v>-0.90000000000145497</v>
      </c>
      <c r="K13" s="25">
        <f t="shared" si="8"/>
        <v>-1.39999999998963</v>
      </c>
      <c r="L13" s="26">
        <f t="shared" si="9"/>
        <v>-0.90000000000145497</v>
      </c>
      <c r="M13" s="6">
        <v>6.3829000000000002</v>
      </c>
      <c r="N13" s="35">
        <f t="shared" si="2"/>
        <v>797.84770000000003</v>
      </c>
      <c r="O13" s="24">
        <f t="shared" si="10"/>
        <v>-0.10000000008858501</v>
      </c>
      <c r="P13" s="25">
        <f t="shared" si="11"/>
        <v>-0.70000000005165897</v>
      </c>
      <c r="Q13" s="26">
        <f t="shared" si="12"/>
        <v>-0.10000000008858501</v>
      </c>
      <c r="R13" s="41"/>
      <c r="S13" s="21">
        <f t="shared" si="3"/>
        <v>44720</v>
      </c>
      <c r="T13" s="42">
        <v>8.7021999999999995</v>
      </c>
      <c r="U13" s="43">
        <f t="shared" si="13"/>
        <v>-0.20000000000130999</v>
      </c>
      <c r="V13" s="44">
        <f t="shared" si="14"/>
        <v>-1.4000000000002899</v>
      </c>
      <c r="W13" s="45">
        <f t="shared" si="15"/>
        <v>0.20000000000130999</v>
      </c>
      <c r="X13" s="29">
        <v>11.848800000000001</v>
      </c>
      <c r="Y13" s="43">
        <f t="shared" si="16"/>
        <v>0.30000000000107702</v>
      </c>
      <c r="Z13" s="44">
        <f t="shared" si="17"/>
        <v>-1.0999999999992101</v>
      </c>
      <c r="AA13" s="45">
        <f t="shared" si="18"/>
        <v>0.30000000000107702</v>
      </c>
      <c r="AB13" s="49">
        <v>9.2547999999999995</v>
      </c>
      <c r="AC13" s="43">
        <f t="shared" si="19"/>
        <v>-0.20000000000130999</v>
      </c>
      <c r="AD13" s="44">
        <f t="shared" si="20"/>
        <v>-1.4000000000002899</v>
      </c>
      <c r="AE13" s="45">
        <f t="shared" si="21"/>
        <v>-0.20000000000130999</v>
      </c>
      <c r="AF13" s="50">
        <v>79901</v>
      </c>
      <c r="AG13" s="58">
        <f t="shared" si="22"/>
        <v>31</v>
      </c>
      <c r="AH13" s="61"/>
      <c r="AI13" s="60"/>
      <c r="AJ13"/>
      <c r="AK13"/>
      <c r="AL13"/>
      <c r="AM13"/>
    </row>
    <row r="14" spans="1:48">
      <c r="A14" s="21">
        <v>44721</v>
      </c>
      <c r="B14" s="22">
        <v>791.46479999999997</v>
      </c>
      <c r="C14" s="27">
        <v>5.7720000000000002</v>
      </c>
      <c r="D14" s="23">
        <f t="shared" si="0"/>
        <v>797.23680000000002</v>
      </c>
      <c r="E14" s="24">
        <f t="shared" si="4"/>
        <v>-0.49999999998817701</v>
      </c>
      <c r="F14" s="25">
        <f t="shared" si="5"/>
        <v>-1.4999999999645299</v>
      </c>
      <c r="G14" s="26">
        <f t="shared" si="6"/>
        <v>-0.49999999998817701</v>
      </c>
      <c r="H14" s="6">
        <v>7.8209</v>
      </c>
      <c r="I14" s="35">
        <f t="shared" si="1"/>
        <v>799.28570000000002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6.3827999999999996</v>
      </c>
      <c r="N14" s="35">
        <f t="shared" si="2"/>
        <v>797.84760000000006</v>
      </c>
      <c r="O14" s="24">
        <f t="shared" si="10"/>
        <v>-9.9999999974897905E-2</v>
      </c>
      <c r="P14" s="25">
        <f t="shared" si="11"/>
        <v>-0.80000000002655702</v>
      </c>
      <c r="Q14" s="26">
        <f t="shared" si="12"/>
        <v>-9.9999999974897905E-2</v>
      </c>
      <c r="R14" s="41"/>
      <c r="S14" s="21">
        <f t="shared" si="3"/>
        <v>44721</v>
      </c>
      <c r="T14" s="42">
        <v>8.7020999999999997</v>
      </c>
      <c r="U14" s="43">
        <f t="shared" si="13"/>
        <v>-9.99999999997669E-2</v>
      </c>
      <c r="V14" s="44">
        <f t="shared" si="14"/>
        <v>-1.50000000000006</v>
      </c>
      <c r="W14" s="45">
        <f t="shared" si="15"/>
        <v>9.99999999997669E-2</v>
      </c>
      <c r="X14" s="29">
        <v>11.848100000000001</v>
      </c>
      <c r="Y14" s="43">
        <f t="shared" si="16"/>
        <v>-0.70000000000014495</v>
      </c>
      <c r="Z14" s="44">
        <f t="shared" si="17"/>
        <v>-1.7999999999993599</v>
      </c>
      <c r="AA14" s="45">
        <f t="shared" si="18"/>
        <v>-0.70000000000014495</v>
      </c>
      <c r="AB14" s="49">
        <v>9.2552000000000003</v>
      </c>
      <c r="AC14" s="43">
        <f t="shared" si="19"/>
        <v>0.40000000000084401</v>
      </c>
      <c r="AD14" s="44">
        <f t="shared" si="20"/>
        <v>-0.999999999999446</v>
      </c>
      <c r="AE14" s="45">
        <f t="shared" si="21"/>
        <v>0.40000000000084401</v>
      </c>
      <c r="AF14" s="50">
        <v>79904</v>
      </c>
      <c r="AG14" s="58">
        <f t="shared" si="22"/>
        <v>34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44722</v>
      </c>
      <c r="B15" s="22">
        <v>791.46479999999997</v>
      </c>
      <c r="C15" s="27">
        <v>5.7717999999999998</v>
      </c>
      <c r="D15" s="23">
        <f t="shared" si="0"/>
        <v>797.23659999999995</v>
      </c>
      <c r="E15" s="24">
        <f t="shared" si="4"/>
        <v>-0.20000000006348301</v>
      </c>
      <c r="F15" s="25">
        <f t="shared" si="5"/>
        <v>-1.70000000002801</v>
      </c>
      <c r="G15" s="26">
        <f t="shared" si="6"/>
        <v>-0.20000000006348301</v>
      </c>
      <c r="H15" s="6">
        <v>7.8205</v>
      </c>
      <c r="I15" s="35">
        <f t="shared" si="1"/>
        <v>799.28530000000001</v>
      </c>
      <c r="J15" s="24">
        <f t="shared" si="7"/>
        <v>-0.40000000001327901</v>
      </c>
      <c r="K15" s="25">
        <f t="shared" si="8"/>
        <v>-1.9999999999527101</v>
      </c>
      <c r="L15" s="26">
        <f t="shared" si="9"/>
        <v>-0.40000000001327901</v>
      </c>
      <c r="M15" s="6">
        <v>6.3823999999999996</v>
      </c>
      <c r="N15" s="35">
        <f t="shared" si="2"/>
        <v>797.84720000000004</v>
      </c>
      <c r="O15" s="24">
        <f t="shared" si="10"/>
        <v>-0.40000000001327901</v>
      </c>
      <c r="P15" s="25">
        <f t="shared" si="11"/>
        <v>-1.2000000000398401</v>
      </c>
      <c r="Q15" s="26">
        <f t="shared" si="12"/>
        <v>-0.40000000001327901</v>
      </c>
      <c r="R15" s="41"/>
      <c r="S15" s="21">
        <f t="shared" si="3"/>
        <v>44722</v>
      </c>
      <c r="T15" s="42">
        <v>8.7018000000000004</v>
      </c>
      <c r="U15" s="43">
        <f t="shared" si="13"/>
        <v>-0.29999999999930099</v>
      </c>
      <c r="V15" s="44">
        <f t="shared" si="14"/>
        <v>-1.7999999999993599</v>
      </c>
      <c r="W15" s="45">
        <f t="shared" si="15"/>
        <v>0.29999999999930099</v>
      </c>
      <c r="X15" s="29">
        <v>11.847899999999999</v>
      </c>
      <c r="Y15" s="43">
        <f t="shared" si="16"/>
        <v>-0.20000000000130999</v>
      </c>
      <c r="Z15" s="44">
        <f t="shared" si="17"/>
        <v>-2.0000000000006701</v>
      </c>
      <c r="AA15" s="45">
        <f t="shared" si="18"/>
        <v>-0.20000000000130999</v>
      </c>
      <c r="AB15" s="49">
        <v>9.2544000000000004</v>
      </c>
      <c r="AC15" s="43">
        <f t="shared" si="19"/>
        <v>-0.799999999999912</v>
      </c>
      <c r="AD15" s="44">
        <f t="shared" si="20"/>
        <v>-1.7999999999993599</v>
      </c>
      <c r="AE15" s="45">
        <f t="shared" si="21"/>
        <v>-0.799999999999912</v>
      </c>
      <c r="AF15" s="50">
        <v>79907</v>
      </c>
      <c r="AG15" s="58">
        <f t="shared" si="22"/>
        <v>37</v>
      </c>
      <c r="AH15" s="61"/>
      <c r="AI15" s="60"/>
      <c r="AJ15"/>
      <c r="AK15"/>
      <c r="AL15"/>
      <c r="AM15"/>
    </row>
    <row r="16" spans="1:48">
      <c r="A16" s="21">
        <v>44723</v>
      </c>
      <c r="B16" s="22">
        <v>791.46479999999997</v>
      </c>
      <c r="C16" s="27">
        <v>5.7720000000000002</v>
      </c>
      <c r="D16" s="23">
        <f t="shared" si="0"/>
        <v>797.23680000000002</v>
      </c>
      <c r="E16" s="24">
        <f t="shared" si="4"/>
        <v>0.20000000006348301</v>
      </c>
      <c r="F16" s="25">
        <f t="shared" si="5"/>
        <v>-1.4999999999645299</v>
      </c>
      <c r="G16" s="26">
        <f t="shared" si="6"/>
        <v>0.20000000006348301</v>
      </c>
      <c r="H16" s="6">
        <v>7.8205</v>
      </c>
      <c r="I16" s="35">
        <f t="shared" si="1"/>
        <v>799.28530000000001</v>
      </c>
      <c r="J16" s="24">
        <f t="shared" si="7"/>
        <v>0</v>
      </c>
      <c r="K16" s="25">
        <f t="shared" si="8"/>
        <v>-1.9999999999527101</v>
      </c>
      <c r="L16" s="26">
        <f t="shared" si="9"/>
        <v>0</v>
      </c>
      <c r="M16" s="6">
        <v>6.3825999999999903</v>
      </c>
      <c r="N16" s="35">
        <f t="shared" si="2"/>
        <v>797.84739999999999</v>
      </c>
      <c r="O16" s="24">
        <f t="shared" si="10"/>
        <v>0.20000000006348301</v>
      </c>
      <c r="P16" s="25">
        <f t="shared" si="11"/>
        <v>-0.99999999997635303</v>
      </c>
      <c r="Q16" s="26">
        <f t="shared" si="12"/>
        <v>0.20000000006348301</v>
      </c>
      <c r="R16" s="41"/>
      <c r="S16" s="21">
        <f t="shared" si="3"/>
        <v>44723</v>
      </c>
      <c r="T16" s="42">
        <v>8.7015999999999991</v>
      </c>
      <c r="U16" s="43">
        <f t="shared" si="13"/>
        <v>-0.20000000000130999</v>
      </c>
      <c r="V16" s="44">
        <f t="shared" si="14"/>
        <v>-2.0000000000006701</v>
      </c>
      <c r="W16" s="45">
        <f t="shared" si="15"/>
        <v>0.20000000000130999</v>
      </c>
      <c r="X16" s="29">
        <v>11.8475</v>
      </c>
      <c r="Y16" s="43">
        <f t="shared" si="16"/>
        <v>-0.39999999999906799</v>
      </c>
      <c r="Z16" s="44">
        <f t="shared" si="17"/>
        <v>-2.3999999999997401</v>
      </c>
      <c r="AA16" s="45">
        <f t="shared" si="18"/>
        <v>-0.39999999999906799</v>
      </c>
      <c r="AB16" s="49">
        <v>9.2542000000000009</v>
      </c>
      <c r="AC16" s="43">
        <f t="shared" si="19"/>
        <v>-0.19999999999953399</v>
      </c>
      <c r="AD16" s="44">
        <f t="shared" si="20"/>
        <v>-1.99999999999889</v>
      </c>
      <c r="AE16" s="45">
        <f t="shared" si="21"/>
        <v>-0.19999999999953399</v>
      </c>
      <c r="AF16" s="50">
        <v>79910</v>
      </c>
      <c r="AG16" s="58">
        <f t="shared" si="22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44724</v>
      </c>
      <c r="B17" s="22">
        <v>791.46479999999997</v>
      </c>
      <c r="C17" s="27">
        <v>5.7713999999999999</v>
      </c>
      <c r="D17" s="23">
        <f t="shared" si="0"/>
        <v>797.23620000000005</v>
      </c>
      <c r="E17" s="24">
        <f t="shared" si="4"/>
        <v>-0.60000000007676102</v>
      </c>
      <c r="F17" s="25">
        <f t="shared" si="5"/>
        <v>-2.1000000000412902</v>
      </c>
      <c r="G17" s="26">
        <f t="shared" si="6"/>
        <v>-0.60000000007676102</v>
      </c>
      <c r="H17" s="6">
        <v>7.8202999999999996</v>
      </c>
      <c r="I17" s="35">
        <f t="shared" si="1"/>
        <v>799.28510000000006</v>
      </c>
      <c r="J17" s="24">
        <f t="shared" si="7"/>
        <v>-0.20000000006348301</v>
      </c>
      <c r="K17" s="25">
        <f t="shared" si="8"/>
        <v>-2.2000000000161899</v>
      </c>
      <c r="L17" s="26">
        <f t="shared" si="9"/>
        <v>-0.20000000006348301</v>
      </c>
      <c r="M17" s="6">
        <v>6.3824999999999896</v>
      </c>
      <c r="N17" s="35">
        <f t="shared" si="2"/>
        <v>797.84730000000002</v>
      </c>
      <c r="O17" s="24">
        <f t="shared" si="10"/>
        <v>-0.10000000008858501</v>
      </c>
      <c r="P17" s="25">
        <f t="shared" si="11"/>
        <v>-1.1000000000649399</v>
      </c>
      <c r="Q17" s="26">
        <f t="shared" si="12"/>
        <v>-0.10000000008858501</v>
      </c>
      <c r="R17" s="41"/>
      <c r="S17" s="21">
        <f t="shared" si="3"/>
        <v>44724</v>
      </c>
      <c r="T17" s="42">
        <v>8.7013999999999996</v>
      </c>
      <c r="U17" s="43">
        <f t="shared" si="13"/>
        <v>-0.19999999999953399</v>
      </c>
      <c r="V17" s="44">
        <f t="shared" si="14"/>
        <v>-2.2000000000002</v>
      </c>
      <c r="W17" s="45">
        <f t="shared" si="15"/>
        <v>0.19999999999953399</v>
      </c>
      <c r="X17" s="29">
        <v>11.8475</v>
      </c>
      <c r="Y17" s="43">
        <f t="shared" si="16"/>
        <v>0</v>
      </c>
      <c r="Z17" s="44">
        <f t="shared" si="17"/>
        <v>-2.3999999999997401</v>
      </c>
      <c r="AA17" s="45">
        <f t="shared" si="18"/>
        <v>0</v>
      </c>
      <c r="AB17" s="49">
        <v>9.2543000000000006</v>
      </c>
      <c r="AC17" s="43">
        <f t="shared" si="19"/>
        <v>9.99999999997669E-2</v>
      </c>
      <c r="AD17" s="44">
        <f t="shared" si="20"/>
        <v>-1.8999999999991199</v>
      </c>
      <c r="AE17" s="45">
        <f t="shared" si="21"/>
        <v>9.99999999997669E-2</v>
      </c>
      <c r="AF17" s="50">
        <v>79913</v>
      </c>
      <c r="AG17" s="58">
        <f t="shared" si="22"/>
        <v>43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44725</v>
      </c>
      <c r="B18" s="22">
        <v>791.46479999999997</v>
      </c>
      <c r="C18" s="27">
        <v>5.7712000000000003</v>
      </c>
      <c r="D18" s="23">
        <f t="shared" si="0"/>
        <v>797.23599999999999</v>
      </c>
      <c r="E18" s="24">
        <f t="shared" si="4"/>
        <v>-0.199999999949796</v>
      </c>
      <c r="F18" s="25">
        <f t="shared" si="5"/>
        <v>-2.2999999999910901</v>
      </c>
      <c r="G18" s="26">
        <f t="shared" si="6"/>
        <v>-0.199999999949796</v>
      </c>
      <c r="H18" s="6">
        <v>7.82</v>
      </c>
      <c r="I18" s="35">
        <f t="shared" si="1"/>
        <v>799.28480000000002</v>
      </c>
      <c r="J18" s="24">
        <f t="shared" si="7"/>
        <v>-0.29999999992469401</v>
      </c>
      <c r="K18" s="25">
        <f t="shared" si="8"/>
        <v>-2.4999999999408802</v>
      </c>
      <c r="L18" s="26">
        <f t="shared" si="9"/>
        <v>-0.29999999992469401</v>
      </c>
      <c r="M18" s="6">
        <v>6.3819999999999997</v>
      </c>
      <c r="N18" s="35">
        <f t="shared" si="2"/>
        <v>797.84680000000003</v>
      </c>
      <c r="O18" s="24">
        <f t="shared" si="10"/>
        <v>-0.49999999998817701</v>
      </c>
      <c r="P18" s="25">
        <f t="shared" si="11"/>
        <v>-1.60000000005311</v>
      </c>
      <c r="Q18" s="26">
        <f t="shared" si="12"/>
        <v>-0.49999999998817701</v>
      </c>
      <c r="R18" s="41"/>
      <c r="S18" s="21">
        <f t="shared" si="3"/>
        <v>44725</v>
      </c>
      <c r="T18" s="42">
        <v>8.7012999999999998</v>
      </c>
      <c r="U18" s="43">
        <f t="shared" si="13"/>
        <v>-9.99999999997669E-2</v>
      </c>
      <c r="V18" s="44">
        <f t="shared" si="14"/>
        <v>-2.2999999999999701</v>
      </c>
      <c r="W18" s="45">
        <f t="shared" si="15"/>
        <v>9.99999999997669E-2</v>
      </c>
      <c r="X18" s="29">
        <v>11.847300000000001</v>
      </c>
      <c r="Y18" s="43">
        <f t="shared" si="16"/>
        <v>-0.19999999999953399</v>
      </c>
      <c r="Z18" s="44">
        <f t="shared" si="17"/>
        <v>-2.59999999999927</v>
      </c>
      <c r="AA18" s="45">
        <f t="shared" si="18"/>
        <v>-0.19999999999953399</v>
      </c>
      <c r="AB18" s="49">
        <v>9.2538000000000107</v>
      </c>
      <c r="AC18" s="43">
        <f t="shared" si="19"/>
        <v>-0.49999999998995298</v>
      </c>
      <c r="AD18" s="44">
        <f t="shared" si="20"/>
        <v>-2.3999999999890802</v>
      </c>
      <c r="AE18" s="45">
        <f t="shared" si="21"/>
        <v>-0.49999999998995298</v>
      </c>
      <c r="AF18" s="50">
        <v>79916</v>
      </c>
      <c r="AG18" s="58">
        <f t="shared" si="22"/>
        <v>46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44726</v>
      </c>
      <c r="B19" s="22">
        <v>791.46479999999997</v>
      </c>
      <c r="C19" s="27">
        <v>5.7714999999999996</v>
      </c>
      <c r="D19" s="23">
        <f t="shared" si="0"/>
        <v>797.23630000000003</v>
      </c>
      <c r="E19" s="24">
        <f t="shared" si="4"/>
        <v>0.29999999992469401</v>
      </c>
      <c r="F19" s="25">
        <f t="shared" si="5"/>
        <v>-2.00000000006639</v>
      </c>
      <c r="G19" s="26">
        <f t="shared" si="6"/>
        <v>0.29999999992469401</v>
      </c>
      <c r="H19" s="6">
        <v>7.8199000000000103</v>
      </c>
      <c r="I19" s="35">
        <f t="shared" si="1"/>
        <v>799.28470000000004</v>
      </c>
      <c r="J19" s="24">
        <f t="shared" si="7"/>
        <v>-0.10000000008858501</v>
      </c>
      <c r="K19" s="25">
        <f t="shared" si="8"/>
        <v>-2.6000000000294698</v>
      </c>
      <c r="L19" s="26">
        <f t="shared" si="9"/>
        <v>-0.10000000008858501</v>
      </c>
      <c r="M19" s="6">
        <v>6.3822999999999901</v>
      </c>
      <c r="N19" s="35">
        <f t="shared" si="2"/>
        <v>797.84709999999995</v>
      </c>
      <c r="O19" s="24">
        <f t="shared" si="10"/>
        <v>0.30000000003838101</v>
      </c>
      <c r="P19" s="25">
        <f t="shared" si="11"/>
        <v>-1.30000000001473</v>
      </c>
      <c r="Q19" s="26">
        <f t="shared" si="12"/>
        <v>0.30000000003838101</v>
      </c>
      <c r="R19" s="41"/>
      <c r="S19" s="21">
        <f t="shared" si="3"/>
        <v>44726</v>
      </c>
      <c r="T19" s="42">
        <v>8.7010000000000094</v>
      </c>
      <c r="U19" s="43">
        <f t="shared" si="13"/>
        <v>-0.29999999999041899</v>
      </c>
      <c r="V19" s="44">
        <f t="shared" si="14"/>
        <v>-2.59999999999039</v>
      </c>
      <c r="W19" s="45">
        <f t="shared" si="15"/>
        <v>0.29999999999041899</v>
      </c>
      <c r="X19" s="29">
        <v>11.847</v>
      </c>
      <c r="Y19" s="43">
        <f t="shared" si="16"/>
        <v>-0.30000000000107702</v>
      </c>
      <c r="Z19" s="44">
        <f t="shared" si="17"/>
        <v>-2.9000000000003499</v>
      </c>
      <c r="AA19" s="45">
        <f t="shared" si="18"/>
        <v>-0.30000000000107702</v>
      </c>
      <c r="AB19" s="49">
        <v>9.2536000000000094</v>
      </c>
      <c r="AC19" s="43">
        <f t="shared" si="19"/>
        <v>-0.20000000000130999</v>
      </c>
      <c r="AD19" s="44">
        <f t="shared" si="20"/>
        <v>-2.59999999999039</v>
      </c>
      <c r="AE19" s="45">
        <f t="shared" si="21"/>
        <v>-0.20000000000130999</v>
      </c>
      <c r="AF19" s="50">
        <v>79919</v>
      </c>
      <c r="AG19" s="58">
        <f t="shared" si="22"/>
        <v>49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44727</v>
      </c>
      <c r="B20" s="22">
        <v>791.46479999999997</v>
      </c>
      <c r="C20" s="27">
        <v>5.7708000000000004</v>
      </c>
      <c r="D20" s="23">
        <f t="shared" si="0"/>
        <v>797.23559999999998</v>
      </c>
      <c r="E20" s="24">
        <f t="shared" si="4"/>
        <v>-0.69999999993797202</v>
      </c>
      <c r="F20" s="25">
        <f t="shared" si="5"/>
        <v>-2.70000000000437</v>
      </c>
      <c r="G20" s="26">
        <f t="shared" si="6"/>
        <v>-0.69999999993797202</v>
      </c>
      <c r="H20" s="6">
        <v>7.8197000000000099</v>
      </c>
      <c r="I20" s="35">
        <f t="shared" si="1"/>
        <v>799.28449999999998</v>
      </c>
      <c r="J20" s="24">
        <f t="shared" si="7"/>
        <v>-0.199999999949796</v>
      </c>
      <c r="K20" s="25">
        <f t="shared" si="8"/>
        <v>-2.79999999997926</v>
      </c>
      <c r="L20" s="26">
        <f t="shared" si="9"/>
        <v>-0.199999999949796</v>
      </c>
      <c r="M20" s="6">
        <v>6.3821999999999903</v>
      </c>
      <c r="N20" s="35">
        <f t="shared" si="2"/>
        <v>797.84699999999998</v>
      </c>
      <c r="O20" s="24">
        <f t="shared" si="10"/>
        <v>-9.9999999974897905E-2</v>
      </c>
      <c r="P20" s="25">
        <f t="shared" si="11"/>
        <v>-1.39999999998963</v>
      </c>
      <c r="Q20" s="26">
        <f t="shared" si="12"/>
        <v>-9.9999999974897905E-2</v>
      </c>
      <c r="R20" s="41"/>
      <c r="S20" s="21">
        <f t="shared" si="3"/>
        <v>44727</v>
      </c>
      <c r="T20" s="42">
        <v>8.7008000000000099</v>
      </c>
      <c r="U20" s="43">
        <f t="shared" si="13"/>
        <v>-0.19999999999953399</v>
      </c>
      <c r="V20" s="44">
        <f t="shared" si="14"/>
        <v>-2.7999999999899199</v>
      </c>
      <c r="W20" s="45">
        <f t="shared" si="15"/>
        <v>0.19999999999953399</v>
      </c>
      <c r="X20" s="29">
        <v>11.8469</v>
      </c>
      <c r="Y20" s="43">
        <f t="shared" si="16"/>
        <v>-9.99999999997669E-2</v>
      </c>
      <c r="Z20" s="44">
        <f t="shared" si="17"/>
        <v>-3.0000000000001101</v>
      </c>
      <c r="AA20" s="45">
        <f t="shared" si="18"/>
        <v>-9.99999999997669E-2</v>
      </c>
      <c r="AB20" s="49">
        <v>9.2535000000000007</v>
      </c>
      <c r="AC20" s="43">
        <f t="shared" si="19"/>
        <v>-0.100000000008649</v>
      </c>
      <c r="AD20" s="44">
        <f t="shared" si="20"/>
        <v>-2.6999999999990401</v>
      </c>
      <c r="AE20" s="45">
        <f t="shared" si="21"/>
        <v>-0.100000000008649</v>
      </c>
      <c r="AF20" s="50">
        <v>79925</v>
      </c>
      <c r="AG20" s="58">
        <f t="shared" si="22"/>
        <v>55</v>
      </c>
      <c r="AH20" s="61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44729</v>
      </c>
      <c r="B21" s="22">
        <v>791.46479999999997</v>
      </c>
      <c r="C21" s="27">
        <v>5.7705999999999902</v>
      </c>
      <c r="D21" s="23">
        <f t="shared" si="0"/>
        <v>797.23540000000003</v>
      </c>
      <c r="E21" s="24">
        <f t="shared" si="4"/>
        <v>-0.20000000006348301</v>
      </c>
      <c r="F21" s="25">
        <f t="shared" si="5"/>
        <v>-2.9000000000678501</v>
      </c>
      <c r="G21" s="26">
        <f t="shared" si="6"/>
        <v>-0.100000000031741</v>
      </c>
      <c r="H21" s="6">
        <v>7.8198999999999996</v>
      </c>
      <c r="I21" s="35">
        <f t="shared" si="1"/>
        <v>799.28470000000004</v>
      </c>
      <c r="J21" s="24">
        <f t="shared" si="7"/>
        <v>0.199999999949796</v>
      </c>
      <c r="K21" s="25">
        <f t="shared" si="8"/>
        <v>-2.6000000000294698</v>
      </c>
      <c r="L21" s="26">
        <f t="shared" si="9"/>
        <v>9.9999999974897905E-2</v>
      </c>
      <c r="M21" s="6">
        <v>6.3818000000000001</v>
      </c>
      <c r="N21" s="35">
        <f t="shared" si="2"/>
        <v>797.84659999999997</v>
      </c>
      <c r="O21" s="24">
        <f t="shared" si="10"/>
        <v>-0.40000000001327901</v>
      </c>
      <c r="P21" s="25">
        <f t="shared" si="11"/>
        <v>-1.8000000000029099</v>
      </c>
      <c r="Q21" s="26">
        <f t="shared" si="12"/>
        <v>-0.20000000000663901</v>
      </c>
      <c r="R21" s="41"/>
      <c r="S21" s="21">
        <f t="shared" si="3"/>
        <v>44729</v>
      </c>
      <c r="T21" s="42">
        <v>8.7005999999999997</v>
      </c>
      <c r="U21" s="43">
        <f t="shared" si="13"/>
        <v>-0.200000000010192</v>
      </c>
      <c r="V21" s="44">
        <f t="shared" si="14"/>
        <v>-3.0000000000001101</v>
      </c>
      <c r="W21" s="45">
        <f t="shared" si="15"/>
        <v>0.100000000005096</v>
      </c>
      <c r="X21" s="29">
        <v>11.8467</v>
      </c>
      <c r="Y21" s="43">
        <f t="shared" si="16"/>
        <v>-0.19999999999953399</v>
      </c>
      <c r="Z21" s="44">
        <f t="shared" si="17"/>
        <v>-3.1999999999996498</v>
      </c>
      <c r="AA21" s="45">
        <f t="shared" si="18"/>
        <v>-9.99999999997669E-2</v>
      </c>
      <c r="AB21" s="49">
        <v>9.2532000000000103</v>
      </c>
      <c r="AC21" s="43">
        <f t="shared" si="19"/>
        <v>-0.29999999999041899</v>
      </c>
      <c r="AD21" s="44">
        <f t="shared" si="20"/>
        <v>-2.99999999998946</v>
      </c>
      <c r="AE21" s="45">
        <f t="shared" si="21"/>
        <v>-0.14999999999520999</v>
      </c>
      <c r="AF21" s="50">
        <v>79931</v>
      </c>
      <c r="AG21" s="58">
        <f t="shared" si="22"/>
        <v>61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44731</v>
      </c>
      <c r="B22" s="22">
        <v>791.46479999999997</v>
      </c>
      <c r="C22" s="27">
        <v>5.7706999999999997</v>
      </c>
      <c r="D22" s="23">
        <f t="shared" si="0"/>
        <v>797.2355</v>
      </c>
      <c r="E22" s="24">
        <f t="shared" si="4"/>
        <v>0.10000000008858501</v>
      </c>
      <c r="F22" s="25">
        <f t="shared" si="5"/>
        <v>-2.79999999997926</v>
      </c>
      <c r="G22" s="26">
        <f t="shared" si="6"/>
        <v>5.0000000044292399E-2</v>
      </c>
      <c r="H22" s="6">
        <v>7.8196000000000003</v>
      </c>
      <c r="I22" s="35">
        <f t="shared" si="1"/>
        <v>799.28440000000001</v>
      </c>
      <c r="J22" s="24">
        <f t="shared" si="7"/>
        <v>-0.29999999992469401</v>
      </c>
      <c r="K22" s="25">
        <f t="shared" si="8"/>
        <v>-2.8999999999541601</v>
      </c>
      <c r="L22" s="26">
        <f t="shared" si="9"/>
        <v>-0.149999999962347</v>
      </c>
      <c r="M22" s="6">
        <v>6.3815999999999997</v>
      </c>
      <c r="N22" s="35">
        <f t="shared" si="2"/>
        <v>797.84640000000002</v>
      </c>
      <c r="O22" s="24">
        <f t="shared" si="10"/>
        <v>-0.199999999949796</v>
      </c>
      <c r="P22" s="25">
        <f t="shared" si="11"/>
        <v>-1.9999999999527101</v>
      </c>
      <c r="Q22" s="26">
        <f t="shared" si="12"/>
        <v>-9.9999999974897905E-2</v>
      </c>
      <c r="R22" s="41"/>
      <c r="S22" s="21">
        <f t="shared" si="3"/>
        <v>44731</v>
      </c>
      <c r="T22" s="42">
        <v>8.7004999999999999</v>
      </c>
      <c r="U22" s="43">
        <f t="shared" si="13"/>
        <v>-9.99999999997669E-2</v>
      </c>
      <c r="V22" s="44">
        <f t="shared" si="14"/>
        <v>-3.0999999999998802</v>
      </c>
      <c r="W22" s="45">
        <f t="shared" si="15"/>
        <v>4.9999999999883499E-2</v>
      </c>
      <c r="X22" s="29">
        <v>11.846500000000001</v>
      </c>
      <c r="Y22" s="43">
        <f t="shared" si="16"/>
        <v>-0.19999999999953399</v>
      </c>
      <c r="Z22" s="44">
        <f t="shared" si="17"/>
        <v>-3.3999999999991801</v>
      </c>
      <c r="AA22" s="45">
        <f t="shared" si="18"/>
        <v>-9.99999999997669E-2</v>
      </c>
      <c r="AB22" s="49">
        <v>9.2530000000000108</v>
      </c>
      <c r="AC22" s="43">
        <f t="shared" si="19"/>
        <v>-0.19999999999953399</v>
      </c>
      <c r="AD22" s="44">
        <f t="shared" si="20"/>
        <v>-3.1999999999889899</v>
      </c>
      <c r="AE22" s="45">
        <f t="shared" si="21"/>
        <v>-9.99999999997669E-2</v>
      </c>
      <c r="AF22" s="50">
        <v>79937</v>
      </c>
      <c r="AG22" s="58">
        <f t="shared" si="22"/>
        <v>67</v>
      </c>
      <c r="AH22" s="61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/>
      <c r="B23" s="22"/>
      <c r="C23" s="27"/>
      <c r="D23" s="23"/>
      <c r="E23" s="65">
        <f>F22-F6</f>
        <v>-2.79999999997926</v>
      </c>
      <c r="F23" s="33">
        <f>K22-K6</f>
        <v>-2.8999999999541601</v>
      </c>
      <c r="G23" s="33">
        <f>P22-P6</f>
        <v>-1.9999999999527101</v>
      </c>
      <c r="H23" s="33">
        <f>F22</f>
        <v>-2.79999999997926</v>
      </c>
      <c r="I23" s="66">
        <f>K22</f>
        <v>-2.8999999999541601</v>
      </c>
      <c r="J23" s="65">
        <f>P22</f>
        <v>-1.9999999999527101</v>
      </c>
      <c r="K23" s="33">
        <f>(P22-P6)/20</f>
        <v>-9.99999999976353E-2</v>
      </c>
      <c r="L23" s="26"/>
      <c r="N23" s="35"/>
      <c r="O23" s="24"/>
      <c r="P23" s="25"/>
      <c r="Q23" s="26"/>
      <c r="R23" s="41"/>
      <c r="S23" s="21"/>
      <c r="T23" s="42"/>
      <c r="U23" s="65">
        <f>V22-V6</f>
        <v>-3.0999999999998802</v>
      </c>
      <c r="V23" s="33">
        <f>Z22-Z6</f>
        <v>-3.3999999999991801</v>
      </c>
      <c r="W23" s="33">
        <f>AD22-AD6</f>
        <v>-3.1999999999889899</v>
      </c>
      <c r="X23" s="33">
        <f>V22</f>
        <v>-3.0999999999998802</v>
      </c>
      <c r="Y23" s="65">
        <f>Z22</f>
        <v>-3.3999999999991801</v>
      </c>
      <c r="Z23" s="33">
        <f>AD22</f>
        <v>-3.1999999999889899</v>
      </c>
      <c r="AA23" s="33">
        <f>(Z22-Z6)/20</f>
        <v>-0.16999999999995899</v>
      </c>
      <c r="AB23" s="49"/>
      <c r="AC23" s="43"/>
      <c r="AD23" s="44"/>
      <c r="AE23" s="45"/>
      <c r="AF23" s="50"/>
      <c r="AG23" s="58"/>
      <c r="AH23" s="61"/>
      <c r="AI23" s="60"/>
      <c r="AJ23"/>
      <c r="AK23"/>
      <c r="AL23"/>
      <c r="AM23"/>
    </row>
    <row r="24" spans="1:48">
      <c r="A24" s="21"/>
      <c r="B24" s="22"/>
      <c r="C24" s="27"/>
      <c r="D24" s="23"/>
      <c r="E24" s="24"/>
      <c r="F24" s="25"/>
      <c r="G24" s="26"/>
      <c r="I24" s="35"/>
      <c r="J24" s="24"/>
      <c r="L24" s="26"/>
      <c r="N24" s="35"/>
      <c r="O24" s="24"/>
      <c r="P24" s="25"/>
      <c r="Q24" s="26"/>
      <c r="R24" s="41"/>
      <c r="S24" s="21"/>
      <c r="T24" s="42"/>
      <c r="U24" s="43"/>
      <c r="V24" s="44"/>
      <c r="W24" s="45"/>
      <c r="X24" s="29"/>
      <c r="Y24" s="43"/>
      <c r="Z24" s="44"/>
      <c r="AA24" s="45"/>
      <c r="AB24" s="49"/>
      <c r="AC24" s="43"/>
      <c r="AD24" s="44"/>
      <c r="AE24" s="45"/>
      <c r="AF24" s="50"/>
      <c r="AG24" s="58"/>
      <c r="AH24" s="61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24"/>
      <c r="F25" s="25"/>
      <c r="G25" s="26"/>
      <c r="I25" s="35"/>
      <c r="J25" s="24"/>
      <c r="K25" s="25"/>
      <c r="L25" s="26"/>
      <c r="N25" s="35"/>
      <c r="O25" s="24"/>
      <c r="P25" s="25"/>
      <c r="Q25" s="26"/>
      <c r="R25" s="41"/>
      <c r="S25" s="21"/>
      <c r="T25" s="42"/>
      <c r="U25" s="43"/>
      <c r="V25" s="44"/>
      <c r="W25" s="45"/>
      <c r="X25" s="29"/>
      <c r="Y25" s="43"/>
      <c r="Z25" s="44"/>
      <c r="AA25" s="45"/>
      <c r="AB25" s="49"/>
      <c r="AC25" s="43"/>
      <c r="AD25" s="44"/>
      <c r="AE25" s="45"/>
      <c r="AF25" s="50"/>
      <c r="AG25" s="58"/>
      <c r="AH25" s="61"/>
      <c r="AI25" s="52"/>
      <c r="AJ25" s="52"/>
      <c r="AK25" s="52"/>
      <c r="AL25" s="52"/>
      <c r="AM25" s="52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S28" workbookViewId="0">
      <selection activeCell="W50" sqref="W5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44719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44719</v>
      </c>
      <c r="B6" s="22">
        <v>791.46479999999997</v>
      </c>
      <c r="C6" s="27">
        <v>6.6493000000000002</v>
      </c>
      <c r="D6" s="23">
        <f t="shared" ref="D6:D24" si="0">C6+B6</f>
        <v>798.11410000000001</v>
      </c>
      <c r="E6" s="24">
        <v>0</v>
      </c>
      <c r="F6" s="25">
        <v>0</v>
      </c>
      <c r="G6" s="26">
        <v>0</v>
      </c>
      <c r="H6" s="6">
        <v>7.7582000000000004</v>
      </c>
      <c r="I6" s="35">
        <f t="shared" ref="I6:I24" si="1">H6+B6</f>
        <v>799.22299999999996</v>
      </c>
      <c r="J6" s="24">
        <v>0</v>
      </c>
      <c r="K6" s="25">
        <v>0</v>
      </c>
      <c r="L6" s="26">
        <v>0</v>
      </c>
      <c r="M6" s="6">
        <v>6.6102999999999996</v>
      </c>
      <c r="N6" s="35">
        <f t="shared" ref="N6:N24" si="2">M6+B6</f>
        <v>798.07510000000002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44719</v>
      </c>
      <c r="T6" s="42">
        <v>9.1758000000000006</v>
      </c>
      <c r="U6" s="43">
        <v>0</v>
      </c>
      <c r="V6" s="44">
        <v>0</v>
      </c>
      <c r="W6" s="45">
        <f>U6/(S6-S11)</f>
        <v>0</v>
      </c>
      <c r="X6" s="29">
        <v>12.0945</v>
      </c>
      <c r="Y6" s="43">
        <v>0</v>
      </c>
      <c r="Z6" s="44">
        <v>0</v>
      </c>
      <c r="AA6" s="45">
        <v>0</v>
      </c>
      <c r="AB6" s="49">
        <v>7.7877999999999998</v>
      </c>
      <c r="AC6" s="43">
        <v>0</v>
      </c>
      <c r="AD6" s="44">
        <v>0</v>
      </c>
      <c r="AE6" s="45">
        <v>0</v>
      </c>
      <c r="AF6" s="50">
        <v>79880</v>
      </c>
      <c r="AG6" s="58">
        <f t="shared" ref="AG6:AG24" si="4">AF6-79870</f>
        <v>10</v>
      </c>
      <c r="AH6" s="59"/>
      <c r="AI6" s="60"/>
      <c r="AJ6" s="61"/>
      <c r="AK6" s="62"/>
      <c r="AL6" s="52"/>
      <c r="AM6" s="52"/>
    </row>
    <row r="7" spans="1:48">
      <c r="A7" s="21">
        <v>44720</v>
      </c>
      <c r="B7" s="22">
        <v>791.46479999999997</v>
      </c>
      <c r="C7" s="27">
        <v>6.6490999999999998</v>
      </c>
      <c r="D7" s="23">
        <f t="shared" si="0"/>
        <v>798.11389999999994</v>
      </c>
      <c r="E7" s="24">
        <f t="shared" ref="E7:E24" si="5">(D7-D6)*1000</f>
        <v>-0.20000000006348301</v>
      </c>
      <c r="F7" s="25">
        <f t="shared" ref="F7:F24" si="6">F6+E7</f>
        <v>-0.20000000006348301</v>
      </c>
      <c r="G7" s="26">
        <f t="shared" ref="G7:G24" si="7">E7/(A7-A6)</f>
        <v>-0.20000000006348301</v>
      </c>
      <c r="H7" s="6">
        <v>7.7582000000000004</v>
      </c>
      <c r="I7" s="35">
        <f t="shared" si="1"/>
        <v>799.22299999999996</v>
      </c>
      <c r="J7" s="24">
        <f t="shared" ref="J7:J24" si="8">(I7-I6)*1000</f>
        <v>0</v>
      </c>
      <c r="K7" s="25">
        <f t="shared" ref="K7:K24" si="9">K6+J7</f>
        <v>0</v>
      </c>
      <c r="L7" s="26">
        <f t="shared" ref="L7:L24" si="10">J7/(A7-A6)</f>
        <v>0</v>
      </c>
      <c r="M7" s="6">
        <v>6.6101000000000001</v>
      </c>
      <c r="N7" s="35">
        <f t="shared" si="2"/>
        <v>798.07489999999996</v>
      </c>
      <c r="O7" s="24">
        <f t="shared" ref="O7:O24" si="11">(N7-N6)*1000</f>
        <v>-0.20000000006348301</v>
      </c>
      <c r="P7" s="25">
        <f t="shared" ref="P7:P24" si="12">P6+O7</f>
        <v>-0.20000000006348301</v>
      </c>
      <c r="Q7" s="26">
        <f t="shared" ref="Q7:Q24" si="13">O7/(A7-A6)</f>
        <v>-0.20000000006348301</v>
      </c>
      <c r="R7" s="41"/>
      <c r="S7" s="21">
        <f t="shared" si="3"/>
        <v>44720</v>
      </c>
      <c r="T7" s="42">
        <v>9.1754999999999995</v>
      </c>
      <c r="U7" s="43">
        <f t="shared" ref="U7:U24" si="14">(T7-T6)*1000</f>
        <v>-0.30000000000107702</v>
      </c>
      <c r="V7" s="44">
        <f t="shared" ref="V7:V24" si="15">V6+U7</f>
        <v>-0.30000000000107702</v>
      </c>
      <c r="W7" s="45">
        <f t="shared" ref="W7:W24" si="16">U7/(S6-S7)</f>
        <v>0.30000000000107702</v>
      </c>
      <c r="X7" s="29">
        <v>12.093999999999999</v>
      </c>
      <c r="Y7" s="43">
        <f t="shared" ref="Y7:Y24" si="17">(X7-X6)*1000</f>
        <v>-0.50000000000061096</v>
      </c>
      <c r="Z7" s="44">
        <f t="shared" ref="Z7:Z24" si="18">Z6+Y7</f>
        <v>-0.50000000000061096</v>
      </c>
      <c r="AA7" s="45">
        <f t="shared" ref="AA7:AA24" si="19">Y7/(S7-S6)</f>
        <v>-0.50000000000061096</v>
      </c>
      <c r="AB7" s="49">
        <v>7.7874999999999996</v>
      </c>
      <c r="AC7" s="43">
        <f t="shared" ref="AC7:AC24" si="20">(AB7-AB6)*1000</f>
        <v>-0.300000000000189</v>
      </c>
      <c r="AD7" s="44">
        <f t="shared" ref="AD7:AD24" si="21">AD6+AC7</f>
        <v>-0.300000000000189</v>
      </c>
      <c r="AE7" s="45">
        <f t="shared" ref="AE7:AE24" si="22">AC7/(S7-S6)</f>
        <v>-0.300000000000189</v>
      </c>
      <c r="AF7" s="50">
        <v>79883</v>
      </c>
      <c r="AG7" s="58">
        <f t="shared" si="4"/>
        <v>13</v>
      </c>
      <c r="AH7" s="59"/>
      <c r="AI7" s="60"/>
      <c r="AJ7" s="61"/>
      <c r="AK7" s="62"/>
      <c r="AL7" s="52"/>
      <c r="AM7" s="52"/>
    </row>
    <row r="8" spans="1:48">
      <c r="A8" s="21">
        <v>44721</v>
      </c>
      <c r="B8" s="22">
        <v>791.46479999999997</v>
      </c>
      <c r="C8" s="27">
        <v>6.6489000000000003</v>
      </c>
      <c r="D8" s="23">
        <f t="shared" si="0"/>
        <v>798.11369999999999</v>
      </c>
      <c r="E8" s="24">
        <f t="shared" si="5"/>
        <v>-0.199999999949796</v>
      </c>
      <c r="F8" s="25">
        <f t="shared" si="6"/>
        <v>-0.40000000001327901</v>
      </c>
      <c r="G8" s="26">
        <f t="shared" si="7"/>
        <v>-0.199999999949796</v>
      </c>
      <c r="H8" s="6">
        <v>7.7584</v>
      </c>
      <c r="I8" s="35">
        <f t="shared" si="1"/>
        <v>799.22320000000002</v>
      </c>
      <c r="J8" s="24">
        <f t="shared" si="8"/>
        <v>0.20000000006348301</v>
      </c>
      <c r="K8" s="25">
        <f t="shared" si="9"/>
        <v>0.20000000006348301</v>
      </c>
      <c r="L8" s="26">
        <f t="shared" si="10"/>
        <v>0.20000000006348301</v>
      </c>
      <c r="M8" s="6">
        <v>6.6098999999999997</v>
      </c>
      <c r="N8" s="35">
        <f t="shared" si="2"/>
        <v>798.07470000000001</v>
      </c>
      <c r="O8" s="24">
        <f t="shared" si="11"/>
        <v>-0.199999999949796</v>
      </c>
      <c r="P8" s="25">
        <f t="shared" si="12"/>
        <v>-0.40000000001327901</v>
      </c>
      <c r="Q8" s="26">
        <f t="shared" si="13"/>
        <v>-0.199999999949796</v>
      </c>
      <c r="R8" s="41"/>
      <c r="S8" s="21">
        <f t="shared" si="3"/>
        <v>44721</v>
      </c>
      <c r="T8" s="42">
        <v>9.1753</v>
      </c>
      <c r="U8" s="43">
        <f t="shared" si="14"/>
        <v>-0.19999999999953399</v>
      </c>
      <c r="V8" s="44">
        <f t="shared" si="15"/>
        <v>-0.50000000000061096</v>
      </c>
      <c r="W8" s="45">
        <f t="shared" si="16"/>
        <v>0.19999999999953399</v>
      </c>
      <c r="X8" s="29">
        <v>12.0938</v>
      </c>
      <c r="Y8" s="43">
        <f t="shared" si="17"/>
        <v>-0.19999999999953399</v>
      </c>
      <c r="Z8" s="44">
        <f t="shared" si="18"/>
        <v>-0.70000000000014495</v>
      </c>
      <c r="AA8" s="45">
        <f t="shared" si="19"/>
        <v>-0.19999999999953399</v>
      </c>
      <c r="AB8" s="49">
        <v>7.7873000000000001</v>
      </c>
      <c r="AC8" s="43">
        <f t="shared" si="20"/>
        <v>-0.19999999999953399</v>
      </c>
      <c r="AD8" s="44">
        <f t="shared" si="21"/>
        <v>-0.499999999999723</v>
      </c>
      <c r="AE8" s="45">
        <f t="shared" si="22"/>
        <v>-0.19999999999953399</v>
      </c>
      <c r="AF8" s="50">
        <v>79886</v>
      </c>
      <c r="AG8" s="58">
        <f t="shared" si="4"/>
        <v>16</v>
      </c>
      <c r="AH8" s="59"/>
      <c r="AI8" s="60"/>
      <c r="AJ8" s="61"/>
      <c r="AK8" s="62"/>
      <c r="AL8" s="52"/>
      <c r="AM8" s="52"/>
    </row>
    <row r="9" spans="1:48">
      <c r="A9" s="21">
        <v>44722</v>
      </c>
      <c r="B9" s="22">
        <v>791.46479999999997</v>
      </c>
      <c r="C9" s="27">
        <v>6.6487999999999996</v>
      </c>
      <c r="D9" s="23">
        <f t="shared" si="0"/>
        <v>798.11360000000002</v>
      </c>
      <c r="E9" s="24">
        <f t="shared" si="5"/>
        <v>-9.9999999974897905E-2</v>
      </c>
      <c r="F9" s="25">
        <f t="shared" si="6"/>
        <v>-0.49999999998817701</v>
      </c>
      <c r="G9" s="26">
        <f t="shared" si="7"/>
        <v>-9.9999999974897905E-2</v>
      </c>
      <c r="H9" s="6">
        <v>7.758</v>
      </c>
      <c r="I9" s="35">
        <f t="shared" si="1"/>
        <v>799.22280000000001</v>
      </c>
      <c r="J9" s="24">
        <f t="shared" si="8"/>
        <v>-0.40000000001327901</v>
      </c>
      <c r="K9" s="25">
        <f t="shared" si="9"/>
        <v>-0.199999999949796</v>
      </c>
      <c r="L9" s="26">
        <f t="shared" si="10"/>
        <v>-0.40000000001327901</v>
      </c>
      <c r="M9" s="6">
        <v>6.61</v>
      </c>
      <c r="N9" s="35">
        <f t="shared" si="2"/>
        <v>798.07479999999998</v>
      </c>
      <c r="O9" s="24">
        <f t="shared" si="11"/>
        <v>9.9999999974897905E-2</v>
      </c>
      <c r="P9" s="25">
        <f t="shared" si="12"/>
        <v>-0.30000000003838101</v>
      </c>
      <c r="Q9" s="26">
        <f t="shared" si="13"/>
        <v>9.9999999974897905E-2</v>
      </c>
      <c r="R9" s="41"/>
      <c r="S9" s="21">
        <f t="shared" si="3"/>
        <v>44722</v>
      </c>
      <c r="T9" s="42">
        <v>9.1751000000000005</v>
      </c>
      <c r="U9" s="43">
        <f t="shared" si="14"/>
        <v>-0.19999999999953399</v>
      </c>
      <c r="V9" s="44">
        <f t="shared" si="15"/>
        <v>-0.70000000000014495</v>
      </c>
      <c r="W9" s="45">
        <f t="shared" si="16"/>
        <v>0.19999999999953399</v>
      </c>
      <c r="X9" s="29">
        <v>12.094200000000001</v>
      </c>
      <c r="Y9" s="43">
        <f t="shared" si="17"/>
        <v>0.40000000000084401</v>
      </c>
      <c r="Z9" s="44">
        <f t="shared" si="18"/>
        <v>-0.29999999999930099</v>
      </c>
      <c r="AA9" s="45">
        <f t="shared" si="19"/>
        <v>0.40000000000084401</v>
      </c>
      <c r="AB9" s="49">
        <v>7.7870999999999997</v>
      </c>
      <c r="AC9" s="43">
        <f t="shared" si="20"/>
        <v>-0.20000000000042201</v>
      </c>
      <c r="AD9" s="44">
        <f t="shared" si="21"/>
        <v>-0.70000000000014495</v>
      </c>
      <c r="AE9" s="45">
        <f t="shared" si="22"/>
        <v>-0.20000000000042201</v>
      </c>
      <c r="AF9" s="50">
        <v>79889</v>
      </c>
      <c r="AG9" s="58">
        <f t="shared" si="4"/>
        <v>19</v>
      </c>
      <c r="AH9" s="61"/>
      <c r="AI9" s="60"/>
      <c r="AJ9"/>
      <c r="AK9"/>
      <c r="AL9"/>
      <c r="AM9"/>
    </row>
    <row r="10" spans="1:48">
      <c r="A10" s="21">
        <v>44723</v>
      </c>
      <c r="B10" s="22">
        <v>791.46479999999997</v>
      </c>
      <c r="C10" s="27">
        <v>6.6485000000000003</v>
      </c>
      <c r="D10" s="23">
        <f t="shared" si="0"/>
        <v>798.11329999999998</v>
      </c>
      <c r="E10" s="24">
        <f t="shared" si="5"/>
        <v>-0.30000000003838101</v>
      </c>
      <c r="F10" s="25">
        <f t="shared" si="6"/>
        <v>-0.80000000002655702</v>
      </c>
      <c r="G10" s="26">
        <f t="shared" si="7"/>
        <v>-0.30000000003838101</v>
      </c>
      <c r="H10" s="6">
        <v>7.7577999999999996</v>
      </c>
      <c r="I10" s="35">
        <f t="shared" si="1"/>
        <v>799.22260000000006</v>
      </c>
      <c r="J10" s="24">
        <f t="shared" si="8"/>
        <v>-0.20000000006348301</v>
      </c>
      <c r="K10" s="25">
        <f t="shared" si="9"/>
        <v>-0.40000000001327901</v>
      </c>
      <c r="L10" s="26">
        <f t="shared" si="10"/>
        <v>-0.20000000006348301</v>
      </c>
      <c r="M10" s="6">
        <v>6.6094999999999997</v>
      </c>
      <c r="N10" s="35">
        <f t="shared" si="2"/>
        <v>798.07429999999999</v>
      </c>
      <c r="O10" s="24">
        <f t="shared" si="11"/>
        <v>-0.49999999998817701</v>
      </c>
      <c r="P10" s="25">
        <f t="shared" si="12"/>
        <v>-0.80000000002655702</v>
      </c>
      <c r="Q10" s="26">
        <f t="shared" si="13"/>
        <v>-0.49999999998817701</v>
      </c>
      <c r="R10" s="41"/>
      <c r="S10" s="21">
        <f t="shared" si="3"/>
        <v>44723</v>
      </c>
      <c r="T10" s="42">
        <v>9.1750000000000007</v>
      </c>
      <c r="U10" s="43">
        <f t="shared" si="14"/>
        <v>-9.99999999997669E-2</v>
      </c>
      <c r="V10" s="44">
        <f t="shared" si="15"/>
        <v>-0.799999999999912</v>
      </c>
      <c r="W10" s="45">
        <f t="shared" si="16"/>
        <v>9.99999999997669E-2</v>
      </c>
      <c r="X10" s="29">
        <v>12.093999999999999</v>
      </c>
      <c r="Y10" s="43">
        <f t="shared" si="17"/>
        <v>-0.20000000000130999</v>
      </c>
      <c r="Z10" s="44">
        <f t="shared" si="18"/>
        <v>-0.50000000000061096</v>
      </c>
      <c r="AA10" s="45">
        <f t="shared" si="19"/>
        <v>-0.20000000000130999</v>
      </c>
      <c r="AB10" s="49">
        <v>7.7869999999999999</v>
      </c>
      <c r="AC10" s="43">
        <f t="shared" si="20"/>
        <v>-9.99999999997669E-2</v>
      </c>
      <c r="AD10" s="44">
        <f t="shared" si="21"/>
        <v>-0.799999999999912</v>
      </c>
      <c r="AE10" s="45">
        <f t="shared" si="22"/>
        <v>-9.99999999997669E-2</v>
      </c>
      <c r="AF10" s="50">
        <v>79892</v>
      </c>
      <c r="AG10" s="58">
        <f t="shared" si="4"/>
        <v>22</v>
      </c>
      <c r="AH10" s="59"/>
      <c r="AI10" s="60"/>
      <c r="AJ10" s="61"/>
      <c r="AK10" s="62"/>
      <c r="AL10" s="52"/>
      <c r="AM10" s="52"/>
    </row>
    <row r="11" spans="1:48">
      <c r="A11" s="21">
        <v>44724</v>
      </c>
      <c r="B11" s="22">
        <v>791.46479999999997</v>
      </c>
      <c r="C11" s="27">
        <v>6.6482999999999999</v>
      </c>
      <c r="D11" s="23">
        <f t="shared" si="0"/>
        <v>798.11310000000003</v>
      </c>
      <c r="E11" s="24">
        <f t="shared" si="5"/>
        <v>-0.20000000006348301</v>
      </c>
      <c r="F11" s="25">
        <f t="shared" si="6"/>
        <v>-1.00000000009004</v>
      </c>
      <c r="G11" s="26">
        <f t="shared" si="7"/>
        <v>-0.20000000006348301</v>
      </c>
      <c r="H11" s="6">
        <v>7.7576000000000001</v>
      </c>
      <c r="I11" s="35">
        <f t="shared" si="1"/>
        <v>799.22239999999999</v>
      </c>
      <c r="J11" s="24">
        <f t="shared" si="8"/>
        <v>-0.199999999949796</v>
      </c>
      <c r="K11" s="25">
        <f t="shared" si="9"/>
        <v>-0.59999999996307496</v>
      </c>
      <c r="L11" s="26">
        <f t="shared" si="10"/>
        <v>-0.199999999949796</v>
      </c>
      <c r="M11" s="6">
        <v>6.6093000000000002</v>
      </c>
      <c r="N11" s="35">
        <f t="shared" si="2"/>
        <v>798.07410000000004</v>
      </c>
      <c r="O11" s="24">
        <f t="shared" si="11"/>
        <v>-0.20000000006348301</v>
      </c>
      <c r="P11" s="25">
        <f t="shared" si="12"/>
        <v>-1.00000000009004</v>
      </c>
      <c r="Q11" s="26">
        <f t="shared" si="13"/>
        <v>-0.20000000006348301</v>
      </c>
      <c r="R11" s="41"/>
      <c r="S11" s="21">
        <f t="shared" si="3"/>
        <v>44724</v>
      </c>
      <c r="T11" s="42">
        <v>9.1746999999999996</v>
      </c>
      <c r="U11" s="43">
        <f t="shared" si="14"/>
        <v>-0.30000000000107702</v>
      </c>
      <c r="V11" s="44">
        <f t="shared" si="15"/>
        <v>-1.10000000000099</v>
      </c>
      <c r="W11" s="45">
        <f t="shared" si="16"/>
        <v>0.30000000000107702</v>
      </c>
      <c r="X11" s="29">
        <v>12.094099999999999</v>
      </c>
      <c r="Y11" s="43">
        <f t="shared" si="17"/>
        <v>9.99999999997669E-2</v>
      </c>
      <c r="Z11" s="44">
        <f t="shared" si="18"/>
        <v>-0.40000000000084401</v>
      </c>
      <c r="AA11" s="45">
        <f t="shared" si="19"/>
        <v>9.99999999997669E-2</v>
      </c>
      <c r="AB11" s="49">
        <v>7.7872000000000003</v>
      </c>
      <c r="AC11" s="43">
        <f t="shared" si="20"/>
        <v>0.20000000000042201</v>
      </c>
      <c r="AD11" s="44">
        <f t="shared" si="21"/>
        <v>-0.59999999999949005</v>
      </c>
      <c r="AE11" s="45">
        <f t="shared" si="22"/>
        <v>0.20000000000042201</v>
      </c>
      <c r="AF11" s="50">
        <v>79895</v>
      </c>
      <c r="AG11" s="58">
        <f t="shared" si="4"/>
        <v>25</v>
      </c>
      <c r="AH11" s="59"/>
      <c r="AI11" s="60"/>
      <c r="AJ11" s="52"/>
      <c r="AK11" s="52"/>
      <c r="AL11" s="52"/>
      <c r="AM11" s="52"/>
    </row>
    <row r="12" spans="1:48">
      <c r="A12" s="21">
        <v>44725</v>
      </c>
      <c r="B12" s="22">
        <v>791.46479999999997</v>
      </c>
      <c r="C12" s="27">
        <v>6.6482000000000001</v>
      </c>
      <c r="D12" s="23">
        <f t="shared" si="0"/>
        <v>798.11300000000006</v>
      </c>
      <c r="E12" s="24">
        <f t="shared" si="5"/>
        <v>-9.9999999974897905E-2</v>
      </c>
      <c r="F12" s="25">
        <f t="shared" si="6"/>
        <v>-1.1000000000649399</v>
      </c>
      <c r="G12" s="26">
        <f t="shared" si="7"/>
        <v>-9.9999999974897905E-2</v>
      </c>
      <c r="H12" s="6">
        <v>7.7576999999999998</v>
      </c>
      <c r="I12" s="35">
        <f t="shared" si="1"/>
        <v>799.22249999999997</v>
      </c>
      <c r="J12" s="24">
        <f t="shared" si="8"/>
        <v>9.9999999974897905E-2</v>
      </c>
      <c r="K12" s="25">
        <f t="shared" si="9"/>
        <v>-0.49999999998817701</v>
      </c>
      <c r="L12" s="26">
        <f t="shared" si="10"/>
        <v>9.9999999974897905E-2</v>
      </c>
      <c r="M12" s="6">
        <v>6.6094999999999997</v>
      </c>
      <c r="N12" s="35">
        <f t="shared" si="2"/>
        <v>798.07429999999999</v>
      </c>
      <c r="O12" s="24">
        <f t="shared" si="11"/>
        <v>0.20000000006348301</v>
      </c>
      <c r="P12" s="25">
        <f t="shared" si="12"/>
        <v>-0.80000000002655702</v>
      </c>
      <c r="Q12" s="26">
        <f t="shared" si="13"/>
        <v>0.20000000006348301</v>
      </c>
      <c r="R12" s="41"/>
      <c r="S12" s="21">
        <f t="shared" si="3"/>
        <v>44725</v>
      </c>
      <c r="T12" s="42">
        <v>9.1745000000000001</v>
      </c>
      <c r="U12" s="43">
        <f t="shared" si="14"/>
        <v>-0.19999999999953399</v>
      </c>
      <c r="V12" s="44">
        <f t="shared" si="15"/>
        <v>-1.3000000000005201</v>
      </c>
      <c r="W12" s="45">
        <f t="shared" si="16"/>
        <v>0.19999999999953399</v>
      </c>
      <c r="X12" s="29">
        <v>12.0936</v>
      </c>
      <c r="Y12" s="43">
        <f t="shared" si="17"/>
        <v>-0.49999999999883499</v>
      </c>
      <c r="Z12" s="44">
        <f t="shared" si="18"/>
        <v>-0.89999999999967895</v>
      </c>
      <c r="AA12" s="45">
        <f t="shared" si="19"/>
        <v>-0.49999999999883499</v>
      </c>
      <c r="AB12" s="49">
        <v>7.7869999999999999</v>
      </c>
      <c r="AC12" s="43">
        <f t="shared" si="20"/>
        <v>-0.20000000000042201</v>
      </c>
      <c r="AD12" s="44">
        <f t="shared" si="21"/>
        <v>-0.799999999999912</v>
      </c>
      <c r="AE12" s="45">
        <f t="shared" si="22"/>
        <v>-0.20000000000042201</v>
      </c>
      <c r="AF12" s="50">
        <v>79898</v>
      </c>
      <c r="AG12" s="58">
        <f t="shared" si="4"/>
        <v>28</v>
      </c>
      <c r="AH12" s="61"/>
      <c r="AI12" s="60"/>
      <c r="AJ12"/>
      <c r="AK12"/>
      <c r="AL12"/>
      <c r="AM12"/>
    </row>
    <row r="13" spans="1:48">
      <c r="A13" s="21">
        <v>44726</v>
      </c>
      <c r="B13" s="22">
        <v>791.46479999999997</v>
      </c>
      <c r="C13" s="27">
        <v>6.6478999999999999</v>
      </c>
      <c r="D13" s="23">
        <f t="shared" si="0"/>
        <v>798.11270000000002</v>
      </c>
      <c r="E13" s="24">
        <f t="shared" si="5"/>
        <v>-0.29999999992469401</v>
      </c>
      <c r="F13" s="25">
        <f t="shared" si="6"/>
        <v>-1.39999999998963</v>
      </c>
      <c r="G13" s="26">
        <f t="shared" si="7"/>
        <v>-0.29999999992469401</v>
      </c>
      <c r="H13" s="6">
        <v>7.7572000000000001</v>
      </c>
      <c r="I13" s="35">
        <f t="shared" si="1"/>
        <v>799.22199999999998</v>
      </c>
      <c r="J13" s="24">
        <f t="shared" si="8"/>
        <v>-0.49999999998817701</v>
      </c>
      <c r="K13" s="25">
        <f t="shared" si="9"/>
        <v>-0.99999999997635303</v>
      </c>
      <c r="L13" s="26">
        <f t="shared" si="10"/>
        <v>-0.49999999998817701</v>
      </c>
      <c r="M13" s="6">
        <v>6.6089000000000002</v>
      </c>
      <c r="N13" s="35">
        <f t="shared" si="2"/>
        <v>798.07370000000003</v>
      </c>
      <c r="O13" s="24">
        <f t="shared" si="11"/>
        <v>-0.60000000007676102</v>
      </c>
      <c r="P13" s="25">
        <f t="shared" si="12"/>
        <v>-1.4000000001033199</v>
      </c>
      <c r="Q13" s="26">
        <f t="shared" si="13"/>
        <v>-0.60000000007676102</v>
      </c>
      <c r="R13" s="41"/>
      <c r="S13" s="21">
        <f t="shared" si="3"/>
        <v>44726</v>
      </c>
      <c r="T13" s="42">
        <v>9.1745000000000001</v>
      </c>
      <c r="U13" s="43">
        <f t="shared" si="14"/>
        <v>0</v>
      </c>
      <c r="V13" s="44">
        <f t="shared" si="15"/>
        <v>-1.3000000000005201</v>
      </c>
      <c r="W13" s="45">
        <f t="shared" si="16"/>
        <v>0</v>
      </c>
      <c r="X13" s="29">
        <v>12.093400000000001</v>
      </c>
      <c r="Y13" s="43">
        <f t="shared" si="17"/>
        <v>-0.19999999999953399</v>
      </c>
      <c r="Z13" s="44">
        <f t="shared" si="18"/>
        <v>-1.0999999999992101</v>
      </c>
      <c r="AA13" s="45">
        <f t="shared" si="19"/>
        <v>-0.19999999999953399</v>
      </c>
      <c r="AB13" s="49">
        <v>7.7868000000000004</v>
      </c>
      <c r="AC13" s="43">
        <f t="shared" si="20"/>
        <v>-0.19999999999953399</v>
      </c>
      <c r="AD13" s="44">
        <f t="shared" si="21"/>
        <v>-0.999999999999446</v>
      </c>
      <c r="AE13" s="45">
        <f t="shared" si="22"/>
        <v>-0.19999999999953399</v>
      </c>
      <c r="AF13" s="50">
        <v>79901</v>
      </c>
      <c r="AG13" s="58">
        <f t="shared" si="4"/>
        <v>31</v>
      </c>
      <c r="AH13" s="61"/>
      <c r="AI13" s="60"/>
      <c r="AJ13"/>
      <c r="AK13"/>
      <c r="AL13"/>
      <c r="AM13"/>
    </row>
    <row r="14" spans="1:48">
      <c r="A14" s="21">
        <v>44727</v>
      </c>
      <c r="B14" s="22">
        <v>791.46479999999997</v>
      </c>
      <c r="C14" s="27">
        <v>6.6477000000000004</v>
      </c>
      <c r="D14" s="23">
        <f t="shared" si="0"/>
        <v>798.11249999999995</v>
      </c>
      <c r="E14" s="24">
        <f t="shared" si="5"/>
        <v>-0.20000000006348301</v>
      </c>
      <c r="F14" s="25">
        <f t="shared" si="6"/>
        <v>-1.60000000005311</v>
      </c>
      <c r="G14" s="26">
        <f t="shared" si="7"/>
        <v>-0.20000000006348301</v>
      </c>
      <c r="H14" s="6">
        <v>7.7569999999999997</v>
      </c>
      <c r="I14" s="35">
        <f t="shared" si="1"/>
        <v>799.22180000000003</v>
      </c>
      <c r="J14" s="24">
        <f t="shared" si="8"/>
        <v>-0.20000000006348301</v>
      </c>
      <c r="K14" s="25">
        <f t="shared" si="9"/>
        <v>-1.2000000000398401</v>
      </c>
      <c r="L14" s="26">
        <f t="shared" si="10"/>
        <v>-0.20000000006348301</v>
      </c>
      <c r="M14" s="6">
        <v>6.6086999999999998</v>
      </c>
      <c r="N14" s="35">
        <f t="shared" si="2"/>
        <v>798.07349999999997</v>
      </c>
      <c r="O14" s="24">
        <f t="shared" si="11"/>
        <v>-0.199999999949796</v>
      </c>
      <c r="P14" s="25">
        <f t="shared" si="12"/>
        <v>-1.60000000005311</v>
      </c>
      <c r="Q14" s="26">
        <f t="shared" si="13"/>
        <v>-0.199999999949796</v>
      </c>
      <c r="R14" s="41"/>
      <c r="S14" s="21">
        <f t="shared" si="3"/>
        <v>44727</v>
      </c>
      <c r="T14" s="42">
        <v>9.1740999999999993</v>
      </c>
      <c r="U14" s="43">
        <f t="shared" si="14"/>
        <v>-0.40000000000084401</v>
      </c>
      <c r="V14" s="44">
        <f t="shared" si="15"/>
        <v>-1.70000000000137</v>
      </c>
      <c r="W14" s="45">
        <f t="shared" si="16"/>
        <v>0.40000000000084401</v>
      </c>
      <c r="X14" s="29">
        <v>12.093299999999999</v>
      </c>
      <c r="Y14" s="43">
        <f t="shared" si="17"/>
        <v>-0.10000000000154299</v>
      </c>
      <c r="Z14" s="44">
        <f t="shared" si="18"/>
        <v>-1.20000000000076</v>
      </c>
      <c r="AA14" s="45">
        <f t="shared" si="19"/>
        <v>-0.10000000000154299</v>
      </c>
      <c r="AB14" s="49">
        <v>7.7869000000000002</v>
      </c>
      <c r="AC14" s="43">
        <f t="shared" si="20"/>
        <v>9.99999999997669E-2</v>
      </c>
      <c r="AD14" s="44">
        <f t="shared" si="21"/>
        <v>-0.89999999999967895</v>
      </c>
      <c r="AE14" s="45">
        <f t="shared" si="22"/>
        <v>9.99999999997669E-2</v>
      </c>
      <c r="AF14" s="50">
        <v>79904</v>
      </c>
      <c r="AG14" s="58">
        <f t="shared" si="4"/>
        <v>34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44728</v>
      </c>
      <c r="B15" s="22">
        <v>791.46479999999997</v>
      </c>
      <c r="C15" s="27">
        <v>6.6479999999999997</v>
      </c>
      <c r="D15" s="23">
        <f t="shared" si="0"/>
        <v>798.11279999999999</v>
      </c>
      <c r="E15" s="24">
        <f t="shared" si="5"/>
        <v>0.30000000003838101</v>
      </c>
      <c r="F15" s="25">
        <f t="shared" si="6"/>
        <v>-1.30000000001473</v>
      </c>
      <c r="G15" s="26">
        <f t="shared" si="7"/>
        <v>0.30000000003838101</v>
      </c>
      <c r="H15" s="6">
        <v>7.7571000000000003</v>
      </c>
      <c r="I15" s="35">
        <f t="shared" si="1"/>
        <v>799.22190000000001</v>
      </c>
      <c r="J15" s="24">
        <f t="shared" si="8"/>
        <v>0.10000000008858501</v>
      </c>
      <c r="K15" s="25">
        <f t="shared" si="9"/>
        <v>-1.09999999995125</v>
      </c>
      <c r="L15" s="26">
        <f t="shared" si="10"/>
        <v>0.10000000008858501</v>
      </c>
      <c r="M15" s="6">
        <v>6.609</v>
      </c>
      <c r="N15" s="35">
        <f t="shared" si="2"/>
        <v>798.07380000000001</v>
      </c>
      <c r="O15" s="24">
        <f t="shared" si="11"/>
        <v>0.30000000003838101</v>
      </c>
      <c r="P15" s="25">
        <f t="shared" si="12"/>
        <v>-1.30000000001473</v>
      </c>
      <c r="Q15" s="26">
        <f t="shared" si="13"/>
        <v>0.30000000003838101</v>
      </c>
      <c r="R15" s="41"/>
      <c r="S15" s="21">
        <f t="shared" si="3"/>
        <v>44728</v>
      </c>
      <c r="T15" s="42">
        <v>9.1738999999999997</v>
      </c>
      <c r="U15" s="43">
        <f t="shared" si="14"/>
        <v>-0.19999999999953399</v>
      </c>
      <c r="V15" s="44">
        <f t="shared" si="15"/>
        <v>-1.9000000000009001</v>
      </c>
      <c r="W15" s="45">
        <f t="shared" si="16"/>
        <v>0.19999999999953399</v>
      </c>
      <c r="X15" s="29">
        <v>12.093</v>
      </c>
      <c r="Y15" s="43">
        <f t="shared" si="17"/>
        <v>-0.29999999999930099</v>
      </c>
      <c r="Z15" s="44">
        <f t="shared" si="18"/>
        <v>-1.50000000000006</v>
      </c>
      <c r="AA15" s="45">
        <f t="shared" si="19"/>
        <v>-0.29999999999930099</v>
      </c>
      <c r="AB15" s="49">
        <v>7.7864000000000004</v>
      </c>
      <c r="AC15" s="43">
        <f t="shared" si="20"/>
        <v>-0.499999999999723</v>
      </c>
      <c r="AD15" s="44">
        <f t="shared" si="21"/>
        <v>-1.3999999999993999</v>
      </c>
      <c r="AE15" s="45">
        <f t="shared" si="22"/>
        <v>-0.499999999999723</v>
      </c>
      <c r="AF15" s="50">
        <v>79907</v>
      </c>
      <c r="AG15" s="58">
        <f t="shared" si="4"/>
        <v>37</v>
      </c>
      <c r="AH15" s="61"/>
      <c r="AI15" s="60"/>
      <c r="AJ15"/>
      <c r="AK15"/>
      <c r="AL15"/>
      <c r="AM15"/>
    </row>
    <row r="16" spans="1:48">
      <c r="A16" s="21">
        <v>44729</v>
      </c>
      <c r="B16" s="22">
        <v>791.46479999999997</v>
      </c>
      <c r="C16" s="27">
        <v>6.6473000000000004</v>
      </c>
      <c r="D16" s="23">
        <f t="shared" si="0"/>
        <v>798.11210000000005</v>
      </c>
      <c r="E16" s="24">
        <f t="shared" si="5"/>
        <v>-0.70000000005165897</v>
      </c>
      <c r="F16" s="25">
        <f t="shared" si="6"/>
        <v>-2.00000000006639</v>
      </c>
      <c r="G16" s="26">
        <f t="shared" si="7"/>
        <v>-0.70000000005165897</v>
      </c>
      <c r="H16" s="6">
        <v>7.7565999999999997</v>
      </c>
      <c r="I16" s="35">
        <f t="shared" si="1"/>
        <v>799.22140000000002</v>
      </c>
      <c r="J16" s="24">
        <f t="shared" si="8"/>
        <v>-0.49999999998817701</v>
      </c>
      <c r="K16" s="25">
        <f t="shared" si="9"/>
        <v>-1.5999999999394301</v>
      </c>
      <c r="L16" s="26">
        <f t="shared" si="10"/>
        <v>-0.49999999998817701</v>
      </c>
      <c r="M16" s="6">
        <v>6.6082999999999998</v>
      </c>
      <c r="N16" s="35">
        <f t="shared" si="2"/>
        <v>798.07309999999995</v>
      </c>
      <c r="O16" s="24">
        <f t="shared" si="11"/>
        <v>-0.70000000005165897</v>
      </c>
      <c r="P16" s="25">
        <f t="shared" si="12"/>
        <v>-2.00000000006639</v>
      </c>
      <c r="Q16" s="26">
        <f t="shared" si="13"/>
        <v>-0.70000000005165897</v>
      </c>
      <c r="R16" s="41"/>
      <c r="S16" s="21">
        <f t="shared" si="3"/>
        <v>44729</v>
      </c>
      <c r="T16" s="42">
        <v>9.1739999999999995</v>
      </c>
      <c r="U16" s="43">
        <f t="shared" si="14"/>
        <v>9.99999999997669E-2</v>
      </c>
      <c r="V16" s="44">
        <f t="shared" si="15"/>
        <v>-1.80000000000113</v>
      </c>
      <c r="W16" s="45">
        <f t="shared" si="16"/>
        <v>-9.99999999997669E-2</v>
      </c>
      <c r="X16" s="29">
        <v>12.0928</v>
      </c>
      <c r="Y16" s="43">
        <f t="shared" si="17"/>
        <v>-0.19999999999953399</v>
      </c>
      <c r="Z16" s="44">
        <f t="shared" si="18"/>
        <v>-1.6999999999995901</v>
      </c>
      <c r="AA16" s="45">
        <f t="shared" si="19"/>
        <v>-0.19999999999953399</v>
      </c>
      <c r="AB16" s="49">
        <v>7.7862</v>
      </c>
      <c r="AC16" s="43">
        <f t="shared" si="20"/>
        <v>-0.20000000000042201</v>
      </c>
      <c r="AD16" s="44">
        <f t="shared" si="21"/>
        <v>-1.59999999999982</v>
      </c>
      <c r="AE16" s="45">
        <f t="shared" si="22"/>
        <v>-0.20000000000042201</v>
      </c>
      <c r="AF16" s="50">
        <v>79910</v>
      </c>
      <c r="AG16" s="58">
        <f t="shared" si="4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44730</v>
      </c>
      <c r="B17" s="22">
        <v>791.46479999999997</v>
      </c>
      <c r="C17" s="27">
        <v>6.6471</v>
      </c>
      <c r="D17" s="23">
        <f t="shared" si="0"/>
        <v>798.11189999999999</v>
      </c>
      <c r="E17" s="24">
        <f t="shared" si="5"/>
        <v>-0.199999999949796</v>
      </c>
      <c r="F17" s="25">
        <f t="shared" si="6"/>
        <v>-2.2000000000161899</v>
      </c>
      <c r="G17" s="26">
        <f t="shared" si="7"/>
        <v>-0.199999999949796</v>
      </c>
      <c r="H17" s="6">
        <v>7.7564000000000002</v>
      </c>
      <c r="I17" s="35">
        <f t="shared" si="1"/>
        <v>799.22119999999995</v>
      </c>
      <c r="J17" s="24">
        <f t="shared" si="8"/>
        <v>-0.20000000006348301</v>
      </c>
      <c r="K17" s="25">
        <f t="shared" si="9"/>
        <v>-1.8000000000029099</v>
      </c>
      <c r="L17" s="26">
        <f t="shared" si="10"/>
        <v>-0.20000000006348301</v>
      </c>
      <c r="M17" s="6">
        <v>6.6085000000000003</v>
      </c>
      <c r="N17" s="35">
        <f t="shared" si="2"/>
        <v>798.07330000000002</v>
      </c>
      <c r="O17" s="24">
        <f t="shared" si="11"/>
        <v>0.20000000006348301</v>
      </c>
      <c r="P17" s="25">
        <f t="shared" si="12"/>
        <v>-1.8000000000029099</v>
      </c>
      <c r="Q17" s="26">
        <f t="shared" si="13"/>
        <v>0.20000000006348301</v>
      </c>
      <c r="R17" s="41"/>
      <c r="S17" s="21">
        <f t="shared" si="3"/>
        <v>44730</v>
      </c>
      <c r="T17" s="42">
        <v>9.1735000000000007</v>
      </c>
      <c r="U17" s="43">
        <f t="shared" si="14"/>
        <v>-0.49999999999883499</v>
      </c>
      <c r="V17" s="44">
        <f t="shared" si="15"/>
        <v>-2.2999999999999701</v>
      </c>
      <c r="W17" s="45">
        <f t="shared" si="16"/>
        <v>0.49999999999883499</v>
      </c>
      <c r="X17" s="29">
        <v>12.093</v>
      </c>
      <c r="Y17" s="43">
        <f t="shared" si="17"/>
        <v>0.19999999999953399</v>
      </c>
      <c r="Z17" s="44">
        <f t="shared" si="18"/>
        <v>-1.50000000000006</v>
      </c>
      <c r="AA17" s="45">
        <f t="shared" si="19"/>
        <v>0.19999999999953399</v>
      </c>
      <c r="AB17" s="49">
        <v>7.7862999999999998</v>
      </c>
      <c r="AC17" s="43">
        <f t="shared" si="20"/>
        <v>9.99999999997669E-2</v>
      </c>
      <c r="AD17" s="44">
        <f t="shared" si="21"/>
        <v>-1.50000000000006</v>
      </c>
      <c r="AE17" s="45">
        <f t="shared" si="22"/>
        <v>9.99999999997669E-2</v>
      </c>
      <c r="AF17" s="50">
        <v>79913</v>
      </c>
      <c r="AG17" s="58">
        <f t="shared" si="4"/>
        <v>43</v>
      </c>
      <c r="AH17" s="59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44731</v>
      </c>
      <c r="B18" s="22">
        <v>791.46479999999997</v>
      </c>
      <c r="C18" s="27">
        <v>6.6475</v>
      </c>
      <c r="D18" s="23">
        <f t="shared" si="0"/>
        <v>798.1123</v>
      </c>
      <c r="E18" s="24">
        <f t="shared" si="5"/>
        <v>0.40000000001327901</v>
      </c>
      <c r="F18" s="25">
        <f t="shared" si="6"/>
        <v>-1.8000000000029099</v>
      </c>
      <c r="G18" s="26">
        <f t="shared" si="7"/>
        <v>0.40000000001327901</v>
      </c>
      <c r="H18" s="6">
        <v>7.7565</v>
      </c>
      <c r="I18" s="35">
        <f t="shared" si="1"/>
        <v>799.22130000000004</v>
      </c>
      <c r="J18" s="24">
        <f t="shared" si="8"/>
        <v>9.9999999974897905E-2</v>
      </c>
      <c r="K18" s="25">
        <f t="shared" si="9"/>
        <v>-1.70000000002801</v>
      </c>
      <c r="L18" s="26">
        <f t="shared" si="10"/>
        <v>9.9999999974897905E-2</v>
      </c>
      <c r="M18" s="6">
        <v>6.6079000000000097</v>
      </c>
      <c r="N18" s="35">
        <f t="shared" si="2"/>
        <v>798.07270000000005</v>
      </c>
      <c r="O18" s="24">
        <f t="shared" si="11"/>
        <v>-0.60000000007676102</v>
      </c>
      <c r="P18" s="25">
        <f t="shared" si="12"/>
        <v>-2.40000000007967</v>
      </c>
      <c r="Q18" s="26">
        <f t="shared" si="13"/>
        <v>-0.60000000007676102</v>
      </c>
      <c r="R18" s="41"/>
      <c r="S18" s="21">
        <f t="shared" si="3"/>
        <v>44731</v>
      </c>
      <c r="T18" s="42">
        <v>9.1732999999999993</v>
      </c>
      <c r="U18" s="43">
        <f t="shared" si="14"/>
        <v>-0.20000000000130999</v>
      </c>
      <c r="V18" s="44">
        <f t="shared" si="15"/>
        <v>-2.5000000000012799</v>
      </c>
      <c r="W18" s="45">
        <f t="shared" si="16"/>
        <v>0.20000000000130999</v>
      </c>
      <c r="X18" s="29">
        <v>12.0924</v>
      </c>
      <c r="Y18" s="43">
        <f t="shared" si="17"/>
        <v>-0.60000000000037801</v>
      </c>
      <c r="Z18" s="44">
        <f t="shared" si="18"/>
        <v>-2.10000000000043</v>
      </c>
      <c r="AA18" s="45">
        <f t="shared" si="19"/>
        <v>-0.60000000000037801</v>
      </c>
      <c r="AB18" s="49">
        <v>7.7858000000000001</v>
      </c>
      <c r="AC18" s="43">
        <f t="shared" si="20"/>
        <v>-0.499999999999723</v>
      </c>
      <c r="AD18" s="44">
        <f t="shared" si="21"/>
        <v>-1.99999999999978</v>
      </c>
      <c r="AE18" s="45">
        <f t="shared" si="22"/>
        <v>-0.499999999999723</v>
      </c>
      <c r="AF18" s="50">
        <v>79916</v>
      </c>
      <c r="AG18" s="58">
        <f t="shared" si="4"/>
        <v>46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44732</v>
      </c>
      <c r="B19" s="22">
        <v>791.46479999999997</v>
      </c>
      <c r="C19" s="27">
        <v>6.6471999999999998</v>
      </c>
      <c r="D19" s="23">
        <f t="shared" si="0"/>
        <v>798.11199999999997</v>
      </c>
      <c r="E19" s="24">
        <f t="shared" si="5"/>
        <v>-0.30000000003838101</v>
      </c>
      <c r="F19" s="25">
        <f t="shared" si="6"/>
        <v>-2.1000000000412902</v>
      </c>
      <c r="G19" s="26">
        <f t="shared" si="7"/>
        <v>-0.30000000003838101</v>
      </c>
      <c r="H19" s="6">
        <v>7.7563000000000004</v>
      </c>
      <c r="I19" s="35">
        <f t="shared" si="1"/>
        <v>799.22109999999998</v>
      </c>
      <c r="J19" s="24">
        <f t="shared" si="8"/>
        <v>-0.199999999949796</v>
      </c>
      <c r="K19" s="25">
        <f t="shared" si="9"/>
        <v>-1.8999999999778101</v>
      </c>
      <c r="L19" s="26">
        <f t="shared" si="10"/>
        <v>-0.199999999949796</v>
      </c>
      <c r="M19" s="6">
        <v>6.6077000000000004</v>
      </c>
      <c r="N19" s="35">
        <f t="shared" si="2"/>
        <v>798.07249999999999</v>
      </c>
      <c r="O19" s="24">
        <f t="shared" si="11"/>
        <v>-0.199999999949796</v>
      </c>
      <c r="P19" s="25">
        <f t="shared" si="12"/>
        <v>-2.6000000000294698</v>
      </c>
      <c r="Q19" s="26">
        <f t="shared" si="13"/>
        <v>-0.199999999949796</v>
      </c>
      <c r="R19" s="41"/>
      <c r="S19" s="21">
        <f t="shared" si="3"/>
        <v>44732</v>
      </c>
      <c r="T19" s="42">
        <v>9.173</v>
      </c>
      <c r="U19" s="43">
        <f t="shared" si="14"/>
        <v>-0.29999999999930099</v>
      </c>
      <c r="V19" s="44">
        <f t="shared" si="15"/>
        <v>-2.8000000000005798</v>
      </c>
      <c r="W19" s="45">
        <f t="shared" si="16"/>
        <v>0.29999999999930099</v>
      </c>
      <c r="X19" s="29">
        <v>12.0922</v>
      </c>
      <c r="Y19" s="43">
        <f t="shared" si="17"/>
        <v>-0.19999999999953399</v>
      </c>
      <c r="Z19" s="44">
        <f t="shared" si="18"/>
        <v>-2.2999999999999701</v>
      </c>
      <c r="AA19" s="45">
        <f t="shared" si="19"/>
        <v>-0.19999999999953399</v>
      </c>
      <c r="AB19" s="49">
        <v>7.7855999999999996</v>
      </c>
      <c r="AC19" s="43">
        <f t="shared" si="20"/>
        <v>-0.20000000000042201</v>
      </c>
      <c r="AD19" s="44">
        <f t="shared" si="21"/>
        <v>-2.2000000000002</v>
      </c>
      <c r="AE19" s="45">
        <f t="shared" si="22"/>
        <v>-0.20000000000042201</v>
      </c>
      <c r="AF19" s="50">
        <v>79919</v>
      </c>
      <c r="AG19" s="58">
        <f t="shared" si="4"/>
        <v>49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44733</v>
      </c>
      <c r="B20" s="22">
        <v>791.46479999999997</v>
      </c>
      <c r="C20" s="27">
        <v>6.6468999999999996</v>
      </c>
      <c r="D20" s="23">
        <f t="shared" si="0"/>
        <v>798.11170000000004</v>
      </c>
      <c r="E20" s="24">
        <f t="shared" si="5"/>
        <v>-0.30000000003838101</v>
      </c>
      <c r="F20" s="25">
        <f t="shared" si="6"/>
        <v>-2.40000000007967</v>
      </c>
      <c r="G20" s="26">
        <f t="shared" si="7"/>
        <v>-0.30000000003838101</v>
      </c>
      <c r="H20" s="6">
        <v>7.7561</v>
      </c>
      <c r="I20" s="35">
        <f t="shared" si="1"/>
        <v>799.22090000000003</v>
      </c>
      <c r="J20" s="24">
        <f t="shared" si="8"/>
        <v>-0.20000000006348301</v>
      </c>
      <c r="K20" s="25">
        <f t="shared" si="9"/>
        <v>-2.1000000000412902</v>
      </c>
      <c r="L20" s="26">
        <f t="shared" si="10"/>
        <v>-0.20000000006348301</v>
      </c>
      <c r="M20" s="6">
        <v>6.6074999999999902</v>
      </c>
      <c r="N20" s="35">
        <f t="shared" si="2"/>
        <v>798.07230000000004</v>
      </c>
      <c r="O20" s="24">
        <f t="shared" si="11"/>
        <v>-0.20000000006348301</v>
      </c>
      <c r="P20" s="25">
        <f t="shared" si="12"/>
        <v>-2.8000000000929499</v>
      </c>
      <c r="Q20" s="26">
        <f t="shared" si="13"/>
        <v>-0.20000000006348301</v>
      </c>
      <c r="R20" s="41"/>
      <c r="S20" s="21">
        <f t="shared" si="3"/>
        <v>44733</v>
      </c>
      <c r="T20" s="42">
        <v>9.1727000000000007</v>
      </c>
      <c r="U20" s="43">
        <f t="shared" si="14"/>
        <v>-0.29999999999930099</v>
      </c>
      <c r="V20" s="44">
        <f t="shared" si="15"/>
        <v>-3.0999999999998802</v>
      </c>
      <c r="W20" s="45">
        <f t="shared" si="16"/>
        <v>0.29999999999930099</v>
      </c>
      <c r="X20" s="29">
        <v>12.092000000000001</v>
      </c>
      <c r="Y20" s="43">
        <f t="shared" si="17"/>
        <v>-0.19999999999953399</v>
      </c>
      <c r="Z20" s="44">
        <f t="shared" si="18"/>
        <v>-2.4999999999995</v>
      </c>
      <c r="AA20" s="45">
        <f t="shared" si="19"/>
        <v>-0.19999999999953399</v>
      </c>
      <c r="AB20" s="49">
        <v>7.7854000000000001</v>
      </c>
      <c r="AC20" s="43">
        <f t="shared" si="20"/>
        <v>-0.19999999999953399</v>
      </c>
      <c r="AD20" s="44">
        <f t="shared" si="21"/>
        <v>-2.3999999999997401</v>
      </c>
      <c r="AE20" s="45">
        <f t="shared" si="22"/>
        <v>-0.19999999999953399</v>
      </c>
      <c r="AF20" s="50">
        <v>79922</v>
      </c>
      <c r="AG20" s="58">
        <f t="shared" si="4"/>
        <v>52</v>
      </c>
      <c r="AH20" s="59"/>
      <c r="AI20" s="60"/>
      <c r="AJ20"/>
      <c r="AK20"/>
      <c r="AL20"/>
      <c r="AM20"/>
    </row>
    <row r="21" spans="1:48">
      <c r="A21" s="21">
        <v>44735</v>
      </c>
      <c r="B21" s="22">
        <v>791.46479999999997</v>
      </c>
      <c r="C21" s="27">
        <v>6.6464999999999996</v>
      </c>
      <c r="D21" s="23">
        <f t="shared" si="0"/>
        <v>798.11130000000003</v>
      </c>
      <c r="E21" s="24">
        <f t="shared" si="5"/>
        <v>-0.40000000001327901</v>
      </c>
      <c r="F21" s="25">
        <f t="shared" si="6"/>
        <v>-2.8000000000929499</v>
      </c>
      <c r="G21" s="26">
        <f t="shared" si="7"/>
        <v>-0.20000000000663901</v>
      </c>
      <c r="H21" s="6">
        <v>7.7558999999999996</v>
      </c>
      <c r="I21" s="35">
        <f t="shared" si="1"/>
        <v>799.22069999999997</v>
      </c>
      <c r="J21" s="24">
        <f t="shared" si="8"/>
        <v>-0.199999999949796</v>
      </c>
      <c r="K21" s="25">
        <f t="shared" si="9"/>
        <v>-2.2999999999910901</v>
      </c>
      <c r="L21" s="26">
        <f t="shared" si="10"/>
        <v>-9.9999999974897905E-2</v>
      </c>
      <c r="M21" s="6">
        <v>6.60729999999998</v>
      </c>
      <c r="N21" s="35">
        <f t="shared" si="2"/>
        <v>798.07209999999998</v>
      </c>
      <c r="O21" s="24">
        <f t="shared" si="11"/>
        <v>-0.199999999949796</v>
      </c>
      <c r="P21" s="25">
        <f t="shared" si="12"/>
        <v>-3.0000000000427498</v>
      </c>
      <c r="Q21" s="26">
        <f t="shared" si="13"/>
        <v>-9.9999999974897905E-2</v>
      </c>
      <c r="R21" s="41"/>
      <c r="S21" s="21">
        <f t="shared" si="3"/>
        <v>44735</v>
      </c>
      <c r="T21" s="42">
        <v>9.1723999999999997</v>
      </c>
      <c r="U21" s="43">
        <f t="shared" si="14"/>
        <v>-0.30000000000107702</v>
      </c>
      <c r="V21" s="44">
        <f t="shared" si="15"/>
        <v>-3.40000000000096</v>
      </c>
      <c r="W21" s="45">
        <f t="shared" si="16"/>
        <v>0.15000000000053901</v>
      </c>
      <c r="X21" s="29">
        <v>12.0921</v>
      </c>
      <c r="Y21" s="43">
        <f t="shared" si="17"/>
        <v>9.99999999997669E-2</v>
      </c>
      <c r="Z21" s="44">
        <f t="shared" si="18"/>
        <v>-2.3999999999997401</v>
      </c>
      <c r="AA21" s="45">
        <f t="shared" si="19"/>
        <v>4.9999999999883499E-2</v>
      </c>
      <c r="AB21" s="49">
        <v>7.7851999999999997</v>
      </c>
      <c r="AC21" s="43">
        <f t="shared" si="20"/>
        <v>-0.20000000000042201</v>
      </c>
      <c r="AD21" s="44">
        <f t="shared" si="21"/>
        <v>-2.60000000000016</v>
      </c>
      <c r="AE21" s="45">
        <f t="shared" si="22"/>
        <v>-0.100000000000211</v>
      </c>
      <c r="AF21" s="50">
        <v>79925</v>
      </c>
      <c r="AG21" s="58">
        <f t="shared" si="4"/>
        <v>55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44737</v>
      </c>
      <c r="B22" s="22">
        <v>791.46479999999997</v>
      </c>
      <c r="C22" s="27">
        <v>6.6463000000000001</v>
      </c>
      <c r="D22" s="23">
        <f t="shared" si="0"/>
        <v>798.11109999999996</v>
      </c>
      <c r="E22" s="24">
        <f t="shared" si="5"/>
        <v>-0.199999999949796</v>
      </c>
      <c r="F22" s="25">
        <f t="shared" si="6"/>
        <v>-3.0000000000427498</v>
      </c>
      <c r="G22" s="26">
        <f t="shared" si="7"/>
        <v>-9.9999999974897905E-2</v>
      </c>
      <c r="H22" s="6">
        <v>7.7557999999999998</v>
      </c>
      <c r="I22" s="35">
        <f t="shared" si="1"/>
        <v>799.22059999999999</v>
      </c>
      <c r="J22" s="24">
        <f t="shared" si="8"/>
        <v>-9.9999999974897905E-2</v>
      </c>
      <c r="K22" s="25">
        <f t="shared" si="9"/>
        <v>-2.39999999996598</v>
      </c>
      <c r="L22" s="26">
        <f t="shared" si="10"/>
        <v>-4.9999999987449001E-2</v>
      </c>
      <c r="M22" s="6">
        <v>6.6071999999999997</v>
      </c>
      <c r="N22" s="35">
        <f t="shared" si="2"/>
        <v>798.072</v>
      </c>
      <c r="O22" s="24">
        <f t="shared" si="11"/>
        <v>-9.9999999974897905E-2</v>
      </c>
      <c r="P22" s="25">
        <f t="shared" si="12"/>
        <v>-3.1000000000176402</v>
      </c>
      <c r="Q22" s="26">
        <f t="shared" si="13"/>
        <v>-4.9999999987449001E-2</v>
      </c>
      <c r="R22" s="41"/>
      <c r="S22" s="21">
        <f t="shared" si="3"/>
        <v>44737</v>
      </c>
      <c r="T22" s="42">
        <v>9.1723999999999997</v>
      </c>
      <c r="U22" s="43">
        <f t="shared" si="14"/>
        <v>0</v>
      </c>
      <c r="V22" s="44">
        <f t="shared" si="15"/>
        <v>-3.40000000000096</v>
      </c>
      <c r="W22" s="45">
        <f t="shared" si="16"/>
        <v>0</v>
      </c>
      <c r="X22" s="29">
        <v>12.0916</v>
      </c>
      <c r="Y22" s="43">
        <f t="shared" si="17"/>
        <v>-0.50000000000061096</v>
      </c>
      <c r="Z22" s="44">
        <f t="shared" si="18"/>
        <v>-2.9000000000003499</v>
      </c>
      <c r="AA22" s="45">
        <f t="shared" si="19"/>
        <v>-0.25000000000030598</v>
      </c>
      <c r="AB22" s="49">
        <v>7.7850999999999999</v>
      </c>
      <c r="AC22" s="43">
        <f t="shared" si="20"/>
        <v>-9.99999999997669E-2</v>
      </c>
      <c r="AD22" s="44">
        <f t="shared" si="21"/>
        <v>-2.6999999999999198</v>
      </c>
      <c r="AE22" s="45">
        <f t="shared" si="22"/>
        <v>-4.9999999999883499E-2</v>
      </c>
      <c r="AF22" s="50">
        <v>79928</v>
      </c>
      <c r="AG22" s="58">
        <f t="shared" si="4"/>
        <v>58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44739</v>
      </c>
      <c r="B23" s="22">
        <v>791.46479999999997</v>
      </c>
      <c r="C23" s="27">
        <v>6.6459999999999999</v>
      </c>
      <c r="D23" s="23">
        <f t="shared" si="0"/>
        <v>798.11080000000004</v>
      </c>
      <c r="E23" s="24">
        <f t="shared" si="5"/>
        <v>-0.30000000003838101</v>
      </c>
      <c r="F23" s="25">
        <f t="shared" si="6"/>
        <v>-3.30000000008113</v>
      </c>
      <c r="G23" s="26">
        <f t="shared" si="7"/>
        <v>-0.15000000001919001</v>
      </c>
      <c r="H23" s="6">
        <v>7.7554999999999996</v>
      </c>
      <c r="I23" s="35">
        <f t="shared" si="1"/>
        <v>799.22029999999995</v>
      </c>
      <c r="J23" s="24">
        <f t="shared" si="8"/>
        <v>-0.30000000003838101</v>
      </c>
      <c r="K23" s="25">
        <f t="shared" si="9"/>
        <v>-2.70000000000437</v>
      </c>
      <c r="L23" s="26">
        <f t="shared" si="10"/>
        <v>-0.15000000001919001</v>
      </c>
      <c r="M23" s="6">
        <v>6.6068999999999596</v>
      </c>
      <c r="N23" s="35">
        <f t="shared" si="2"/>
        <v>798.07169999999996</v>
      </c>
      <c r="O23" s="24">
        <f t="shared" si="11"/>
        <v>-0.30000000003838101</v>
      </c>
      <c r="P23" s="25">
        <f t="shared" si="12"/>
        <v>-3.40000000005602</v>
      </c>
      <c r="Q23" s="26">
        <f t="shared" si="13"/>
        <v>-0.15000000001919001</v>
      </c>
      <c r="R23" s="41"/>
      <c r="S23" s="21">
        <f t="shared" si="3"/>
        <v>44739</v>
      </c>
      <c r="T23" s="42">
        <v>9.1717999999999993</v>
      </c>
      <c r="U23" s="43">
        <f t="shared" si="14"/>
        <v>-0.60000000000037801</v>
      </c>
      <c r="V23" s="44">
        <f t="shared" si="15"/>
        <v>-4.0000000000013403</v>
      </c>
      <c r="W23" s="45">
        <f t="shared" si="16"/>
        <v>0.300000000000189</v>
      </c>
      <c r="X23" s="29">
        <v>12.0914</v>
      </c>
      <c r="Y23" s="43">
        <f t="shared" si="17"/>
        <v>-0.19999999999953399</v>
      </c>
      <c r="Z23" s="44">
        <f t="shared" si="18"/>
        <v>-3.0999999999998802</v>
      </c>
      <c r="AA23" s="45">
        <f t="shared" si="19"/>
        <v>-9.99999999997669E-2</v>
      </c>
      <c r="AB23" s="49">
        <v>7.7847999999999997</v>
      </c>
      <c r="AC23" s="43">
        <f t="shared" si="20"/>
        <v>-0.300000000000189</v>
      </c>
      <c r="AD23" s="44">
        <f t="shared" si="21"/>
        <v>-3.0000000000001101</v>
      </c>
      <c r="AE23" s="45">
        <f t="shared" si="22"/>
        <v>-0.150000000000095</v>
      </c>
      <c r="AF23" s="50">
        <v>79931</v>
      </c>
      <c r="AG23" s="58">
        <f t="shared" si="4"/>
        <v>61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44741</v>
      </c>
      <c r="B24" s="22">
        <v>791.46479999999997</v>
      </c>
      <c r="C24" s="27">
        <v>6.6463000000000001</v>
      </c>
      <c r="D24" s="23">
        <f t="shared" si="0"/>
        <v>798.11109999999996</v>
      </c>
      <c r="E24" s="24">
        <f t="shared" si="5"/>
        <v>0.30000000003838101</v>
      </c>
      <c r="F24" s="25">
        <f t="shared" si="6"/>
        <v>-3.0000000000427498</v>
      </c>
      <c r="G24" s="26">
        <f t="shared" si="7"/>
        <v>0.15000000001919001</v>
      </c>
      <c r="H24" s="6">
        <v>7.7557</v>
      </c>
      <c r="I24" s="35">
        <f t="shared" si="1"/>
        <v>799.22050000000002</v>
      </c>
      <c r="J24" s="24">
        <f t="shared" si="8"/>
        <v>0.20000000006348301</v>
      </c>
      <c r="K24" s="25">
        <f t="shared" si="9"/>
        <v>-2.4999999999408802</v>
      </c>
      <c r="L24" s="26">
        <f t="shared" si="10"/>
        <v>0.100000000031741</v>
      </c>
      <c r="M24" s="6">
        <v>6.6066999999999503</v>
      </c>
      <c r="N24" s="35">
        <f t="shared" si="2"/>
        <v>798.07150000000001</v>
      </c>
      <c r="O24" s="24">
        <f t="shared" si="11"/>
        <v>-0.20000000006348301</v>
      </c>
      <c r="P24" s="25">
        <f t="shared" si="12"/>
        <v>-3.6000000001195098</v>
      </c>
      <c r="Q24" s="26">
        <f t="shared" si="13"/>
        <v>-0.100000000031741</v>
      </c>
      <c r="R24" s="41"/>
      <c r="S24" s="21">
        <f t="shared" si="3"/>
        <v>44741</v>
      </c>
      <c r="T24" s="42">
        <v>9.1715</v>
      </c>
      <c r="U24" s="43">
        <f t="shared" si="14"/>
        <v>-0.29999999999930099</v>
      </c>
      <c r="V24" s="44">
        <f t="shared" si="15"/>
        <v>-4.3000000000006402</v>
      </c>
      <c r="W24" s="45">
        <f t="shared" si="16"/>
        <v>0.14999999999965</v>
      </c>
      <c r="X24" s="29">
        <v>12.091200000000001</v>
      </c>
      <c r="Y24" s="43">
        <f t="shared" si="17"/>
        <v>-0.19999999999953399</v>
      </c>
      <c r="Z24" s="44">
        <f t="shared" si="18"/>
        <v>-3.2999999999994101</v>
      </c>
      <c r="AA24" s="45">
        <f t="shared" si="19"/>
        <v>-9.99999999997669E-2</v>
      </c>
      <c r="AB24" s="49">
        <v>7.7846000000000002</v>
      </c>
      <c r="AC24" s="43">
        <f t="shared" si="20"/>
        <v>-0.19999999999953399</v>
      </c>
      <c r="AD24" s="44">
        <f t="shared" si="21"/>
        <v>-3.1999999999996498</v>
      </c>
      <c r="AE24" s="45">
        <f t="shared" si="22"/>
        <v>-9.99999999997669E-2</v>
      </c>
      <c r="AF24" s="50">
        <v>79934</v>
      </c>
      <c r="AG24" s="58">
        <f t="shared" si="4"/>
        <v>64</v>
      </c>
      <c r="AH24" s="59"/>
      <c r="AI24" s="52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F24-F19</f>
        <v>-0.90000000000145497</v>
      </c>
      <c r="F25" s="33">
        <f>K24-K19</f>
        <v>-0.59999999996307496</v>
      </c>
      <c r="G25" s="33">
        <f>P24-P19</f>
        <v>-1.00000000009004</v>
      </c>
      <c r="H25" s="33">
        <f>F24</f>
        <v>-3.0000000000427498</v>
      </c>
      <c r="I25" s="66">
        <f>K24</f>
        <v>-2.4999999999408802</v>
      </c>
      <c r="J25" s="65">
        <f>P24</f>
        <v>-3.6000000001195098</v>
      </c>
      <c r="K25" s="33">
        <f>(P24-P19)/10</f>
        <v>-0.100000000009004</v>
      </c>
      <c r="L25" s="26"/>
      <c r="N25" s="35"/>
      <c r="O25" s="24"/>
      <c r="P25" s="25"/>
      <c r="Q25" s="26"/>
      <c r="R25" s="41"/>
      <c r="S25" s="21"/>
      <c r="T25" s="42"/>
      <c r="U25" s="65">
        <f>V24-V19</f>
        <v>-1.50000000000006</v>
      </c>
      <c r="V25" s="33">
        <f>Z24-Z19</f>
        <v>-0.999999999999446</v>
      </c>
      <c r="W25" s="33">
        <f>AD24-AD19</f>
        <v>-0.999999999999446</v>
      </c>
      <c r="X25" s="33">
        <f>V24</f>
        <v>-4.3000000000006402</v>
      </c>
      <c r="Y25" s="65">
        <f>Z24</f>
        <v>-3.2999999999994101</v>
      </c>
      <c r="Z25" s="33">
        <f>AD24</f>
        <v>-3.1999999999996498</v>
      </c>
      <c r="AA25" s="33">
        <f>(V24-V19)/10</f>
        <v>-0.15000000000000599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61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2"/>
      <c r="AC27" s="43"/>
      <c r="AD27" s="44"/>
      <c r="AE27" s="45"/>
      <c r="AF27" s="50"/>
      <c r="AG27" s="58"/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O13" workbookViewId="0">
      <selection activeCell="O30" sqref="A30:XFD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59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44728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44728</v>
      </c>
      <c r="B6" s="22">
        <v>791.46479999999997</v>
      </c>
      <c r="C6" s="27">
        <v>6.6348000000000003</v>
      </c>
      <c r="D6" s="23">
        <f>C6+B6</f>
        <v>798.09960000000001</v>
      </c>
      <c r="E6" s="24">
        <v>0</v>
      </c>
      <c r="F6" s="25">
        <v>0</v>
      </c>
      <c r="G6" s="26">
        <v>0</v>
      </c>
      <c r="H6" s="6">
        <v>7.4736000000000002</v>
      </c>
      <c r="I6" s="35">
        <f>H6+B6</f>
        <v>798.9384</v>
      </c>
      <c r="J6" s="24">
        <v>0</v>
      </c>
      <c r="K6" s="25">
        <v>0</v>
      </c>
      <c r="L6" s="26">
        <v>0</v>
      </c>
      <c r="M6" s="6">
        <v>6.5213999999999999</v>
      </c>
      <c r="N6" s="35">
        <f>M6+B6</f>
        <v>797.98620000000005</v>
      </c>
      <c r="O6" s="24">
        <v>0</v>
      </c>
      <c r="P6" s="25">
        <v>0</v>
      </c>
      <c r="Q6" s="26">
        <v>0</v>
      </c>
      <c r="R6" s="41"/>
      <c r="S6" s="21">
        <f>A6</f>
        <v>44728</v>
      </c>
      <c r="T6" s="42">
        <v>10.7478</v>
      </c>
      <c r="U6" s="43">
        <v>0</v>
      </c>
      <c r="V6" s="44">
        <v>0</v>
      </c>
      <c r="W6" s="45">
        <f>U6/(S6-S11)</f>
        <v>0</v>
      </c>
      <c r="X6" s="29">
        <v>15.479799999999999</v>
      </c>
      <c r="Y6" s="43">
        <v>0</v>
      </c>
      <c r="Z6" s="44">
        <v>0</v>
      </c>
      <c r="AA6" s="45">
        <v>0</v>
      </c>
      <c r="AB6" s="49">
        <v>10.9818</v>
      </c>
      <c r="AC6" s="43">
        <v>0</v>
      </c>
      <c r="AD6" s="44">
        <v>0</v>
      </c>
      <c r="AE6" s="45">
        <v>0</v>
      </c>
      <c r="AF6" s="50">
        <v>79930</v>
      </c>
      <c r="AG6" s="58">
        <f>AF6-79926</f>
        <v>4</v>
      </c>
      <c r="AH6" s="59"/>
      <c r="AI6" s="60"/>
      <c r="AJ6" s="61"/>
      <c r="AK6" s="62"/>
      <c r="AL6" s="52"/>
      <c r="AM6" s="52"/>
    </row>
    <row r="7" spans="1:48">
      <c r="A7" s="21">
        <v>44729</v>
      </c>
      <c r="B7" s="22">
        <v>791.46479999999997</v>
      </c>
      <c r="C7" s="27">
        <v>6.6345000000000001</v>
      </c>
      <c r="D7" s="23">
        <f>C7+B7</f>
        <v>798.09929999999997</v>
      </c>
      <c r="E7" s="24">
        <f>(D7-D6)*1000</f>
        <v>-0.30000000003838101</v>
      </c>
      <c r="F7" s="25">
        <f>F6+E7</f>
        <v>-0.30000000003838101</v>
      </c>
      <c r="G7" s="26">
        <f>E7/(A7-A6)</f>
        <v>-0.30000000003838101</v>
      </c>
      <c r="H7" s="6">
        <v>7.4733000000000001</v>
      </c>
      <c r="I7" s="35">
        <f>H7+B7</f>
        <v>798.93809999999996</v>
      </c>
      <c r="J7" s="24">
        <f>(I7-I6)*1000</f>
        <v>-0.30000000003838101</v>
      </c>
      <c r="K7" s="25">
        <f>K6+J7</f>
        <v>-0.30000000003838101</v>
      </c>
      <c r="L7" s="26">
        <f>J7/(A7-A6)</f>
        <v>-0.30000000003838101</v>
      </c>
      <c r="M7" s="6">
        <v>6.5209999999999999</v>
      </c>
      <c r="N7" s="35">
        <f>M7+B7</f>
        <v>797.98580000000004</v>
      </c>
      <c r="O7" s="24">
        <f>(N7-N6)*1000</f>
        <v>-0.40000000001327901</v>
      </c>
      <c r="P7" s="25">
        <f>P6+O7</f>
        <v>-0.40000000001327901</v>
      </c>
      <c r="Q7" s="26">
        <f>O7/(A7-A6)</f>
        <v>-0.40000000001327901</v>
      </c>
      <c r="R7" s="41"/>
      <c r="S7" s="21">
        <f>A7</f>
        <v>44729</v>
      </c>
      <c r="T7" s="42">
        <v>10.7475</v>
      </c>
      <c r="U7" s="43">
        <f>(T7-T6)*1000</f>
        <v>-0.29999999999930099</v>
      </c>
      <c r="V7" s="44">
        <f>V6+U7</f>
        <v>-0.29999999999930099</v>
      </c>
      <c r="W7" s="45">
        <f>U7/(S6-S7)</f>
        <v>0.29999999999930099</v>
      </c>
      <c r="X7" s="29">
        <v>15.4795</v>
      </c>
      <c r="Y7" s="43">
        <f>(X7-X6)*1000</f>
        <v>-0.29999999999930099</v>
      </c>
      <c r="Z7" s="44">
        <f>Z6+Y7</f>
        <v>-0.29999999999930099</v>
      </c>
      <c r="AA7" s="45">
        <f>Y7/(S7-S6)</f>
        <v>-0.29999999999930099</v>
      </c>
      <c r="AB7" s="49">
        <v>10.9816</v>
      </c>
      <c r="AC7" s="43">
        <f>(AB7-AB6)*1000</f>
        <v>-0.19999999999953399</v>
      </c>
      <c r="AD7" s="44">
        <f>AD6+AC7</f>
        <v>-0.19999999999953399</v>
      </c>
      <c r="AE7" s="45">
        <f>AC7/(S7-S6)</f>
        <v>-0.19999999999953399</v>
      </c>
      <c r="AF7" s="50">
        <v>79933</v>
      </c>
      <c r="AG7" s="58">
        <f t="shared" ref="AG7:AG29" si="0">AF7-79926</f>
        <v>7</v>
      </c>
      <c r="AH7" s="59"/>
      <c r="AI7" s="60"/>
      <c r="AJ7" s="61"/>
      <c r="AK7" s="62"/>
      <c r="AL7" s="52"/>
      <c r="AM7" s="52"/>
    </row>
    <row r="8" spans="1:48">
      <c r="A8" s="21">
        <v>44730</v>
      </c>
      <c r="B8" s="22">
        <v>791.46479999999997</v>
      </c>
      <c r="C8" s="27">
        <v>6.6340000000000003</v>
      </c>
      <c r="D8" s="23">
        <f>C8+B8</f>
        <v>798.09879999999998</v>
      </c>
      <c r="E8" s="24">
        <f>(D8-D7)*1000</f>
        <v>-0.49999999998817701</v>
      </c>
      <c r="F8" s="25">
        <f>F7+E8</f>
        <v>-0.80000000002655702</v>
      </c>
      <c r="G8" s="26">
        <f>E8/(A8-A7)</f>
        <v>-0.49999999998817701</v>
      </c>
      <c r="H8" s="6">
        <v>7.4733999999999998</v>
      </c>
      <c r="I8" s="35">
        <f>H8+B8</f>
        <v>798.93820000000005</v>
      </c>
      <c r="J8" s="24">
        <f>(I8-I7)*1000</f>
        <v>9.9999999974897905E-2</v>
      </c>
      <c r="K8" s="25">
        <f>K7+J8</f>
        <v>-0.20000000006348301</v>
      </c>
      <c r="L8" s="26">
        <f>J8/(A8-A7)</f>
        <v>9.9999999974897905E-2</v>
      </c>
      <c r="M8" s="6">
        <v>6.5206</v>
      </c>
      <c r="N8" s="35">
        <f>M8+B8</f>
        <v>797.98540000000003</v>
      </c>
      <c r="O8" s="24">
        <f>(N8-N7)*1000</f>
        <v>-0.40000000001327901</v>
      </c>
      <c r="P8" s="25">
        <f>P7+O8</f>
        <v>-0.80000000002655702</v>
      </c>
      <c r="Q8" s="26">
        <f>O8/(A8-A7)</f>
        <v>-0.40000000001327901</v>
      </c>
      <c r="R8" s="41"/>
      <c r="S8" s="21">
        <f>A8</f>
        <v>44730</v>
      </c>
      <c r="T8" s="42">
        <v>10.747299999999999</v>
      </c>
      <c r="U8" s="43">
        <f>(T8-T7)*1000</f>
        <v>-0.20000000000130999</v>
      </c>
      <c r="V8" s="44">
        <f>V7+U8</f>
        <v>-0.50000000000061096</v>
      </c>
      <c r="W8" s="45">
        <f>U8/(S7-S8)</f>
        <v>0.20000000000130999</v>
      </c>
      <c r="X8" s="29">
        <v>15.478999999999999</v>
      </c>
      <c r="Y8" s="43">
        <f>(X8-X7)*1000</f>
        <v>-0.50000000000061096</v>
      </c>
      <c r="Z8" s="44">
        <f>Z7+Y8</f>
        <v>-0.799999999999912</v>
      </c>
      <c r="AA8" s="45">
        <f>Y8/(S8-S7)</f>
        <v>-0.50000000000061096</v>
      </c>
      <c r="AB8" s="49">
        <v>10.981299999999999</v>
      </c>
      <c r="AC8" s="43">
        <f>(AB8-AB7)*1000</f>
        <v>-0.30000000000107702</v>
      </c>
      <c r="AD8" s="44">
        <f>AD7+AC8</f>
        <v>-0.50000000000061096</v>
      </c>
      <c r="AE8" s="45">
        <f>AC8/(S8-S7)</f>
        <v>-0.30000000000107702</v>
      </c>
      <c r="AF8" s="50">
        <v>79936</v>
      </c>
      <c r="AG8" s="58">
        <f t="shared" si="0"/>
        <v>10</v>
      </c>
      <c r="AH8" s="59"/>
      <c r="AI8" s="60"/>
      <c r="AJ8" s="61"/>
      <c r="AK8" s="62"/>
      <c r="AL8" s="52"/>
      <c r="AM8" s="52"/>
    </row>
    <row r="9" spans="1:48">
      <c r="A9" s="21">
        <v>44731</v>
      </c>
      <c r="B9" s="22">
        <v>791.46479999999997</v>
      </c>
      <c r="C9" s="27">
        <v>6.6341000000000001</v>
      </c>
      <c r="D9" s="23">
        <f>C9+B9</f>
        <v>798.09889999999996</v>
      </c>
      <c r="E9" s="24">
        <f>(D9-D8)*1000</f>
        <v>9.9999999974897905E-2</v>
      </c>
      <c r="F9" s="25">
        <f>F8+E9</f>
        <v>-0.70000000005165897</v>
      </c>
      <c r="G9" s="26">
        <f>E9/(A9-A8)</f>
        <v>9.9999999974897905E-2</v>
      </c>
      <c r="H9" s="6">
        <v>7.4729999999999999</v>
      </c>
      <c r="I9" s="35">
        <f>H9+B9</f>
        <v>798.93780000000004</v>
      </c>
      <c r="J9" s="24">
        <f>(I9-I8)*1000</f>
        <v>-0.40000000001327901</v>
      </c>
      <c r="K9" s="25">
        <f>K8+J9</f>
        <v>-0.60000000007676102</v>
      </c>
      <c r="L9" s="26">
        <f>J9/(A9-A8)</f>
        <v>-0.40000000001327901</v>
      </c>
      <c r="M9" s="6">
        <v>6.5202999999999998</v>
      </c>
      <c r="N9" s="35">
        <f>M9+B9</f>
        <v>797.98509999999999</v>
      </c>
      <c r="O9" s="24">
        <f>(N9-N8)*1000</f>
        <v>-0.29999999992469401</v>
      </c>
      <c r="P9" s="25">
        <f>P8+O9</f>
        <v>-1.09999999995125</v>
      </c>
      <c r="Q9" s="26">
        <f>O9/(A9-A8)</f>
        <v>-0.29999999992469401</v>
      </c>
      <c r="R9" s="41"/>
      <c r="S9" s="21">
        <f>A9</f>
        <v>44731</v>
      </c>
      <c r="T9" s="42">
        <v>10.747199999999999</v>
      </c>
      <c r="U9" s="43">
        <f>(T9-T8)*1000</f>
        <v>-9.99999999997669E-2</v>
      </c>
      <c r="V9" s="44">
        <f>V8+U9</f>
        <v>-0.60000000000037801</v>
      </c>
      <c r="W9" s="45">
        <f>U9/(S8-S9)</f>
        <v>9.99999999997669E-2</v>
      </c>
      <c r="X9" s="29">
        <v>15.479100000000001</v>
      </c>
      <c r="Y9" s="43">
        <f>(X9-X8)*1000</f>
        <v>0.10000000000154299</v>
      </c>
      <c r="Z9" s="44">
        <f>Z8+Y9</f>
        <v>-0.69999999999836904</v>
      </c>
      <c r="AA9" s="45">
        <f>Y9/(S9-S8)</f>
        <v>0.10000000000154299</v>
      </c>
      <c r="AB9" s="49">
        <v>10.981</v>
      </c>
      <c r="AC9" s="43">
        <f>(AB9-AB8)*1000</f>
        <v>-0.29999999999930099</v>
      </c>
      <c r="AD9" s="44">
        <f>AD8+AC9</f>
        <v>-0.799999999999912</v>
      </c>
      <c r="AE9" s="45">
        <f>AC9/(S9-S8)</f>
        <v>-0.29999999999930099</v>
      </c>
      <c r="AF9" s="50">
        <v>79939</v>
      </c>
      <c r="AG9" s="58">
        <f t="shared" si="0"/>
        <v>13</v>
      </c>
      <c r="AH9" s="61"/>
      <c r="AI9" s="60"/>
      <c r="AJ9"/>
      <c r="AK9"/>
      <c r="AL9"/>
      <c r="AM9"/>
    </row>
    <row r="10" spans="1:48">
      <c r="A10" s="21">
        <v>44732</v>
      </c>
      <c r="B10" s="22">
        <v>791.46479999999997</v>
      </c>
      <c r="C10" s="27">
        <v>6.6338999999999997</v>
      </c>
      <c r="D10" s="23">
        <f>C10+B10</f>
        <v>798.09870000000001</v>
      </c>
      <c r="E10" s="24">
        <f>(D10-D9)*1000</f>
        <v>-0.199999999949796</v>
      </c>
      <c r="F10" s="25">
        <f>F9+E10</f>
        <v>-0.90000000000145497</v>
      </c>
      <c r="G10" s="26">
        <f>E10/(A10-A9)</f>
        <v>-0.199999999949796</v>
      </c>
      <c r="H10" s="6">
        <v>7.4728000000000003</v>
      </c>
      <c r="I10" s="35">
        <f>H10+B10</f>
        <v>798.93759999999997</v>
      </c>
      <c r="J10" s="24">
        <f>(I10-I9)*1000</f>
        <v>-0.199999999949796</v>
      </c>
      <c r="K10" s="25">
        <f>K9+J10</f>
        <v>-0.80000000002655702</v>
      </c>
      <c r="L10" s="26">
        <f>J10/(A10-A9)</f>
        <v>-0.199999999949796</v>
      </c>
      <c r="M10" s="6">
        <v>6.52</v>
      </c>
      <c r="N10" s="35">
        <f>M10+B10</f>
        <v>797.98479999999995</v>
      </c>
      <c r="O10" s="24">
        <f>(N10-N9)*1000</f>
        <v>-0.30000000003838101</v>
      </c>
      <c r="P10" s="25">
        <f>P9+O10</f>
        <v>-1.39999999998963</v>
      </c>
      <c r="Q10" s="26">
        <f>O10/(A10-A9)</f>
        <v>-0.30000000003838101</v>
      </c>
      <c r="R10" s="41"/>
      <c r="S10" s="21">
        <f>A10</f>
        <v>44732</v>
      </c>
      <c r="T10" s="42">
        <v>10.747</v>
      </c>
      <c r="U10" s="43">
        <f>(T10-T9)*1000</f>
        <v>-0.19999999999953399</v>
      </c>
      <c r="V10" s="44">
        <f>V9+U10</f>
        <v>-0.799999999999912</v>
      </c>
      <c r="W10" s="45">
        <f>U10/(S9-S10)</f>
        <v>0.19999999999953399</v>
      </c>
      <c r="X10" s="29">
        <v>15.478899999999999</v>
      </c>
      <c r="Y10" s="43">
        <f>(X10-X9)*1000</f>
        <v>-0.20000000000130999</v>
      </c>
      <c r="Z10" s="44">
        <f>Z9+Y10</f>
        <v>-0.89999999999967895</v>
      </c>
      <c r="AA10" s="45">
        <f>Y10/(S10-S9)</f>
        <v>-0.20000000000130999</v>
      </c>
      <c r="AB10" s="49">
        <v>10.9809</v>
      </c>
      <c r="AC10" s="43">
        <f>(AB10-AB9)*1000</f>
        <v>-9.99999999997669E-2</v>
      </c>
      <c r="AD10" s="44">
        <f>AD9+AC10</f>
        <v>-0.89999999999967895</v>
      </c>
      <c r="AE10" s="45">
        <f>AC10/(S10-S9)</f>
        <v>-9.99999999997669E-2</v>
      </c>
      <c r="AF10" s="50">
        <v>79942</v>
      </c>
      <c r="AG10" s="58">
        <f t="shared" si="0"/>
        <v>16</v>
      </c>
      <c r="AH10" s="59"/>
      <c r="AI10" s="60"/>
      <c r="AJ10" s="61"/>
      <c r="AK10" s="62"/>
      <c r="AL10" s="52"/>
      <c r="AM10" s="52"/>
    </row>
    <row r="11" spans="1:48">
      <c r="A11" s="21">
        <v>44733</v>
      </c>
      <c r="B11" s="22">
        <v>791.46479999999997</v>
      </c>
      <c r="C11" s="27">
        <v>6.6337000000000002</v>
      </c>
      <c r="D11" s="23">
        <f t="shared" ref="D11:D20" si="1">C11+B11</f>
        <v>798.09849999999994</v>
      </c>
      <c r="E11" s="24">
        <f t="shared" ref="E11:E20" si="2">(D11-D10)*1000</f>
        <v>-0.20000000006348301</v>
      </c>
      <c r="F11" s="25">
        <f t="shared" ref="F11:F20" si="3">F10+E11</f>
        <v>-1.1000000000649399</v>
      </c>
      <c r="G11" s="26">
        <f t="shared" ref="G11:G20" si="4">E11/(A11-A10)</f>
        <v>-0.20000000006348301</v>
      </c>
      <c r="H11" s="6">
        <v>7.4725999999999999</v>
      </c>
      <c r="I11" s="35">
        <f t="shared" ref="I11:I20" si="5">H11+B11</f>
        <v>798.93740000000003</v>
      </c>
      <c r="J11" s="24">
        <f t="shared" ref="J11:J20" si="6">(I11-I10)*1000</f>
        <v>-0.199999999949796</v>
      </c>
      <c r="K11" s="25">
        <f t="shared" ref="K11:K20" si="7">K10+J11</f>
        <v>-0.99999999997635303</v>
      </c>
      <c r="L11" s="26">
        <f t="shared" ref="L11:L20" si="8">J11/(A11-A10)</f>
        <v>-0.199999999949796</v>
      </c>
      <c r="M11" s="6">
        <v>6.5201000000000002</v>
      </c>
      <c r="N11" s="35">
        <f t="shared" ref="N11:N20" si="9">M11+B11</f>
        <v>797.98490000000004</v>
      </c>
      <c r="O11" s="24">
        <f t="shared" ref="O11:O20" si="10">(N11-N10)*1000</f>
        <v>9.9999999974897905E-2</v>
      </c>
      <c r="P11" s="25">
        <f t="shared" ref="P11:P20" si="11">P10+O11</f>
        <v>-1.30000000001473</v>
      </c>
      <c r="Q11" s="26">
        <f t="shared" ref="Q11:Q20" si="12">O11/(A11-A10)</f>
        <v>9.9999999974897905E-2</v>
      </c>
      <c r="R11" s="41"/>
      <c r="S11" s="21">
        <f t="shared" ref="S11:S29" si="13">A11</f>
        <v>44733</v>
      </c>
      <c r="T11" s="42">
        <v>10.7468</v>
      </c>
      <c r="U11" s="43">
        <f t="shared" ref="U11:U25" si="14">(T11-T10)*1000</f>
        <v>-0.19999999999953399</v>
      </c>
      <c r="V11" s="44">
        <f t="shared" ref="V11:V25" si="15">V10+U11</f>
        <v>-0.999999999999446</v>
      </c>
      <c r="W11" s="45">
        <f t="shared" ref="W11:W25" si="16">U11/(S10-S11)</f>
        <v>0.19999999999953399</v>
      </c>
      <c r="X11" s="29">
        <v>15.4787</v>
      </c>
      <c r="Y11" s="43">
        <f t="shared" ref="Y11:Y25" si="17">(X11-X10)*1000</f>
        <v>-0.19999999999953399</v>
      </c>
      <c r="Z11" s="44">
        <f t="shared" ref="Z11:Z25" si="18">Z10+Y11</f>
        <v>-1.0999999999992101</v>
      </c>
      <c r="AA11" s="45">
        <f t="shared" ref="AA11:AA25" si="19">Y11/(S11-S10)</f>
        <v>-0.19999999999953399</v>
      </c>
      <c r="AB11" s="49">
        <v>10.9808</v>
      </c>
      <c r="AC11" s="43">
        <f t="shared" ref="AC11:AC25" si="20">(AB11-AB10)*1000</f>
        <v>-9.99999999997669E-2</v>
      </c>
      <c r="AD11" s="44">
        <f t="shared" ref="AD11:AD25" si="21">AD10+AC11</f>
        <v>-0.999999999999446</v>
      </c>
      <c r="AE11" s="45">
        <f t="shared" ref="AE11:AE25" si="22">AC11/(S11-S10)</f>
        <v>-9.99999999997669E-2</v>
      </c>
      <c r="AF11" s="50">
        <v>79945</v>
      </c>
      <c r="AG11" s="58">
        <f t="shared" si="0"/>
        <v>19</v>
      </c>
      <c r="AH11" s="61"/>
      <c r="AI11" s="60"/>
      <c r="AJ11"/>
      <c r="AK11"/>
      <c r="AL11"/>
      <c r="AM11"/>
    </row>
    <row r="12" spans="1:48">
      <c r="A12" s="21">
        <v>44734</v>
      </c>
      <c r="B12" s="22">
        <v>791.46479999999997</v>
      </c>
      <c r="C12" s="27">
        <v>6.6334</v>
      </c>
      <c r="D12" s="23">
        <f t="shared" si="1"/>
        <v>798.09820000000002</v>
      </c>
      <c r="E12" s="24">
        <f t="shared" si="2"/>
        <v>-0.29999999992469401</v>
      </c>
      <c r="F12" s="25">
        <f t="shared" si="3"/>
        <v>-1.39999999998963</v>
      </c>
      <c r="G12" s="26">
        <f t="shared" si="4"/>
        <v>-0.29999999992469401</v>
      </c>
      <c r="H12" s="6">
        <v>7.4725000000000001</v>
      </c>
      <c r="I12" s="35">
        <f t="shared" si="5"/>
        <v>798.93730000000005</v>
      </c>
      <c r="J12" s="24">
        <f t="shared" si="6"/>
        <v>-0.10000000008858501</v>
      </c>
      <c r="K12" s="25">
        <f t="shared" si="7"/>
        <v>-1.1000000000649399</v>
      </c>
      <c r="L12" s="26">
        <f t="shared" si="8"/>
        <v>-0.10000000008858501</v>
      </c>
      <c r="M12" s="6">
        <v>6.5194000000000001</v>
      </c>
      <c r="N12" s="35">
        <f t="shared" si="9"/>
        <v>797.98419999999999</v>
      </c>
      <c r="O12" s="24">
        <f t="shared" si="10"/>
        <v>-0.69999999993797202</v>
      </c>
      <c r="P12" s="25">
        <f t="shared" si="11"/>
        <v>-1.9999999999527101</v>
      </c>
      <c r="Q12" s="26">
        <f t="shared" si="12"/>
        <v>-0.69999999993797202</v>
      </c>
      <c r="R12" s="41"/>
      <c r="S12" s="21">
        <f t="shared" si="13"/>
        <v>44734</v>
      </c>
      <c r="T12" s="42">
        <v>10.746700000000001</v>
      </c>
      <c r="U12" s="43">
        <f t="shared" si="14"/>
        <v>-9.99999999997669E-2</v>
      </c>
      <c r="V12" s="44">
        <f t="shared" si="15"/>
        <v>-1.0999999999992101</v>
      </c>
      <c r="W12" s="45">
        <f t="shared" si="16"/>
        <v>9.99999999997669E-2</v>
      </c>
      <c r="X12" s="29">
        <v>15.4785</v>
      </c>
      <c r="Y12" s="43">
        <f t="shared" si="17"/>
        <v>-0.19999999999953399</v>
      </c>
      <c r="Z12" s="44">
        <f t="shared" si="18"/>
        <v>-1.2999999999987499</v>
      </c>
      <c r="AA12" s="45">
        <f t="shared" si="19"/>
        <v>-0.19999999999953399</v>
      </c>
      <c r="AB12" s="49">
        <v>10.980700000000001</v>
      </c>
      <c r="AC12" s="43">
        <f t="shared" si="20"/>
        <v>-9.99999999997669E-2</v>
      </c>
      <c r="AD12" s="44">
        <f t="shared" si="21"/>
        <v>-1.0999999999992101</v>
      </c>
      <c r="AE12" s="45">
        <f t="shared" si="22"/>
        <v>-9.99999999997669E-2</v>
      </c>
      <c r="AF12" s="50">
        <v>79948</v>
      </c>
      <c r="AG12" s="58">
        <f t="shared" si="0"/>
        <v>22</v>
      </c>
      <c r="AH12" s="59"/>
      <c r="AI12" s="60"/>
      <c r="AJ12"/>
      <c r="AK12"/>
      <c r="AL12"/>
      <c r="AM12"/>
    </row>
    <row r="13" spans="1:48">
      <c r="A13" s="21">
        <v>44735</v>
      </c>
      <c r="B13" s="22">
        <v>791.46479999999997</v>
      </c>
      <c r="C13" s="27">
        <v>6.6333000000000002</v>
      </c>
      <c r="D13" s="23">
        <f t="shared" si="1"/>
        <v>798.09810000000004</v>
      </c>
      <c r="E13" s="24">
        <f t="shared" si="2"/>
        <v>-0.10000000008858501</v>
      </c>
      <c r="F13" s="25">
        <f t="shared" si="3"/>
        <v>-1.5000000000782201</v>
      </c>
      <c r="G13" s="26">
        <f t="shared" si="4"/>
        <v>-0.10000000008858501</v>
      </c>
      <c r="H13" s="6">
        <v>7.4722</v>
      </c>
      <c r="I13" s="35">
        <f t="shared" si="5"/>
        <v>798.93700000000001</v>
      </c>
      <c r="J13" s="24">
        <f t="shared" si="6"/>
        <v>-0.29999999992469401</v>
      </c>
      <c r="K13" s="25">
        <f t="shared" si="7"/>
        <v>-1.39999999998963</v>
      </c>
      <c r="L13" s="26">
        <f t="shared" si="8"/>
        <v>-0.29999999992469401</v>
      </c>
      <c r="M13" s="6">
        <v>6.5190999999999999</v>
      </c>
      <c r="N13" s="35">
        <f t="shared" si="9"/>
        <v>797.98389999999995</v>
      </c>
      <c r="O13" s="24">
        <f t="shared" si="10"/>
        <v>-0.30000000003838101</v>
      </c>
      <c r="P13" s="25">
        <f t="shared" si="11"/>
        <v>-2.2999999999910901</v>
      </c>
      <c r="Q13" s="26">
        <f t="shared" si="12"/>
        <v>-0.30000000003838101</v>
      </c>
      <c r="R13" s="41"/>
      <c r="S13" s="21">
        <f t="shared" si="13"/>
        <v>44735</v>
      </c>
      <c r="T13" s="42">
        <v>10.7464</v>
      </c>
      <c r="U13" s="43">
        <f t="shared" si="14"/>
        <v>-0.30000000000107702</v>
      </c>
      <c r="V13" s="44">
        <f t="shared" si="15"/>
        <v>-1.4000000000002899</v>
      </c>
      <c r="W13" s="45">
        <f t="shared" si="16"/>
        <v>0.30000000000107702</v>
      </c>
      <c r="X13" s="29">
        <v>15.478400000000001</v>
      </c>
      <c r="Y13" s="43">
        <f t="shared" si="17"/>
        <v>-9.99999999997669E-2</v>
      </c>
      <c r="Z13" s="44">
        <f t="shared" si="18"/>
        <v>-1.39999999999851</v>
      </c>
      <c r="AA13" s="45">
        <f t="shared" si="19"/>
        <v>-9.99999999997669E-2</v>
      </c>
      <c r="AB13" s="49">
        <v>10.9808</v>
      </c>
      <c r="AC13" s="43">
        <f t="shared" si="20"/>
        <v>9.99999999997669E-2</v>
      </c>
      <c r="AD13" s="44">
        <f t="shared" si="21"/>
        <v>-0.999999999999446</v>
      </c>
      <c r="AE13" s="45">
        <f t="shared" si="22"/>
        <v>9.99999999997669E-2</v>
      </c>
      <c r="AF13" s="50">
        <v>79951</v>
      </c>
      <c r="AG13" s="58">
        <f t="shared" si="0"/>
        <v>25</v>
      </c>
      <c r="AH13" s="61"/>
      <c r="AI13" s="60"/>
      <c r="AJ13"/>
      <c r="AK13"/>
      <c r="AL13"/>
      <c r="AM13"/>
    </row>
    <row r="14" spans="1:48">
      <c r="A14" s="21">
        <v>44736</v>
      </c>
      <c r="B14" s="22">
        <v>791.46479999999997</v>
      </c>
      <c r="C14" s="27">
        <v>6.6330999999999998</v>
      </c>
      <c r="D14" s="23">
        <f t="shared" si="1"/>
        <v>798.09789999999998</v>
      </c>
      <c r="E14" s="24">
        <f t="shared" si="2"/>
        <v>-0.199999999949796</v>
      </c>
      <c r="F14" s="25">
        <f t="shared" si="3"/>
        <v>-1.70000000002801</v>
      </c>
      <c r="G14" s="26">
        <f t="shared" si="4"/>
        <v>-0.199999999949796</v>
      </c>
      <c r="H14" s="6">
        <v>7.4720000000000004</v>
      </c>
      <c r="I14" s="35">
        <f t="shared" si="5"/>
        <v>798.93679999999995</v>
      </c>
      <c r="J14" s="24">
        <f t="shared" si="6"/>
        <v>-0.20000000006348301</v>
      </c>
      <c r="K14" s="25">
        <f t="shared" si="7"/>
        <v>-1.60000000005311</v>
      </c>
      <c r="L14" s="26">
        <f t="shared" si="8"/>
        <v>-0.20000000006348301</v>
      </c>
      <c r="M14" s="6">
        <v>6.5191999999999997</v>
      </c>
      <c r="N14" s="35">
        <f t="shared" si="9"/>
        <v>797.98400000000004</v>
      </c>
      <c r="O14" s="24">
        <f t="shared" si="10"/>
        <v>9.9999999974897905E-2</v>
      </c>
      <c r="P14" s="25">
        <f t="shared" si="11"/>
        <v>-2.2000000000161899</v>
      </c>
      <c r="Q14" s="26">
        <f t="shared" si="12"/>
        <v>9.9999999974897905E-2</v>
      </c>
      <c r="R14" s="41"/>
      <c r="S14" s="21">
        <f t="shared" si="13"/>
        <v>44736</v>
      </c>
      <c r="T14" s="42">
        <v>10.7462</v>
      </c>
      <c r="U14" s="43">
        <f t="shared" si="14"/>
        <v>-0.19999999999953399</v>
      </c>
      <c r="V14" s="44">
        <f t="shared" si="15"/>
        <v>-1.59999999999982</v>
      </c>
      <c r="W14" s="45">
        <f t="shared" si="16"/>
        <v>0.19999999999953399</v>
      </c>
      <c r="X14" s="29">
        <v>15.4781</v>
      </c>
      <c r="Y14" s="43">
        <f t="shared" si="17"/>
        <v>-0.30000000000107702</v>
      </c>
      <c r="Z14" s="44">
        <f t="shared" si="18"/>
        <v>-1.6999999999995901</v>
      </c>
      <c r="AA14" s="45">
        <f t="shared" si="19"/>
        <v>-0.30000000000107702</v>
      </c>
      <c r="AB14" s="49">
        <v>10.980499999999999</v>
      </c>
      <c r="AC14" s="43">
        <f t="shared" si="20"/>
        <v>-0.30000000000107702</v>
      </c>
      <c r="AD14" s="44">
        <f t="shared" si="21"/>
        <v>-1.3000000000005201</v>
      </c>
      <c r="AE14" s="45">
        <f t="shared" si="22"/>
        <v>-0.30000000000107702</v>
      </c>
      <c r="AF14" s="50">
        <v>79954</v>
      </c>
      <c r="AG14" s="58">
        <f t="shared" si="0"/>
        <v>28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44737</v>
      </c>
      <c r="B15" s="22">
        <v>791.46479999999997</v>
      </c>
      <c r="C15" s="27">
        <v>6.6333000000000002</v>
      </c>
      <c r="D15" s="23">
        <f t="shared" si="1"/>
        <v>798.09810000000004</v>
      </c>
      <c r="E15" s="24">
        <f t="shared" si="2"/>
        <v>0.199999999949796</v>
      </c>
      <c r="F15" s="25">
        <f t="shared" si="3"/>
        <v>-1.5000000000782201</v>
      </c>
      <c r="G15" s="26">
        <f t="shared" si="4"/>
        <v>0.199999999949796</v>
      </c>
      <c r="H15" s="6">
        <v>7.4721000000000002</v>
      </c>
      <c r="I15" s="35">
        <f t="shared" si="5"/>
        <v>798.93690000000004</v>
      </c>
      <c r="J15" s="24">
        <f t="shared" si="6"/>
        <v>9.9999999974897905E-2</v>
      </c>
      <c r="K15" s="25">
        <f t="shared" si="7"/>
        <v>-1.5000000000782201</v>
      </c>
      <c r="L15" s="26">
        <f t="shared" si="8"/>
        <v>9.9999999974897905E-2</v>
      </c>
      <c r="M15" s="6">
        <v>6.5185000000000004</v>
      </c>
      <c r="N15" s="35">
        <f t="shared" si="9"/>
        <v>797.98329999999999</v>
      </c>
      <c r="O15" s="24">
        <f t="shared" si="10"/>
        <v>-0.69999999993797202</v>
      </c>
      <c r="P15" s="25">
        <f t="shared" si="11"/>
        <v>-2.8999999999541601</v>
      </c>
      <c r="Q15" s="26">
        <f t="shared" si="12"/>
        <v>-0.69999999993797202</v>
      </c>
      <c r="R15" s="41"/>
      <c r="S15" s="21">
        <f t="shared" si="13"/>
        <v>44737</v>
      </c>
      <c r="T15" s="42">
        <v>10.746499999999999</v>
      </c>
      <c r="U15" s="43">
        <f t="shared" si="14"/>
        <v>0.29999999999930099</v>
      </c>
      <c r="V15" s="44">
        <f t="shared" si="15"/>
        <v>-1.3000000000005201</v>
      </c>
      <c r="W15" s="45">
        <f t="shared" si="16"/>
        <v>-0.29999999999930099</v>
      </c>
      <c r="X15" s="29">
        <v>15.478</v>
      </c>
      <c r="Y15" s="43">
        <f t="shared" si="17"/>
        <v>-9.99999999997669E-2</v>
      </c>
      <c r="Z15" s="44">
        <f t="shared" si="18"/>
        <v>-1.7999999999993599</v>
      </c>
      <c r="AA15" s="45">
        <f t="shared" si="19"/>
        <v>-9.99999999997669E-2</v>
      </c>
      <c r="AB15" s="49">
        <v>10.980399999999999</v>
      </c>
      <c r="AC15" s="43">
        <f t="shared" si="20"/>
        <v>-9.99999999997669E-2</v>
      </c>
      <c r="AD15" s="44">
        <f t="shared" si="21"/>
        <v>-1.4000000000002899</v>
      </c>
      <c r="AE15" s="45">
        <f t="shared" si="22"/>
        <v>-9.99999999997669E-2</v>
      </c>
      <c r="AF15" s="50">
        <v>79957</v>
      </c>
      <c r="AG15" s="58">
        <f t="shared" si="0"/>
        <v>31</v>
      </c>
      <c r="AH15" s="61"/>
      <c r="AI15" s="60"/>
      <c r="AJ15"/>
      <c r="AK15"/>
      <c r="AL15"/>
      <c r="AM15"/>
    </row>
    <row r="16" spans="1:48">
      <c r="A16" s="21">
        <v>44738</v>
      </c>
      <c r="B16" s="22">
        <v>791.46479999999997</v>
      </c>
      <c r="C16" s="27">
        <v>6.6326999999999998</v>
      </c>
      <c r="D16" s="23">
        <f t="shared" si="1"/>
        <v>798.09749999999997</v>
      </c>
      <c r="E16" s="24">
        <f t="shared" si="2"/>
        <v>-0.59999999996307496</v>
      </c>
      <c r="F16" s="25">
        <f t="shared" si="3"/>
        <v>-2.1000000000412902</v>
      </c>
      <c r="G16" s="26">
        <f t="shared" si="4"/>
        <v>-0.59999999996307496</v>
      </c>
      <c r="H16" s="6">
        <v>7.4715999999999996</v>
      </c>
      <c r="I16" s="35">
        <f t="shared" si="5"/>
        <v>798.93640000000005</v>
      </c>
      <c r="J16" s="24">
        <f t="shared" si="6"/>
        <v>-0.49999999998817701</v>
      </c>
      <c r="K16" s="25">
        <f t="shared" si="7"/>
        <v>-2.00000000006639</v>
      </c>
      <c r="L16" s="26">
        <f t="shared" si="8"/>
        <v>-0.49999999998817701</v>
      </c>
      <c r="M16" s="6">
        <v>6.5182000000000002</v>
      </c>
      <c r="N16" s="35">
        <f t="shared" si="9"/>
        <v>797.98299999999995</v>
      </c>
      <c r="O16" s="24">
        <f t="shared" si="10"/>
        <v>-0.30000000003838101</v>
      </c>
      <c r="P16" s="25">
        <f t="shared" si="11"/>
        <v>-3.1999999999925399</v>
      </c>
      <c r="Q16" s="26">
        <f t="shared" si="12"/>
        <v>-0.30000000003838101</v>
      </c>
      <c r="R16" s="41"/>
      <c r="S16" s="21">
        <f t="shared" si="13"/>
        <v>44738</v>
      </c>
      <c r="T16" s="42">
        <v>10.745799999999999</v>
      </c>
      <c r="U16" s="43">
        <f t="shared" si="14"/>
        <v>-0.70000000000014495</v>
      </c>
      <c r="V16" s="44">
        <f t="shared" si="15"/>
        <v>-2.0000000000006701</v>
      </c>
      <c r="W16" s="45">
        <f t="shared" si="16"/>
        <v>0.70000000000014495</v>
      </c>
      <c r="X16" s="29">
        <v>15.4777</v>
      </c>
      <c r="Y16" s="43">
        <f t="shared" si="17"/>
        <v>-0.29999999999930099</v>
      </c>
      <c r="Z16" s="44">
        <f t="shared" si="18"/>
        <v>-2.0999999999986598</v>
      </c>
      <c r="AA16" s="45">
        <f t="shared" si="19"/>
        <v>-0.29999999999930099</v>
      </c>
      <c r="AB16" s="49">
        <v>10.980499999999999</v>
      </c>
      <c r="AC16" s="43">
        <f t="shared" si="20"/>
        <v>9.99999999997669E-2</v>
      </c>
      <c r="AD16" s="44">
        <f t="shared" si="21"/>
        <v>-1.3000000000005201</v>
      </c>
      <c r="AE16" s="45">
        <f t="shared" si="22"/>
        <v>9.99999999997669E-2</v>
      </c>
      <c r="AF16" s="50">
        <v>79960</v>
      </c>
      <c r="AG16" s="58">
        <f t="shared" si="0"/>
        <v>34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44739</v>
      </c>
      <c r="B17" s="22">
        <v>791.46479999999997</v>
      </c>
      <c r="C17" s="27">
        <v>6.6325000000000003</v>
      </c>
      <c r="D17" s="23">
        <f t="shared" si="1"/>
        <v>798.09730000000002</v>
      </c>
      <c r="E17" s="24">
        <f t="shared" si="2"/>
        <v>-0.199999999949796</v>
      </c>
      <c r="F17" s="25">
        <f t="shared" si="3"/>
        <v>-2.2999999999910901</v>
      </c>
      <c r="G17" s="26">
        <f t="shared" si="4"/>
        <v>-0.199999999949796</v>
      </c>
      <c r="H17" s="6">
        <v>7.4714</v>
      </c>
      <c r="I17" s="35">
        <f t="shared" si="5"/>
        <v>798.93619999999999</v>
      </c>
      <c r="J17" s="24">
        <f t="shared" si="6"/>
        <v>-0.199999999949796</v>
      </c>
      <c r="K17" s="25">
        <f t="shared" si="7"/>
        <v>-2.2000000000161899</v>
      </c>
      <c r="L17" s="26">
        <f t="shared" si="8"/>
        <v>-0.199999999949796</v>
      </c>
      <c r="M17" s="6">
        <v>6.5179</v>
      </c>
      <c r="N17" s="35">
        <f t="shared" si="9"/>
        <v>797.98270000000002</v>
      </c>
      <c r="O17" s="24">
        <f t="shared" si="10"/>
        <v>-0.29999999992469401</v>
      </c>
      <c r="P17" s="25">
        <f t="shared" si="11"/>
        <v>-3.49999999991724</v>
      </c>
      <c r="Q17" s="26">
        <f t="shared" si="12"/>
        <v>-0.29999999992469401</v>
      </c>
      <c r="R17" s="41"/>
      <c r="S17" s="21">
        <f t="shared" si="13"/>
        <v>44739</v>
      </c>
      <c r="T17" s="42">
        <v>10.7456</v>
      </c>
      <c r="U17" s="43">
        <f t="shared" si="14"/>
        <v>-0.19999999999953399</v>
      </c>
      <c r="V17" s="44">
        <f t="shared" si="15"/>
        <v>-2.2000000000002</v>
      </c>
      <c r="W17" s="45">
        <f t="shared" si="16"/>
        <v>0.19999999999953399</v>
      </c>
      <c r="X17" s="29">
        <v>15.477499999999999</v>
      </c>
      <c r="Y17" s="43">
        <f t="shared" si="17"/>
        <v>-0.20000000000130999</v>
      </c>
      <c r="Z17" s="44">
        <f t="shared" si="18"/>
        <v>-2.2999999999999701</v>
      </c>
      <c r="AA17" s="45">
        <f t="shared" si="19"/>
        <v>-0.20000000000130999</v>
      </c>
      <c r="AB17" s="49">
        <v>10.9802</v>
      </c>
      <c r="AC17" s="43">
        <f t="shared" si="20"/>
        <v>-0.29999999999930099</v>
      </c>
      <c r="AD17" s="44">
        <f t="shared" si="21"/>
        <v>-1.59999999999982</v>
      </c>
      <c r="AE17" s="45">
        <f t="shared" si="22"/>
        <v>-0.29999999999930099</v>
      </c>
      <c r="AF17" s="50">
        <v>79963</v>
      </c>
      <c r="AG17" s="58">
        <f t="shared" si="0"/>
        <v>37</v>
      </c>
      <c r="AH17" s="61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44740</v>
      </c>
      <c r="B18" s="22">
        <v>791.46479999999997</v>
      </c>
      <c r="C18" s="27">
        <v>6.6326000000000001</v>
      </c>
      <c r="D18" s="23">
        <f t="shared" si="1"/>
        <v>798.09739999999999</v>
      </c>
      <c r="E18" s="24">
        <f t="shared" si="2"/>
        <v>9.9999999974897905E-2</v>
      </c>
      <c r="F18" s="25">
        <f t="shared" si="3"/>
        <v>-2.2000000000161899</v>
      </c>
      <c r="G18" s="26">
        <f t="shared" si="4"/>
        <v>9.9999999974897905E-2</v>
      </c>
      <c r="H18" s="6">
        <v>7.4714999999999998</v>
      </c>
      <c r="I18" s="35">
        <f t="shared" si="5"/>
        <v>798.93629999999996</v>
      </c>
      <c r="J18" s="24">
        <f t="shared" si="6"/>
        <v>9.9999999974897905E-2</v>
      </c>
      <c r="K18" s="25">
        <f t="shared" si="7"/>
        <v>-2.1000000000412902</v>
      </c>
      <c r="L18" s="26">
        <f t="shared" si="8"/>
        <v>9.9999999974897905E-2</v>
      </c>
      <c r="M18" s="6">
        <v>6.5178000000000003</v>
      </c>
      <c r="N18" s="35">
        <f t="shared" si="9"/>
        <v>797.98260000000005</v>
      </c>
      <c r="O18" s="24">
        <f t="shared" si="10"/>
        <v>-0.10000000008858501</v>
      </c>
      <c r="P18" s="25">
        <f t="shared" si="11"/>
        <v>-3.6000000000058199</v>
      </c>
      <c r="Q18" s="26">
        <f t="shared" si="12"/>
        <v>-0.10000000008858501</v>
      </c>
      <c r="R18" s="41"/>
      <c r="S18" s="21">
        <f t="shared" si="13"/>
        <v>44740</v>
      </c>
      <c r="T18" s="42">
        <v>10.7454</v>
      </c>
      <c r="U18" s="43">
        <f t="shared" si="14"/>
        <v>-0.19999999999953399</v>
      </c>
      <c r="V18" s="44">
        <f t="shared" si="15"/>
        <v>-2.3999999999997401</v>
      </c>
      <c r="W18" s="45">
        <f t="shared" si="16"/>
        <v>0.19999999999953399</v>
      </c>
      <c r="X18" s="29">
        <v>15.478</v>
      </c>
      <c r="Y18" s="43">
        <f t="shared" si="17"/>
        <v>0.50000000000061096</v>
      </c>
      <c r="Z18" s="44">
        <f t="shared" si="18"/>
        <v>-1.7999999999993599</v>
      </c>
      <c r="AA18" s="45">
        <f t="shared" si="19"/>
        <v>0.50000000000061096</v>
      </c>
      <c r="AB18" s="49">
        <v>10.9801</v>
      </c>
      <c r="AC18" s="43">
        <f t="shared" si="20"/>
        <v>-9.99999999997669E-2</v>
      </c>
      <c r="AD18" s="44">
        <f t="shared" si="21"/>
        <v>-1.6999999999995901</v>
      </c>
      <c r="AE18" s="45">
        <f t="shared" si="22"/>
        <v>-9.99999999997669E-2</v>
      </c>
      <c r="AF18" s="50">
        <v>79966</v>
      </c>
      <c r="AG18" s="58">
        <f t="shared" si="0"/>
        <v>40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44741</v>
      </c>
      <c r="B19" s="22">
        <v>791.46479999999997</v>
      </c>
      <c r="C19" s="27">
        <v>6.6321000000000003</v>
      </c>
      <c r="D19" s="23">
        <f t="shared" si="1"/>
        <v>798.09690000000001</v>
      </c>
      <c r="E19" s="24">
        <f t="shared" si="2"/>
        <v>-0.49999999998817701</v>
      </c>
      <c r="F19" s="25">
        <f t="shared" si="3"/>
        <v>-2.70000000000437</v>
      </c>
      <c r="G19" s="26">
        <f t="shared" si="4"/>
        <v>-0.49999999998817701</v>
      </c>
      <c r="H19" s="6">
        <v>7.4710000000000001</v>
      </c>
      <c r="I19" s="35">
        <f t="shared" si="5"/>
        <v>798.93579999999997</v>
      </c>
      <c r="J19" s="24">
        <f t="shared" si="6"/>
        <v>-0.49999999998817701</v>
      </c>
      <c r="K19" s="25">
        <f t="shared" si="7"/>
        <v>-2.6000000000294698</v>
      </c>
      <c r="L19" s="26">
        <f t="shared" si="8"/>
        <v>-0.49999999998817701</v>
      </c>
      <c r="M19" s="6">
        <v>6.5172999999999996</v>
      </c>
      <c r="N19" s="35">
        <f t="shared" si="9"/>
        <v>797.98209999999995</v>
      </c>
      <c r="O19" s="24">
        <f t="shared" si="10"/>
        <v>-0.49999999998817701</v>
      </c>
      <c r="P19" s="25">
        <f t="shared" si="11"/>
        <v>-4.099999999994</v>
      </c>
      <c r="Q19" s="26">
        <f t="shared" si="12"/>
        <v>-0.49999999998817701</v>
      </c>
      <c r="R19" s="41"/>
      <c r="S19" s="21">
        <f t="shared" si="13"/>
        <v>44741</v>
      </c>
      <c r="T19" s="42">
        <v>10.746</v>
      </c>
      <c r="U19" s="43">
        <f t="shared" si="14"/>
        <v>0.60000000000037801</v>
      </c>
      <c r="V19" s="44">
        <f t="shared" si="15"/>
        <v>-1.7999999999993599</v>
      </c>
      <c r="W19" s="45">
        <f t="shared" si="16"/>
        <v>-0.60000000000037801</v>
      </c>
      <c r="X19" s="29">
        <v>15.4771</v>
      </c>
      <c r="Y19" s="43">
        <f t="shared" si="17"/>
        <v>-0.89999999999967895</v>
      </c>
      <c r="Z19" s="44">
        <f t="shared" si="18"/>
        <v>-2.6999999999990401</v>
      </c>
      <c r="AA19" s="45">
        <f t="shared" si="19"/>
        <v>-0.89999999999967895</v>
      </c>
      <c r="AB19" s="49">
        <v>10.980499999999999</v>
      </c>
      <c r="AC19" s="43">
        <f t="shared" si="20"/>
        <v>0.39999999999906799</v>
      </c>
      <c r="AD19" s="44">
        <f t="shared" si="21"/>
        <v>-1.3000000000005201</v>
      </c>
      <c r="AE19" s="45">
        <f t="shared" si="22"/>
        <v>0.39999999999906799</v>
      </c>
      <c r="AF19" s="50">
        <v>79969</v>
      </c>
      <c r="AG19" s="58">
        <f t="shared" si="0"/>
        <v>43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44742</v>
      </c>
      <c r="B20" s="22">
        <v>791.46479999999997</v>
      </c>
      <c r="C20" s="27">
        <v>6.6318999999999999</v>
      </c>
      <c r="D20" s="23">
        <f t="shared" si="1"/>
        <v>798.09670000000006</v>
      </c>
      <c r="E20" s="24">
        <f t="shared" si="2"/>
        <v>-0.20000000006348301</v>
      </c>
      <c r="F20" s="25">
        <f t="shared" si="3"/>
        <v>-2.9000000000678501</v>
      </c>
      <c r="G20" s="26">
        <f t="shared" si="4"/>
        <v>-0.20000000006348301</v>
      </c>
      <c r="H20" s="6">
        <v>7.4707999999999997</v>
      </c>
      <c r="I20" s="35">
        <f t="shared" si="5"/>
        <v>798.93560000000002</v>
      </c>
      <c r="J20" s="24">
        <f t="shared" si="6"/>
        <v>-0.199999999949796</v>
      </c>
      <c r="K20" s="25">
        <f t="shared" si="7"/>
        <v>-2.79999999997926</v>
      </c>
      <c r="L20" s="26">
        <f t="shared" si="8"/>
        <v>-0.199999999949796</v>
      </c>
      <c r="M20" s="6">
        <v>6.5170000000000003</v>
      </c>
      <c r="N20" s="35">
        <f t="shared" si="9"/>
        <v>797.98180000000002</v>
      </c>
      <c r="O20" s="24">
        <f t="shared" si="10"/>
        <v>-0.29999999992469401</v>
      </c>
      <c r="P20" s="25">
        <f t="shared" si="11"/>
        <v>-4.3999999999186903</v>
      </c>
      <c r="Q20" s="26">
        <f t="shared" si="12"/>
        <v>-0.29999999992469401</v>
      </c>
      <c r="R20" s="41"/>
      <c r="S20" s="21">
        <f t="shared" si="13"/>
        <v>44742</v>
      </c>
      <c r="T20" s="42">
        <v>10.744999999999999</v>
      </c>
      <c r="U20" s="43">
        <f t="shared" si="14"/>
        <v>-1.0000000000012199</v>
      </c>
      <c r="V20" s="44">
        <f t="shared" si="15"/>
        <v>-2.8000000000005798</v>
      </c>
      <c r="W20" s="45">
        <f t="shared" si="16"/>
        <v>1.0000000000012199</v>
      </c>
      <c r="X20" s="29">
        <v>15.476900000000001</v>
      </c>
      <c r="Y20" s="43">
        <f t="shared" si="17"/>
        <v>-0.19999999999953399</v>
      </c>
      <c r="Z20" s="44">
        <f t="shared" si="18"/>
        <v>-2.8999999999985699</v>
      </c>
      <c r="AA20" s="45">
        <f t="shared" si="19"/>
        <v>-0.19999999999953399</v>
      </c>
      <c r="AB20" s="49">
        <v>10.979900000000001</v>
      </c>
      <c r="AC20" s="43">
        <f t="shared" si="20"/>
        <v>-0.59999999999860198</v>
      </c>
      <c r="AD20" s="44">
        <f t="shared" si="21"/>
        <v>-1.8999999999991199</v>
      </c>
      <c r="AE20" s="45">
        <f t="shared" si="22"/>
        <v>-0.59999999999860198</v>
      </c>
      <c r="AF20" s="50">
        <v>79976</v>
      </c>
      <c r="AG20" s="58">
        <f t="shared" si="0"/>
        <v>50</v>
      </c>
      <c r="AH20" s="59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44744</v>
      </c>
      <c r="B21" s="22">
        <v>791.46479999999997</v>
      </c>
      <c r="C21" s="27">
        <v>6.6318000000000001</v>
      </c>
      <c r="D21" s="23">
        <f t="shared" ref="D21:D29" si="23">C21+B21</f>
        <v>798.09659999999997</v>
      </c>
      <c r="E21" s="24">
        <f t="shared" ref="E21:E25" si="24">(D21-D20)*1000</f>
        <v>-9.9999999974897905E-2</v>
      </c>
      <c r="F21" s="25">
        <f t="shared" ref="F21:F25" si="25">F20+E21</f>
        <v>-3.0000000000427498</v>
      </c>
      <c r="G21" s="26">
        <f t="shared" ref="G21:G25" si="26">E21/(A21-A20)</f>
        <v>-4.9999999987449001E-2</v>
      </c>
      <c r="H21" s="6">
        <v>7.4710999999999999</v>
      </c>
      <c r="I21" s="35">
        <f t="shared" ref="I21:I29" si="27">H21+B21</f>
        <v>798.93589999999995</v>
      </c>
      <c r="J21" s="24">
        <f t="shared" ref="J21:J25" si="28">(I21-I20)*1000</f>
        <v>0.29999999992469401</v>
      </c>
      <c r="K21" s="25">
        <f t="shared" ref="K21:K25" si="29">K20+J21</f>
        <v>-2.5000000000545701</v>
      </c>
      <c r="L21" s="26">
        <f t="shared" ref="L21:L25" si="30">J21/(A21-A20)</f>
        <v>0.149999999962347</v>
      </c>
      <c r="M21" s="6">
        <v>6.5167000000000002</v>
      </c>
      <c r="N21" s="35">
        <f t="shared" ref="N21:N29" si="31">M21+B21</f>
        <v>797.98149999999998</v>
      </c>
      <c r="O21" s="24">
        <f t="shared" ref="O21:O25" si="32">(N21-N20)*1000</f>
        <v>-0.30000000003838101</v>
      </c>
      <c r="P21" s="25">
        <f t="shared" ref="P21:P25" si="33">P20+O21</f>
        <v>-4.6999999999570701</v>
      </c>
      <c r="Q21" s="26">
        <f t="shared" ref="Q21:Q25" si="34">O21/(A21-A20)</f>
        <v>-0.15000000001919001</v>
      </c>
      <c r="R21" s="41"/>
      <c r="S21" s="21">
        <f t="shared" si="13"/>
        <v>44744</v>
      </c>
      <c r="T21" s="42">
        <v>10.7448</v>
      </c>
      <c r="U21" s="43">
        <f t="shared" si="14"/>
        <v>-0.19999999999953399</v>
      </c>
      <c r="V21" s="44">
        <f t="shared" si="15"/>
        <v>-3.0000000000001101</v>
      </c>
      <c r="W21" s="45">
        <f t="shared" si="16"/>
        <v>9.99999999997669E-2</v>
      </c>
      <c r="X21" s="29">
        <v>15.476699999999999</v>
      </c>
      <c r="Y21" s="43">
        <f t="shared" si="17"/>
        <v>-0.20000000000130999</v>
      </c>
      <c r="Z21" s="44">
        <f t="shared" si="18"/>
        <v>-3.0999999999998802</v>
      </c>
      <c r="AA21" s="45">
        <f t="shared" si="19"/>
        <v>-0.100000000000655</v>
      </c>
      <c r="AB21" s="49">
        <v>10.979799999999999</v>
      </c>
      <c r="AC21" s="43">
        <f t="shared" si="20"/>
        <v>-0.10000000000154299</v>
      </c>
      <c r="AD21" s="44">
        <f t="shared" si="21"/>
        <v>-2.0000000000006701</v>
      </c>
      <c r="AE21" s="45">
        <f t="shared" si="22"/>
        <v>-5.0000000000771601E-2</v>
      </c>
      <c r="AF21" s="50">
        <v>79983</v>
      </c>
      <c r="AG21" s="58">
        <f t="shared" si="0"/>
        <v>57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44746</v>
      </c>
      <c r="B22" s="22">
        <v>791.46479999999997</v>
      </c>
      <c r="C22" s="27">
        <v>6.6314999999999902</v>
      </c>
      <c r="D22" s="23">
        <f t="shared" si="23"/>
        <v>798.09630000000004</v>
      </c>
      <c r="E22" s="24">
        <f t="shared" si="24"/>
        <v>-0.30000000003838101</v>
      </c>
      <c r="F22" s="25">
        <f t="shared" si="25"/>
        <v>-3.30000000008113</v>
      </c>
      <c r="G22" s="26">
        <f t="shared" si="26"/>
        <v>-0.15000000001919001</v>
      </c>
      <c r="H22" s="6">
        <v>7.4704000000000104</v>
      </c>
      <c r="I22" s="35">
        <f t="shared" si="27"/>
        <v>798.93520000000001</v>
      </c>
      <c r="J22" s="24">
        <f t="shared" si="28"/>
        <v>-0.69999999993797202</v>
      </c>
      <c r="K22" s="25">
        <f t="shared" si="29"/>
        <v>-3.1999999999925399</v>
      </c>
      <c r="L22" s="26">
        <f t="shared" si="30"/>
        <v>-0.34999999996898601</v>
      </c>
      <c r="M22" s="6">
        <v>6.5172999999999996</v>
      </c>
      <c r="N22" s="35">
        <f t="shared" si="31"/>
        <v>797.98209999999995</v>
      </c>
      <c r="O22" s="24">
        <f t="shared" si="32"/>
        <v>0.59999999996307496</v>
      </c>
      <c r="P22" s="25">
        <f t="shared" si="33"/>
        <v>-4.099999999994</v>
      </c>
      <c r="Q22" s="26">
        <f t="shared" si="34"/>
        <v>0.29999999998153698</v>
      </c>
      <c r="R22" s="41"/>
      <c r="S22" s="21">
        <f t="shared" si="13"/>
        <v>44746</v>
      </c>
      <c r="T22" s="42">
        <v>10.745100000000001</v>
      </c>
      <c r="U22" s="43">
        <f t="shared" si="14"/>
        <v>0.30000000000107702</v>
      </c>
      <c r="V22" s="44">
        <f t="shared" si="15"/>
        <v>-2.6999999999990401</v>
      </c>
      <c r="W22" s="45">
        <f t="shared" si="16"/>
        <v>-0.15000000000053901</v>
      </c>
      <c r="X22" s="29">
        <v>15.477</v>
      </c>
      <c r="Y22" s="43">
        <f t="shared" si="17"/>
        <v>0.30000000000107702</v>
      </c>
      <c r="Z22" s="44">
        <f t="shared" si="18"/>
        <v>-2.7999999999987999</v>
      </c>
      <c r="AA22" s="45">
        <f t="shared" si="19"/>
        <v>0.15000000000053901</v>
      </c>
      <c r="AB22" s="49">
        <v>10.98</v>
      </c>
      <c r="AC22" s="43">
        <f t="shared" si="20"/>
        <v>0.20000000000130999</v>
      </c>
      <c r="AD22" s="44">
        <f t="shared" si="21"/>
        <v>-1.7999999999993599</v>
      </c>
      <c r="AE22" s="45">
        <f t="shared" si="22"/>
        <v>0.100000000000655</v>
      </c>
      <c r="AF22" s="50">
        <v>79990</v>
      </c>
      <c r="AG22" s="58">
        <f t="shared" si="0"/>
        <v>64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44748</v>
      </c>
      <c r="B23" s="22">
        <v>791.46479999999997</v>
      </c>
      <c r="C23" s="27">
        <v>6.6312999999999898</v>
      </c>
      <c r="D23" s="23">
        <f t="shared" si="23"/>
        <v>798.09609999999998</v>
      </c>
      <c r="E23" s="24">
        <f t="shared" si="24"/>
        <v>-0.199999999949796</v>
      </c>
      <c r="F23" s="25">
        <f t="shared" si="25"/>
        <v>-3.5000000000309202</v>
      </c>
      <c r="G23" s="26">
        <f t="shared" si="26"/>
        <v>-9.9999999974897905E-2</v>
      </c>
      <c r="H23" s="6">
        <v>7.4702000000000099</v>
      </c>
      <c r="I23" s="35">
        <f t="shared" si="27"/>
        <v>798.93499999999995</v>
      </c>
      <c r="J23" s="24">
        <f t="shared" si="28"/>
        <v>-0.20000000006348301</v>
      </c>
      <c r="K23" s="25">
        <f t="shared" si="29"/>
        <v>-3.40000000005602</v>
      </c>
      <c r="L23" s="26">
        <f t="shared" si="30"/>
        <v>-0.100000000031741</v>
      </c>
      <c r="M23" s="6">
        <v>6.5175000000000001</v>
      </c>
      <c r="N23" s="35">
        <f t="shared" si="31"/>
        <v>797.98230000000001</v>
      </c>
      <c r="O23" s="24">
        <f t="shared" si="32"/>
        <v>0.20000000006348301</v>
      </c>
      <c r="P23" s="25">
        <f t="shared" si="33"/>
        <v>-3.8999999999305102</v>
      </c>
      <c r="Q23" s="26">
        <f t="shared" si="34"/>
        <v>0.100000000031741</v>
      </c>
      <c r="R23" s="41"/>
      <c r="S23" s="21">
        <f t="shared" si="13"/>
        <v>44748</v>
      </c>
      <c r="T23" s="42">
        <v>10.744400000000001</v>
      </c>
      <c r="U23" s="43">
        <f t="shared" si="14"/>
        <v>-0.70000000000014495</v>
      </c>
      <c r="V23" s="44">
        <f t="shared" si="15"/>
        <v>-3.3999999999991801</v>
      </c>
      <c r="W23" s="45">
        <f t="shared" si="16"/>
        <v>0.35000000000007198</v>
      </c>
      <c r="X23" s="29">
        <v>15.4763</v>
      </c>
      <c r="Y23" s="43">
        <f t="shared" si="17"/>
        <v>-0.70000000000014495</v>
      </c>
      <c r="Z23" s="44">
        <f t="shared" si="18"/>
        <v>-3.4999999999989502</v>
      </c>
      <c r="AA23" s="45">
        <f t="shared" si="19"/>
        <v>-0.35000000000007198</v>
      </c>
      <c r="AB23" s="49">
        <v>10.9796</v>
      </c>
      <c r="AC23" s="43">
        <f t="shared" si="20"/>
        <v>-0.40000000000084401</v>
      </c>
      <c r="AD23" s="44">
        <f t="shared" si="21"/>
        <v>-2.2000000000002</v>
      </c>
      <c r="AE23" s="45">
        <f t="shared" si="22"/>
        <v>-0.20000000000042201</v>
      </c>
      <c r="AF23" s="50">
        <v>80002</v>
      </c>
      <c r="AG23" s="58">
        <f t="shared" si="0"/>
        <v>76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44750</v>
      </c>
      <c r="B24" s="22">
        <v>791.46479999999997</v>
      </c>
      <c r="C24" s="27">
        <v>6.6310999999999902</v>
      </c>
      <c r="D24" s="23">
        <f t="shared" si="23"/>
        <v>798.09590000000003</v>
      </c>
      <c r="E24" s="24">
        <f t="shared" si="24"/>
        <v>-0.20000000006348301</v>
      </c>
      <c r="F24" s="25">
        <f t="shared" si="25"/>
        <v>-3.70000000009441</v>
      </c>
      <c r="G24" s="26">
        <f t="shared" si="26"/>
        <v>-0.100000000031741</v>
      </c>
      <c r="H24" s="6">
        <v>7.4702999999999999</v>
      </c>
      <c r="I24" s="35">
        <f t="shared" si="27"/>
        <v>798.93510000000003</v>
      </c>
      <c r="J24" s="24">
        <f t="shared" si="28"/>
        <v>9.9999999974897905E-2</v>
      </c>
      <c r="K24" s="25">
        <f t="shared" si="29"/>
        <v>-3.30000000008113</v>
      </c>
      <c r="L24" s="26">
        <f t="shared" si="30"/>
        <v>4.9999999987449001E-2</v>
      </c>
      <c r="M24" s="6">
        <v>6.5171999999999999</v>
      </c>
      <c r="N24" s="35">
        <f t="shared" si="31"/>
        <v>797.98199999999997</v>
      </c>
      <c r="O24" s="24">
        <f t="shared" si="32"/>
        <v>-0.30000000003838101</v>
      </c>
      <c r="P24" s="25">
        <f t="shared" si="33"/>
        <v>-4.1999999999688997</v>
      </c>
      <c r="Q24" s="26">
        <f t="shared" si="34"/>
        <v>-0.15000000001919001</v>
      </c>
      <c r="R24" s="41"/>
      <c r="S24" s="21">
        <f t="shared" si="13"/>
        <v>44750</v>
      </c>
      <c r="T24" s="42">
        <v>10.744199999999999</v>
      </c>
      <c r="U24" s="43">
        <f t="shared" si="14"/>
        <v>-0.20000000000130999</v>
      </c>
      <c r="V24" s="44">
        <f t="shared" si="15"/>
        <v>-3.6000000000004899</v>
      </c>
      <c r="W24" s="45">
        <f t="shared" si="16"/>
        <v>0.100000000000655</v>
      </c>
      <c r="X24" s="29">
        <v>15.476100000000001</v>
      </c>
      <c r="Y24" s="43">
        <f t="shared" si="17"/>
        <v>-0.19999999999953399</v>
      </c>
      <c r="Z24" s="44">
        <f t="shared" si="18"/>
        <v>-3.6999999999984801</v>
      </c>
      <c r="AA24" s="45">
        <f t="shared" si="19"/>
        <v>-9.99999999997669E-2</v>
      </c>
      <c r="AB24" s="49">
        <v>10.9795</v>
      </c>
      <c r="AC24" s="43">
        <f t="shared" si="20"/>
        <v>-9.99999999997669E-2</v>
      </c>
      <c r="AD24" s="44">
        <f t="shared" si="21"/>
        <v>-2.2999999999999701</v>
      </c>
      <c r="AE24" s="45">
        <f t="shared" si="22"/>
        <v>-4.9999999999883499E-2</v>
      </c>
      <c r="AF24" s="50">
        <v>80014</v>
      </c>
      <c r="AG24" s="58">
        <f t="shared" si="0"/>
        <v>88</v>
      </c>
      <c r="AH24" s="59"/>
      <c r="AI24" s="52"/>
      <c r="AJ24" s="52"/>
      <c r="AK24" s="52"/>
      <c r="AL24" s="52"/>
      <c r="AM24" s="52"/>
    </row>
    <row r="25" spans="1:48">
      <c r="A25" s="21">
        <v>44752</v>
      </c>
      <c r="B25" s="22">
        <v>791.46479999999997</v>
      </c>
      <c r="C25" s="27">
        <v>6.6313000000000004</v>
      </c>
      <c r="D25" s="23">
        <f t="shared" si="23"/>
        <v>798.09609999999998</v>
      </c>
      <c r="E25" s="24">
        <f t="shared" si="24"/>
        <v>0.20000000006348301</v>
      </c>
      <c r="F25" s="25">
        <f t="shared" si="25"/>
        <v>-3.5000000000309202</v>
      </c>
      <c r="G25" s="26">
        <f t="shared" si="26"/>
        <v>0.100000000031741</v>
      </c>
      <c r="H25" s="6">
        <v>7.46980000000001</v>
      </c>
      <c r="I25" s="35">
        <f t="shared" si="27"/>
        <v>798.93460000000005</v>
      </c>
      <c r="J25" s="24">
        <f t="shared" si="28"/>
        <v>-0.49999999998817701</v>
      </c>
      <c r="K25" s="25">
        <f t="shared" si="29"/>
        <v>-3.8000000000692999</v>
      </c>
      <c r="L25" s="26">
        <f t="shared" si="30"/>
        <v>-0.24999999999408801</v>
      </c>
      <c r="M25" s="6">
        <v>6.5170000000000003</v>
      </c>
      <c r="N25" s="35">
        <f t="shared" si="31"/>
        <v>797.98180000000002</v>
      </c>
      <c r="O25" s="24">
        <f t="shared" si="32"/>
        <v>-0.199999999949796</v>
      </c>
      <c r="P25" s="25">
        <f t="shared" si="33"/>
        <v>-4.3999999999186903</v>
      </c>
      <c r="Q25" s="26">
        <f t="shared" si="34"/>
        <v>-9.9999999974897905E-2</v>
      </c>
      <c r="R25" s="41"/>
      <c r="S25" s="21">
        <f t="shared" si="13"/>
        <v>44752</v>
      </c>
      <c r="T25" s="42">
        <v>10.7441</v>
      </c>
      <c r="U25" s="43">
        <f t="shared" si="14"/>
        <v>-9.99999999997669E-2</v>
      </c>
      <c r="V25" s="44">
        <f t="shared" si="15"/>
        <v>-3.70000000000026</v>
      </c>
      <c r="W25" s="45">
        <f t="shared" si="16"/>
        <v>4.9999999999883499E-2</v>
      </c>
      <c r="X25" s="29">
        <v>15.4762</v>
      </c>
      <c r="Y25" s="43">
        <f t="shared" si="17"/>
        <v>9.99999999997669E-2</v>
      </c>
      <c r="Z25" s="44">
        <f t="shared" si="18"/>
        <v>-3.5999999999987198</v>
      </c>
      <c r="AA25" s="45">
        <f t="shared" si="19"/>
        <v>4.9999999999883499E-2</v>
      </c>
      <c r="AB25" s="49">
        <v>10.9794</v>
      </c>
      <c r="AC25" s="43">
        <f t="shared" si="20"/>
        <v>-9.99999999997669E-2</v>
      </c>
      <c r="AD25" s="44">
        <f t="shared" si="21"/>
        <v>-2.3999999999997401</v>
      </c>
      <c r="AE25" s="45">
        <f t="shared" si="22"/>
        <v>-4.9999999999883499E-2</v>
      </c>
      <c r="AF25" s="50">
        <v>80026</v>
      </c>
      <c r="AG25" s="58">
        <f t="shared" si="0"/>
        <v>100</v>
      </c>
      <c r="AH25" s="61"/>
      <c r="AI25" s="52"/>
      <c r="AJ25" s="52"/>
      <c r="AK25" s="52"/>
      <c r="AL25" s="52"/>
      <c r="AM25" s="52"/>
    </row>
    <row r="26" spans="1:48">
      <c r="A26" s="21">
        <v>44754</v>
      </c>
      <c r="B26" s="22">
        <v>791.46479999999997</v>
      </c>
      <c r="C26" s="27">
        <v>6.6311</v>
      </c>
      <c r="D26" s="23">
        <f t="shared" si="23"/>
        <v>798.09590000000003</v>
      </c>
      <c r="E26" s="24">
        <f t="shared" ref="E26:E29" si="35">(D26-D25)*1000</f>
        <v>-0.20000000006348301</v>
      </c>
      <c r="F26" s="25">
        <f t="shared" ref="F26:F29" si="36">F25+E26</f>
        <v>-3.70000000009441</v>
      </c>
      <c r="G26" s="26">
        <f t="shared" ref="G26:G29" si="37">E26/(A26-A25)</f>
        <v>-0.100000000031741</v>
      </c>
      <c r="H26" s="6">
        <v>7.4695</v>
      </c>
      <c r="I26" s="35">
        <f t="shared" si="27"/>
        <v>798.93430000000001</v>
      </c>
      <c r="J26" s="24">
        <f t="shared" ref="J26:J29" si="38">(I26-I25)*1000</f>
        <v>-0.29999999992469401</v>
      </c>
      <c r="K26" s="25">
        <f t="shared" ref="K26:K29" si="39">K25+J26</f>
        <v>-4.099999999994</v>
      </c>
      <c r="L26" s="26">
        <f t="shared" ref="L26:L29" si="40">J26/(A26-A25)</f>
        <v>-0.149999999962347</v>
      </c>
      <c r="M26" s="6">
        <v>6.5172999999999996</v>
      </c>
      <c r="N26" s="35">
        <f t="shared" si="31"/>
        <v>797.98209999999995</v>
      </c>
      <c r="O26" s="24">
        <f t="shared" ref="O26:O29" si="41">(N26-N25)*1000</f>
        <v>0.29999999992469401</v>
      </c>
      <c r="P26" s="25">
        <f t="shared" ref="P26:P29" si="42">P25+O26</f>
        <v>-4.099999999994</v>
      </c>
      <c r="Q26" s="26">
        <f t="shared" ref="Q26:Q29" si="43">O26/(A26-A25)</f>
        <v>0.149999999962347</v>
      </c>
      <c r="R26" s="41"/>
      <c r="S26" s="21">
        <f t="shared" si="13"/>
        <v>44754</v>
      </c>
      <c r="T26" s="42">
        <v>10.744</v>
      </c>
      <c r="U26" s="43">
        <f t="shared" ref="U26:U29" si="44">(T26-T25)*1000</f>
        <v>-9.99999999997669E-2</v>
      </c>
      <c r="V26" s="44">
        <f t="shared" ref="V26:V29" si="45">V25+U26</f>
        <v>-3.80000000000003</v>
      </c>
      <c r="W26" s="45">
        <f t="shared" ref="W26:W29" si="46">U26/(S25-S26)</f>
        <v>4.9999999999883499E-2</v>
      </c>
      <c r="X26" s="29">
        <v>15.476000000000001</v>
      </c>
      <c r="Y26" s="43">
        <f t="shared" ref="Y26:Y29" si="47">(X26-X25)*1000</f>
        <v>-0.19999999999953399</v>
      </c>
      <c r="Z26" s="44">
        <f t="shared" ref="Z26:Z29" si="48">Z25+Y26</f>
        <v>-3.7999999999982501</v>
      </c>
      <c r="AA26" s="45">
        <f t="shared" ref="AA26:AA29" si="49">Y26/(S26-S25)</f>
        <v>-9.99999999997669E-2</v>
      </c>
      <c r="AB26" s="49">
        <v>10.979200000000001</v>
      </c>
      <c r="AC26" s="43">
        <f t="shared" ref="AC26:AC29" si="50">(AB26-AB25)*1000</f>
        <v>-0.19999999999953399</v>
      </c>
      <c r="AD26" s="44">
        <f t="shared" ref="AD26:AD29" si="51">AD25+AC26</f>
        <v>-2.59999999999927</v>
      </c>
      <c r="AE26" s="45">
        <f t="shared" ref="AE26:AE29" si="52">AC26/(S26-S25)</f>
        <v>-9.99999999997669E-2</v>
      </c>
      <c r="AF26" s="50">
        <v>80038</v>
      </c>
      <c r="AG26" s="58">
        <f t="shared" si="0"/>
        <v>112</v>
      </c>
      <c r="AH26" s="61"/>
      <c r="AI26" s="52"/>
      <c r="AJ26" s="52"/>
      <c r="AK26" s="52"/>
      <c r="AL26" s="52"/>
      <c r="AM26" s="52"/>
    </row>
    <row r="27" spans="1:48">
      <c r="A27" s="21">
        <v>44756</v>
      </c>
      <c r="B27" s="22">
        <v>791.46479999999997</v>
      </c>
      <c r="C27" s="27">
        <v>6.6310000000000002</v>
      </c>
      <c r="D27" s="23">
        <f t="shared" si="23"/>
        <v>798.09580000000005</v>
      </c>
      <c r="E27" s="24">
        <f t="shared" si="35"/>
        <v>-9.9999999974897905E-2</v>
      </c>
      <c r="F27" s="25">
        <f t="shared" si="36"/>
        <v>-3.8000000000692999</v>
      </c>
      <c r="G27" s="26">
        <f t="shared" si="37"/>
        <v>-4.9999999987449001E-2</v>
      </c>
      <c r="H27" s="6">
        <v>7.4694000000000003</v>
      </c>
      <c r="I27" s="35">
        <f t="shared" si="27"/>
        <v>798.93420000000003</v>
      </c>
      <c r="J27" s="24">
        <f t="shared" si="38"/>
        <v>-0.10000000008858501</v>
      </c>
      <c r="K27" s="25">
        <f t="shared" si="39"/>
        <v>-4.2000000000825803</v>
      </c>
      <c r="L27" s="26">
        <f t="shared" si="40"/>
        <v>-5.0000000044292399E-2</v>
      </c>
      <c r="M27" s="6">
        <v>6.5171999999999999</v>
      </c>
      <c r="N27" s="35">
        <f t="shared" si="31"/>
        <v>797.98199999999997</v>
      </c>
      <c r="O27" s="24">
        <f t="shared" si="41"/>
        <v>-9.9999999974897905E-2</v>
      </c>
      <c r="P27" s="25">
        <f t="shared" si="42"/>
        <v>-4.1999999999688997</v>
      </c>
      <c r="Q27" s="26">
        <f t="shared" si="43"/>
        <v>-4.9999999987449001E-2</v>
      </c>
      <c r="R27" s="41"/>
      <c r="S27" s="21">
        <f t="shared" si="13"/>
        <v>44756</v>
      </c>
      <c r="T27" s="42">
        <v>10.7437</v>
      </c>
      <c r="U27" s="43">
        <f t="shared" si="44"/>
        <v>-0.29999999999930099</v>
      </c>
      <c r="V27" s="44">
        <f t="shared" si="45"/>
        <v>-4.09999999999933</v>
      </c>
      <c r="W27" s="45">
        <f t="shared" si="46"/>
        <v>0.14999999999965</v>
      </c>
      <c r="X27" s="29">
        <v>15.475899999999999</v>
      </c>
      <c r="Y27" s="43">
        <f t="shared" si="47"/>
        <v>-0.10000000000154299</v>
      </c>
      <c r="Z27" s="44">
        <f t="shared" si="48"/>
        <v>-3.8999999999997899</v>
      </c>
      <c r="AA27" s="45">
        <f t="shared" si="49"/>
        <v>-5.0000000000771601E-2</v>
      </c>
      <c r="AB27" s="49">
        <v>10.979100000000001</v>
      </c>
      <c r="AC27" s="43">
        <f t="shared" si="50"/>
        <v>-9.99999999997669E-2</v>
      </c>
      <c r="AD27" s="44">
        <f t="shared" si="51"/>
        <v>-2.6999999999990401</v>
      </c>
      <c r="AE27" s="45">
        <f t="shared" si="52"/>
        <v>-4.9999999999883499E-2</v>
      </c>
      <c r="AF27" s="50">
        <v>80050</v>
      </c>
      <c r="AG27" s="58">
        <f t="shared" si="0"/>
        <v>124</v>
      </c>
      <c r="AH27" s="61"/>
      <c r="AI27" s="52"/>
      <c r="AJ27" s="52"/>
      <c r="AK27" s="52"/>
      <c r="AL27" s="52"/>
      <c r="AM27" s="52"/>
    </row>
    <row r="28" spans="1:48">
      <c r="A28" s="21">
        <v>44758</v>
      </c>
      <c r="B28" s="22">
        <v>791.46479999999997</v>
      </c>
      <c r="C28" s="27">
        <v>6.6306999999999903</v>
      </c>
      <c r="D28" s="23">
        <f t="shared" si="23"/>
        <v>798.09550000000002</v>
      </c>
      <c r="E28" s="24">
        <f t="shared" si="35"/>
        <v>-0.30000000003838101</v>
      </c>
      <c r="F28" s="25">
        <f t="shared" si="36"/>
        <v>-4.1000000001076797</v>
      </c>
      <c r="G28" s="26">
        <f t="shared" si="37"/>
        <v>-0.15000000001919001</v>
      </c>
      <c r="H28" s="6">
        <v>7.4696000000000096</v>
      </c>
      <c r="I28" s="35">
        <f t="shared" si="27"/>
        <v>798.93439999999998</v>
      </c>
      <c r="J28" s="24">
        <f t="shared" si="38"/>
        <v>0.20000000006348301</v>
      </c>
      <c r="K28" s="25">
        <f t="shared" si="39"/>
        <v>-4.0000000000191003</v>
      </c>
      <c r="L28" s="26">
        <f t="shared" si="40"/>
        <v>0.100000000031741</v>
      </c>
      <c r="M28" s="6">
        <v>6.5170000000000003</v>
      </c>
      <c r="N28" s="35">
        <f t="shared" si="31"/>
        <v>797.98180000000002</v>
      </c>
      <c r="O28" s="24">
        <f t="shared" si="41"/>
        <v>-0.199999999949796</v>
      </c>
      <c r="P28" s="25">
        <f t="shared" si="42"/>
        <v>-4.3999999999186903</v>
      </c>
      <c r="Q28" s="26">
        <f t="shared" si="43"/>
        <v>-9.9999999974897905E-2</v>
      </c>
      <c r="R28" s="41"/>
      <c r="S28" s="21">
        <f t="shared" si="13"/>
        <v>44758</v>
      </c>
      <c r="T28" s="42">
        <v>10.7438</v>
      </c>
      <c r="U28" s="43">
        <f t="shared" si="44"/>
        <v>9.99999999997669E-2</v>
      </c>
      <c r="V28" s="44">
        <f t="shared" si="45"/>
        <v>-3.9999999999995599</v>
      </c>
      <c r="W28" s="45">
        <f t="shared" si="46"/>
        <v>-4.9999999999883499E-2</v>
      </c>
      <c r="X28" s="29">
        <v>15.4757</v>
      </c>
      <c r="Y28" s="43">
        <f t="shared" si="47"/>
        <v>-0.19999999999953399</v>
      </c>
      <c r="Z28" s="44">
        <f t="shared" si="48"/>
        <v>-4.09999999999933</v>
      </c>
      <c r="AA28" s="45">
        <f t="shared" si="49"/>
        <v>-9.99999999997669E-2</v>
      </c>
      <c r="AB28" s="49">
        <v>10.9793</v>
      </c>
      <c r="AC28" s="43">
        <f t="shared" si="50"/>
        <v>0.19999999999953399</v>
      </c>
      <c r="AD28" s="44">
        <f t="shared" si="51"/>
        <v>-2.4999999999995</v>
      </c>
      <c r="AE28" s="45">
        <f t="shared" si="52"/>
        <v>9.99999999997669E-2</v>
      </c>
      <c r="AF28" s="50">
        <v>80062</v>
      </c>
      <c r="AG28" s="58">
        <f t="shared" si="0"/>
        <v>136</v>
      </c>
      <c r="AH28" s="59"/>
      <c r="AI28" s="60"/>
      <c r="AJ28" s="61"/>
      <c r="AK28" s="62"/>
      <c r="AL28" s="60"/>
      <c r="AM28" s="64"/>
    </row>
    <row r="29" spans="1:48">
      <c r="A29" s="21">
        <v>44762</v>
      </c>
      <c r="B29" s="22">
        <v>791.46479999999997</v>
      </c>
      <c r="C29" s="27">
        <v>6.6307999999999998</v>
      </c>
      <c r="D29" s="23">
        <f t="shared" si="23"/>
        <v>798.09559999999999</v>
      </c>
      <c r="E29" s="24">
        <f t="shared" si="35"/>
        <v>0.10000000008858501</v>
      </c>
      <c r="F29" s="25">
        <f t="shared" si="36"/>
        <v>-4.0000000000191003</v>
      </c>
      <c r="G29" s="26">
        <f t="shared" si="37"/>
        <v>2.5000000022146199E-2</v>
      </c>
      <c r="H29" s="6">
        <v>7.4696999999999996</v>
      </c>
      <c r="I29" s="35">
        <f t="shared" si="27"/>
        <v>798.93449999999996</v>
      </c>
      <c r="J29" s="24">
        <f t="shared" si="38"/>
        <v>9.9999999974897905E-2</v>
      </c>
      <c r="K29" s="25">
        <f t="shared" si="39"/>
        <v>-3.9000000000442001</v>
      </c>
      <c r="L29" s="26">
        <f t="shared" si="40"/>
        <v>2.49999999937245E-2</v>
      </c>
      <c r="M29" s="6">
        <v>6.5171999999999999</v>
      </c>
      <c r="N29" s="35">
        <f t="shared" si="31"/>
        <v>797.98199999999997</v>
      </c>
      <c r="O29" s="24">
        <f t="shared" si="41"/>
        <v>0.199999999949796</v>
      </c>
      <c r="P29" s="25">
        <f t="shared" si="42"/>
        <v>-4.1999999999688997</v>
      </c>
      <c r="Q29" s="26">
        <f t="shared" si="43"/>
        <v>4.9999999987449001E-2</v>
      </c>
      <c r="R29" s="41"/>
      <c r="S29" s="21">
        <f t="shared" si="13"/>
        <v>44762</v>
      </c>
      <c r="T29" s="42">
        <v>10.7439</v>
      </c>
      <c r="U29" s="43">
        <f t="shared" si="44"/>
        <v>9.99999999997669E-2</v>
      </c>
      <c r="V29" s="44">
        <f t="shared" si="45"/>
        <v>-3.8999999999997899</v>
      </c>
      <c r="W29" s="45">
        <f t="shared" si="46"/>
        <v>-2.4999999999941701E-2</v>
      </c>
      <c r="X29" s="29">
        <v>15.476000000000001</v>
      </c>
      <c r="Y29" s="43">
        <f t="shared" si="47"/>
        <v>0.30000000000107702</v>
      </c>
      <c r="Z29" s="44">
        <f t="shared" si="48"/>
        <v>-3.7999999999982501</v>
      </c>
      <c r="AA29" s="45">
        <f t="shared" si="49"/>
        <v>7.5000000000269296E-2</v>
      </c>
      <c r="AB29" s="49">
        <v>10.9794</v>
      </c>
      <c r="AC29" s="43">
        <f t="shared" si="50"/>
        <v>9.99999999997669E-2</v>
      </c>
      <c r="AD29" s="44">
        <f t="shared" si="51"/>
        <v>-2.3999999999997401</v>
      </c>
      <c r="AE29" s="45">
        <f t="shared" si="52"/>
        <v>2.4999999999941701E-2</v>
      </c>
      <c r="AF29" s="50">
        <v>80072</v>
      </c>
      <c r="AG29" s="58">
        <f t="shared" si="0"/>
        <v>146</v>
      </c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F29-F10</f>
        <v>-3.1000000000176402</v>
      </c>
      <c r="F30" s="33">
        <f>K29-K10</f>
        <v>-3.1000000000176402</v>
      </c>
      <c r="G30" s="33">
        <f>P29-P10</f>
        <v>-2.79999999997926</v>
      </c>
      <c r="H30" s="33">
        <f>F29</f>
        <v>-4.0000000000191003</v>
      </c>
      <c r="I30" s="66">
        <f>K29</f>
        <v>-3.9000000000442001</v>
      </c>
      <c r="J30" s="65">
        <f>P29</f>
        <v>-4.1999999999688997</v>
      </c>
      <c r="K30" s="33">
        <f>(P29-P10)/30</f>
        <v>-9.3333333332642099E-2</v>
      </c>
      <c r="L30" s="26"/>
      <c r="N30" s="35"/>
      <c r="O30" s="24"/>
      <c r="P30" s="25"/>
      <c r="Q30" s="26"/>
      <c r="R30" s="41"/>
      <c r="S30" s="21"/>
      <c r="T30" s="42"/>
      <c r="U30" s="65">
        <f>V29-V10</f>
        <v>-3.0999999999998802</v>
      </c>
      <c r="V30" s="33">
        <f>Z29-Z10</f>
        <v>-2.8999999999985699</v>
      </c>
      <c r="W30" s="33">
        <f>AD29-AD10</f>
        <v>-1.50000000000006</v>
      </c>
      <c r="X30" s="33">
        <f>V29</f>
        <v>-3.8999999999997899</v>
      </c>
      <c r="Y30" s="65">
        <f>Z29</f>
        <v>-3.7999999999982501</v>
      </c>
      <c r="Z30" s="33">
        <f>AD29</f>
        <v>-2.3999999999997401</v>
      </c>
      <c r="AA30" s="33">
        <f>(V29-V10)/30</f>
        <v>-0.103333333333329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>
        <v>3</v>
      </c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O25" workbookViewId="0">
      <selection activeCell="T31" sqref="T31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60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44735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44735</v>
      </c>
      <c r="B6" s="22">
        <v>791.46479999999997</v>
      </c>
      <c r="C6" s="27">
        <v>6.3425000000000002</v>
      </c>
      <c r="D6" s="23">
        <f t="shared" ref="D6:D28" si="0">C6+B6</f>
        <v>797.80730000000005</v>
      </c>
      <c r="E6" s="24">
        <v>0</v>
      </c>
      <c r="F6" s="25">
        <v>0</v>
      </c>
      <c r="G6" s="26">
        <v>0</v>
      </c>
      <c r="H6" s="6">
        <v>7.1341000000000001</v>
      </c>
      <c r="I6" s="35">
        <f t="shared" ref="I6:I28" si="1">H6+B6</f>
        <v>798.59889999999996</v>
      </c>
      <c r="J6" s="24">
        <v>0</v>
      </c>
      <c r="K6" s="25">
        <v>0</v>
      </c>
      <c r="L6" s="26">
        <v>0</v>
      </c>
      <c r="M6" s="6">
        <v>6.4142000000000001</v>
      </c>
      <c r="N6" s="35">
        <f t="shared" ref="N6:N28" si="2">M6+B6</f>
        <v>797.87900000000002</v>
      </c>
      <c r="O6" s="24">
        <v>0</v>
      </c>
      <c r="P6" s="25">
        <v>0</v>
      </c>
      <c r="Q6" s="26">
        <v>0</v>
      </c>
      <c r="R6" s="41"/>
      <c r="S6" s="21">
        <f t="shared" ref="S6:S28" si="3">A6</f>
        <v>44735</v>
      </c>
      <c r="T6" s="42">
        <v>10.474299999999999</v>
      </c>
      <c r="U6" s="43">
        <v>0</v>
      </c>
      <c r="V6" s="44">
        <v>0</v>
      </c>
      <c r="W6" s="45">
        <f>U6/(S6-S11)</f>
        <v>0</v>
      </c>
      <c r="X6" s="29">
        <v>15.5237</v>
      </c>
      <c r="Y6" s="43">
        <v>0</v>
      </c>
      <c r="Z6" s="44">
        <v>0</v>
      </c>
      <c r="AA6" s="45">
        <v>0</v>
      </c>
      <c r="AB6" s="49">
        <v>10.947800000000001</v>
      </c>
      <c r="AC6" s="43">
        <v>0</v>
      </c>
      <c r="AD6" s="44">
        <v>0</v>
      </c>
      <c r="AE6" s="45">
        <v>0</v>
      </c>
      <c r="AF6" s="50">
        <v>79960</v>
      </c>
      <c r="AG6" s="58">
        <f>AF6-79951</f>
        <v>9</v>
      </c>
      <c r="AH6" s="59"/>
      <c r="AI6" s="60"/>
      <c r="AJ6" s="61"/>
      <c r="AK6" s="62"/>
      <c r="AL6" s="52"/>
      <c r="AM6" s="52"/>
    </row>
    <row r="7" spans="1:48">
      <c r="A7" s="21">
        <v>44736</v>
      </c>
      <c r="B7" s="22">
        <v>791.46479999999997</v>
      </c>
      <c r="C7" s="27">
        <v>6.3426</v>
      </c>
      <c r="D7" s="23">
        <f t="shared" si="0"/>
        <v>797.80740000000003</v>
      </c>
      <c r="E7" s="24">
        <f t="shared" ref="E7:E28" si="4">(D7-D6)*1000</f>
        <v>9.9999999974897905E-2</v>
      </c>
      <c r="F7" s="25">
        <f t="shared" ref="F7:F28" si="5">F6+E7</f>
        <v>9.9999999974897905E-2</v>
      </c>
      <c r="G7" s="26">
        <f t="shared" ref="G7:G28" si="6">E7/(A7-A6)</f>
        <v>9.9999999974897905E-2</v>
      </c>
      <c r="H7" s="6">
        <v>7.1338999999999997</v>
      </c>
      <c r="I7" s="35">
        <f t="shared" si="1"/>
        <v>798.59870000000001</v>
      </c>
      <c r="J7" s="24">
        <f t="shared" ref="J7:J28" si="7">(I7-I6)*1000</f>
        <v>-0.199999999949796</v>
      </c>
      <c r="K7" s="25">
        <f t="shared" ref="K7:K28" si="8">K6+J7</f>
        <v>-0.199999999949796</v>
      </c>
      <c r="L7" s="26">
        <f t="shared" ref="L7:L28" si="9">J7/(A7-A6)</f>
        <v>-0.199999999949796</v>
      </c>
      <c r="M7" s="6">
        <v>6.4139999999999997</v>
      </c>
      <c r="N7" s="35">
        <f t="shared" si="2"/>
        <v>797.87879999999996</v>
      </c>
      <c r="O7" s="24">
        <f t="shared" ref="O7:O28" si="10">(N7-N6)*1000</f>
        <v>-0.20000000006348301</v>
      </c>
      <c r="P7" s="25">
        <f t="shared" ref="P7:P28" si="11">P6+O7</f>
        <v>-0.20000000006348301</v>
      </c>
      <c r="Q7" s="26">
        <f t="shared" ref="Q7:Q28" si="12">O7/(A7-A6)</f>
        <v>-0.20000000006348301</v>
      </c>
      <c r="R7" s="41"/>
      <c r="S7" s="21">
        <f t="shared" si="3"/>
        <v>44736</v>
      </c>
      <c r="T7" s="42">
        <v>10.4741</v>
      </c>
      <c r="U7" s="43">
        <f t="shared" ref="U7:U28" si="13">(T7-T6)*1000</f>
        <v>-0.19999999999953399</v>
      </c>
      <c r="V7" s="44">
        <f t="shared" ref="V7:V28" si="14">V6+U7</f>
        <v>-0.19999999999953399</v>
      </c>
      <c r="W7" s="45">
        <f t="shared" ref="W7:W28" si="15">U7/(S6-S7)</f>
        <v>0.19999999999953399</v>
      </c>
      <c r="X7" s="29">
        <v>15.5235</v>
      </c>
      <c r="Y7" s="43">
        <f t="shared" ref="Y7:Y28" si="16">(X7-X6)*1000</f>
        <v>-0.19999999999953399</v>
      </c>
      <c r="Z7" s="44">
        <f t="shared" ref="Z7:Z28" si="17">Z6+Y7</f>
        <v>-0.19999999999953399</v>
      </c>
      <c r="AA7" s="45">
        <f t="shared" ref="AA7:AA28" si="18">Y7/(S7-S6)</f>
        <v>-0.19999999999953399</v>
      </c>
      <c r="AB7" s="49">
        <v>10.9472</v>
      </c>
      <c r="AC7" s="43">
        <f t="shared" ref="AC7:AC28" si="19">(AB7-AB6)*1000</f>
        <v>-0.60000000000037801</v>
      </c>
      <c r="AD7" s="44">
        <f t="shared" ref="AD7:AD28" si="20">AD6+AC7</f>
        <v>-0.60000000000037801</v>
      </c>
      <c r="AE7" s="45">
        <f t="shared" ref="AE7:AE28" si="21">AC7/(S7-S6)</f>
        <v>-0.60000000000037801</v>
      </c>
      <c r="AF7" s="50">
        <v>79963</v>
      </c>
      <c r="AG7" s="58">
        <f t="shared" ref="AG7:AG28" si="22">AF7-79951</f>
        <v>12</v>
      </c>
      <c r="AH7" s="59"/>
      <c r="AI7" s="60"/>
      <c r="AJ7" s="61"/>
      <c r="AK7" s="62"/>
      <c r="AL7" s="52"/>
      <c r="AM7" s="52"/>
    </row>
    <row r="8" spans="1:48">
      <c r="A8" s="21">
        <v>44737</v>
      </c>
      <c r="B8" s="22">
        <v>791.46479999999997</v>
      </c>
      <c r="C8" s="27">
        <v>6.3426999999999998</v>
      </c>
      <c r="D8" s="23">
        <f t="shared" si="0"/>
        <v>797.8075</v>
      </c>
      <c r="E8" s="24">
        <f t="shared" si="4"/>
        <v>0.10000000008858501</v>
      </c>
      <c r="F8" s="25">
        <f t="shared" si="5"/>
        <v>0.20000000006348301</v>
      </c>
      <c r="G8" s="26">
        <f t="shared" si="6"/>
        <v>0.10000000008858501</v>
      </c>
      <c r="H8" s="6">
        <v>7.1340000000000003</v>
      </c>
      <c r="I8" s="35">
        <f t="shared" si="1"/>
        <v>798.59879999999998</v>
      </c>
      <c r="J8" s="24">
        <f t="shared" si="7"/>
        <v>9.9999999974897905E-2</v>
      </c>
      <c r="K8" s="25">
        <f t="shared" si="8"/>
        <v>-9.9999999974897905E-2</v>
      </c>
      <c r="L8" s="26">
        <f t="shared" si="9"/>
        <v>9.9999999974897905E-2</v>
      </c>
      <c r="M8" s="6">
        <v>6.4141000000000004</v>
      </c>
      <c r="N8" s="35">
        <f t="shared" si="2"/>
        <v>797.87890000000004</v>
      </c>
      <c r="O8" s="24">
        <f t="shared" si="10"/>
        <v>9.9999999974897905E-2</v>
      </c>
      <c r="P8" s="25">
        <f t="shared" si="11"/>
        <v>-0.10000000008858501</v>
      </c>
      <c r="Q8" s="26">
        <f t="shared" si="12"/>
        <v>9.9999999974897905E-2</v>
      </c>
      <c r="R8" s="41"/>
      <c r="S8" s="21">
        <f t="shared" si="3"/>
        <v>44737</v>
      </c>
      <c r="T8" s="42">
        <v>10.474</v>
      </c>
      <c r="U8" s="43">
        <f t="shared" si="13"/>
        <v>-9.99999999997669E-2</v>
      </c>
      <c r="V8" s="44">
        <f t="shared" si="14"/>
        <v>-0.29999999999930099</v>
      </c>
      <c r="W8" s="45">
        <f t="shared" si="15"/>
        <v>9.99999999997669E-2</v>
      </c>
      <c r="X8" s="29">
        <v>15.523899999999999</v>
      </c>
      <c r="Y8" s="43">
        <f t="shared" si="16"/>
        <v>0.39999999999906799</v>
      </c>
      <c r="Z8" s="44">
        <f t="shared" si="17"/>
        <v>0.19999999999953399</v>
      </c>
      <c r="AA8" s="45">
        <f t="shared" si="18"/>
        <v>0.39999999999906799</v>
      </c>
      <c r="AB8" s="49">
        <v>10.946999999999999</v>
      </c>
      <c r="AC8" s="43">
        <f t="shared" si="19"/>
        <v>-0.20000000000130999</v>
      </c>
      <c r="AD8" s="44">
        <f t="shared" si="20"/>
        <v>-0.80000000000168803</v>
      </c>
      <c r="AE8" s="45">
        <f t="shared" si="21"/>
        <v>-0.20000000000130999</v>
      </c>
      <c r="AF8" s="50">
        <v>79966</v>
      </c>
      <c r="AG8" s="58">
        <f t="shared" si="22"/>
        <v>15</v>
      </c>
      <c r="AH8" s="59"/>
      <c r="AI8" s="60"/>
      <c r="AJ8" s="61"/>
      <c r="AK8" s="62"/>
      <c r="AL8" s="52"/>
      <c r="AM8" s="52"/>
    </row>
    <row r="9" spans="1:48">
      <c r="A9" s="21">
        <v>44738</v>
      </c>
      <c r="B9" s="22">
        <v>791.46479999999997</v>
      </c>
      <c r="C9" s="27">
        <v>6.3422000000000001</v>
      </c>
      <c r="D9" s="23">
        <f t="shared" si="0"/>
        <v>797.80700000000002</v>
      </c>
      <c r="E9" s="24">
        <f t="shared" si="4"/>
        <v>-0.49999999998817701</v>
      </c>
      <c r="F9" s="25">
        <f t="shared" si="5"/>
        <v>-0.29999999992469401</v>
      </c>
      <c r="G9" s="26">
        <f t="shared" si="6"/>
        <v>-0.49999999998817701</v>
      </c>
      <c r="H9" s="6">
        <v>7.1334999999999997</v>
      </c>
      <c r="I9" s="35">
        <f t="shared" si="1"/>
        <v>798.59829999999999</v>
      </c>
      <c r="J9" s="24">
        <f t="shared" si="7"/>
        <v>-0.49999999998817701</v>
      </c>
      <c r="K9" s="25">
        <f t="shared" si="8"/>
        <v>-0.59999999996307496</v>
      </c>
      <c r="L9" s="26">
        <f t="shared" si="9"/>
        <v>-0.49999999998817701</v>
      </c>
      <c r="M9" s="6">
        <v>6.4135999999999997</v>
      </c>
      <c r="N9" s="35">
        <f t="shared" si="2"/>
        <v>797.87840000000006</v>
      </c>
      <c r="O9" s="24">
        <f t="shared" si="10"/>
        <v>-0.49999999998817701</v>
      </c>
      <c r="P9" s="25">
        <f t="shared" si="11"/>
        <v>-0.60000000007676102</v>
      </c>
      <c r="Q9" s="26">
        <f t="shared" si="12"/>
        <v>-0.49999999998817701</v>
      </c>
      <c r="R9" s="41"/>
      <c r="S9" s="21">
        <f t="shared" si="3"/>
        <v>44738</v>
      </c>
      <c r="T9" s="42">
        <v>10.473699999999999</v>
      </c>
      <c r="U9" s="43">
        <f t="shared" si="13"/>
        <v>-0.30000000000107702</v>
      </c>
      <c r="V9" s="44">
        <f t="shared" si="14"/>
        <v>-0.60000000000037801</v>
      </c>
      <c r="W9" s="45">
        <f t="shared" si="15"/>
        <v>0.30000000000107702</v>
      </c>
      <c r="X9" s="29">
        <v>15.523400000000001</v>
      </c>
      <c r="Y9" s="43">
        <f t="shared" si="16"/>
        <v>-0.49999999999883499</v>
      </c>
      <c r="Z9" s="44">
        <f t="shared" si="17"/>
        <v>-0.29999999999930099</v>
      </c>
      <c r="AA9" s="45">
        <f t="shared" si="18"/>
        <v>-0.49999999999883499</v>
      </c>
      <c r="AB9" s="49">
        <v>10.9468</v>
      </c>
      <c r="AC9" s="43">
        <f t="shared" si="19"/>
        <v>-0.19999999999953399</v>
      </c>
      <c r="AD9" s="44">
        <f t="shared" si="20"/>
        <v>-1.0000000000012199</v>
      </c>
      <c r="AE9" s="45">
        <f t="shared" si="21"/>
        <v>-0.19999999999953399</v>
      </c>
      <c r="AF9" s="50">
        <v>79969</v>
      </c>
      <c r="AG9" s="58">
        <f t="shared" si="22"/>
        <v>18</v>
      </c>
      <c r="AH9" s="61"/>
      <c r="AI9" s="60"/>
      <c r="AJ9"/>
      <c r="AK9"/>
      <c r="AL9"/>
      <c r="AM9"/>
    </row>
    <row r="10" spans="1:48">
      <c r="A10" s="21">
        <v>44739</v>
      </c>
      <c r="B10" s="22">
        <v>791.46479999999997</v>
      </c>
      <c r="C10" s="27">
        <v>6.3419999999999996</v>
      </c>
      <c r="D10" s="23">
        <f t="shared" si="0"/>
        <v>797.80679999999995</v>
      </c>
      <c r="E10" s="24">
        <f t="shared" si="4"/>
        <v>-0.20000000006348301</v>
      </c>
      <c r="F10" s="25">
        <f t="shared" si="5"/>
        <v>-0.49999999998817701</v>
      </c>
      <c r="G10" s="26">
        <f t="shared" si="6"/>
        <v>-0.20000000006348301</v>
      </c>
      <c r="H10" s="6">
        <v>7.1333000000000002</v>
      </c>
      <c r="I10" s="35">
        <f t="shared" si="1"/>
        <v>798.59810000000004</v>
      </c>
      <c r="J10" s="24">
        <f t="shared" si="7"/>
        <v>-0.20000000006348301</v>
      </c>
      <c r="K10" s="25">
        <f t="shared" si="8"/>
        <v>-0.80000000002655702</v>
      </c>
      <c r="L10" s="26">
        <f t="shared" si="9"/>
        <v>-0.20000000006348301</v>
      </c>
      <c r="M10" s="6">
        <v>6.4134000000000002</v>
      </c>
      <c r="N10" s="35">
        <f t="shared" si="2"/>
        <v>797.87819999999999</v>
      </c>
      <c r="O10" s="24">
        <f t="shared" si="10"/>
        <v>-0.199999999949796</v>
      </c>
      <c r="P10" s="25">
        <f t="shared" si="11"/>
        <v>-0.80000000002655702</v>
      </c>
      <c r="Q10" s="26">
        <f t="shared" si="12"/>
        <v>-0.199999999949796</v>
      </c>
      <c r="R10" s="41"/>
      <c r="S10" s="21">
        <f t="shared" si="3"/>
        <v>44739</v>
      </c>
      <c r="T10" s="42">
        <v>10.473800000000001</v>
      </c>
      <c r="U10" s="43">
        <f t="shared" si="13"/>
        <v>0.10000000000154299</v>
      </c>
      <c r="V10" s="44">
        <f t="shared" si="14"/>
        <v>-0.49999999999883499</v>
      </c>
      <c r="W10" s="45">
        <f t="shared" si="15"/>
        <v>-0.10000000000154299</v>
      </c>
      <c r="X10" s="29">
        <v>15.523199999999999</v>
      </c>
      <c r="Y10" s="43">
        <f t="shared" si="16"/>
        <v>-0.20000000000130999</v>
      </c>
      <c r="Z10" s="44">
        <f t="shared" si="17"/>
        <v>-0.50000000000061096</v>
      </c>
      <c r="AA10" s="45">
        <f t="shared" si="18"/>
        <v>-0.20000000000130999</v>
      </c>
      <c r="AB10" s="49">
        <v>10.9467</v>
      </c>
      <c r="AC10" s="43">
        <f t="shared" si="19"/>
        <v>-9.99999999997669E-2</v>
      </c>
      <c r="AD10" s="44">
        <f t="shared" si="20"/>
        <v>-1.10000000000099</v>
      </c>
      <c r="AE10" s="45">
        <f t="shared" si="21"/>
        <v>-9.99999999997669E-2</v>
      </c>
      <c r="AF10" s="50">
        <v>79972</v>
      </c>
      <c r="AG10" s="58">
        <f t="shared" si="22"/>
        <v>21</v>
      </c>
      <c r="AH10" s="59"/>
      <c r="AI10" s="60"/>
      <c r="AJ10" s="61"/>
      <c r="AK10" s="62"/>
      <c r="AL10" s="52"/>
      <c r="AM10" s="52"/>
    </row>
    <row r="11" spans="1:48">
      <c r="A11" s="21">
        <v>44740</v>
      </c>
      <c r="B11" s="22">
        <v>791.46479999999997</v>
      </c>
      <c r="C11" s="27">
        <v>6.3418000000000001</v>
      </c>
      <c r="D11" s="23">
        <f t="shared" si="0"/>
        <v>797.8066</v>
      </c>
      <c r="E11" s="24">
        <f t="shared" si="4"/>
        <v>-0.199999999949796</v>
      </c>
      <c r="F11" s="25">
        <f t="shared" si="5"/>
        <v>-0.69999999993797202</v>
      </c>
      <c r="G11" s="26">
        <f t="shared" si="6"/>
        <v>-0.199999999949796</v>
      </c>
      <c r="H11" s="6">
        <v>7.1334999999999997</v>
      </c>
      <c r="I11" s="35">
        <f t="shared" si="1"/>
        <v>798.59829999999999</v>
      </c>
      <c r="J11" s="24">
        <f t="shared" si="7"/>
        <v>0.20000000006348301</v>
      </c>
      <c r="K11" s="25">
        <f t="shared" si="8"/>
        <v>-0.59999999996307496</v>
      </c>
      <c r="L11" s="26">
        <f t="shared" si="9"/>
        <v>0.20000000006348301</v>
      </c>
      <c r="M11" s="6">
        <v>6.4142999999999999</v>
      </c>
      <c r="N11" s="35">
        <f t="shared" si="2"/>
        <v>797.87909999999999</v>
      </c>
      <c r="O11" s="24">
        <f t="shared" si="10"/>
        <v>0.90000000000145497</v>
      </c>
      <c r="P11" s="25">
        <f t="shared" si="11"/>
        <v>9.9999999974897905E-2</v>
      </c>
      <c r="Q11" s="26">
        <f t="shared" si="12"/>
        <v>0.90000000000145497</v>
      </c>
      <c r="R11" s="41"/>
      <c r="S11" s="21">
        <f t="shared" si="3"/>
        <v>44740</v>
      </c>
      <c r="T11" s="42">
        <v>10.473599999999999</v>
      </c>
      <c r="U11" s="43">
        <f t="shared" si="13"/>
        <v>-0.20000000000130999</v>
      </c>
      <c r="V11" s="44">
        <f t="shared" si="14"/>
        <v>-0.70000000000014495</v>
      </c>
      <c r="W11" s="45">
        <f t="shared" si="15"/>
        <v>0.20000000000130999</v>
      </c>
      <c r="X11" s="29">
        <v>15.523099999999999</v>
      </c>
      <c r="Y11" s="43">
        <f t="shared" si="16"/>
        <v>-9.99999999997669E-2</v>
      </c>
      <c r="Z11" s="44">
        <f t="shared" si="17"/>
        <v>-0.60000000000037801</v>
      </c>
      <c r="AA11" s="45">
        <f t="shared" si="18"/>
        <v>-9.99999999997669E-2</v>
      </c>
      <c r="AB11" s="49">
        <v>10.946400000000001</v>
      </c>
      <c r="AC11" s="43">
        <f t="shared" si="19"/>
        <v>-0.29999999999930099</v>
      </c>
      <c r="AD11" s="44">
        <f t="shared" si="20"/>
        <v>-1.4000000000002899</v>
      </c>
      <c r="AE11" s="45">
        <f t="shared" si="21"/>
        <v>-0.29999999999930099</v>
      </c>
      <c r="AF11" s="50">
        <v>79975</v>
      </c>
      <c r="AG11" s="58">
        <f t="shared" si="22"/>
        <v>24</v>
      </c>
      <c r="AH11" s="61"/>
      <c r="AI11" s="60"/>
      <c r="AJ11"/>
      <c r="AK11"/>
      <c r="AL11"/>
      <c r="AM11"/>
    </row>
    <row r="12" spans="1:48">
      <c r="A12" s="21">
        <v>44741</v>
      </c>
      <c r="B12" s="22">
        <v>791.46479999999997</v>
      </c>
      <c r="C12" s="27">
        <v>6.3419999999999996</v>
      </c>
      <c r="D12" s="23">
        <f t="shared" si="0"/>
        <v>797.80679999999995</v>
      </c>
      <c r="E12" s="24">
        <f t="shared" si="4"/>
        <v>0.199999999949796</v>
      </c>
      <c r="F12" s="25">
        <f t="shared" si="5"/>
        <v>-0.49999999998817701</v>
      </c>
      <c r="G12" s="26">
        <f t="shared" si="6"/>
        <v>0.199999999949796</v>
      </c>
      <c r="H12" s="6">
        <v>7.1329000000000002</v>
      </c>
      <c r="I12" s="35">
        <f t="shared" si="1"/>
        <v>798.59770000000003</v>
      </c>
      <c r="J12" s="24">
        <f t="shared" si="7"/>
        <v>-0.60000000007676102</v>
      </c>
      <c r="K12" s="25">
        <f t="shared" si="8"/>
        <v>-1.2000000000398401</v>
      </c>
      <c r="L12" s="26">
        <f t="shared" si="9"/>
        <v>-0.60000000007676102</v>
      </c>
      <c r="M12" s="6">
        <v>6.4130000000000003</v>
      </c>
      <c r="N12" s="35">
        <f t="shared" si="2"/>
        <v>797.87779999999998</v>
      </c>
      <c r="O12" s="24">
        <f t="shared" si="10"/>
        <v>-1.30000000001473</v>
      </c>
      <c r="P12" s="25">
        <f t="shared" si="11"/>
        <v>-1.2000000000398401</v>
      </c>
      <c r="Q12" s="26">
        <f t="shared" si="12"/>
        <v>-1.30000000001473</v>
      </c>
      <c r="R12" s="41"/>
      <c r="S12" s="21">
        <f t="shared" si="3"/>
        <v>44741</v>
      </c>
      <c r="T12" s="42">
        <v>10.4735</v>
      </c>
      <c r="U12" s="43">
        <f t="shared" si="13"/>
        <v>-9.99999999997669E-2</v>
      </c>
      <c r="V12" s="44">
        <f t="shared" si="14"/>
        <v>-0.799999999999912</v>
      </c>
      <c r="W12" s="45">
        <f t="shared" si="15"/>
        <v>9.99999999997669E-2</v>
      </c>
      <c r="X12" s="29">
        <v>15.5228</v>
      </c>
      <c r="Y12" s="43">
        <f t="shared" si="16"/>
        <v>-0.29999999999930099</v>
      </c>
      <c r="Z12" s="44">
        <f t="shared" si="17"/>
        <v>-0.89999999999967895</v>
      </c>
      <c r="AA12" s="45">
        <f t="shared" si="18"/>
        <v>-0.29999999999930099</v>
      </c>
      <c r="AB12" s="49">
        <v>10.9465</v>
      </c>
      <c r="AC12" s="43">
        <f t="shared" si="19"/>
        <v>9.99999999997669E-2</v>
      </c>
      <c r="AD12" s="44">
        <f t="shared" si="20"/>
        <v>-1.3000000000005201</v>
      </c>
      <c r="AE12" s="45">
        <f t="shared" si="21"/>
        <v>9.99999999997669E-2</v>
      </c>
      <c r="AF12" s="50">
        <v>79978</v>
      </c>
      <c r="AG12" s="58">
        <f t="shared" si="22"/>
        <v>27</v>
      </c>
      <c r="AH12" s="59"/>
      <c r="AI12" s="60"/>
      <c r="AJ12"/>
      <c r="AK12"/>
      <c r="AL12"/>
      <c r="AM12"/>
    </row>
    <row r="13" spans="1:48">
      <c r="A13" s="21">
        <v>44742</v>
      </c>
      <c r="B13" s="22">
        <v>791.46479999999997</v>
      </c>
      <c r="C13" s="27">
        <v>6.3414000000000001</v>
      </c>
      <c r="D13" s="23">
        <f t="shared" si="0"/>
        <v>797.80619999999999</v>
      </c>
      <c r="E13" s="24">
        <f t="shared" si="4"/>
        <v>-0.59999999996307496</v>
      </c>
      <c r="F13" s="25">
        <f t="shared" si="5"/>
        <v>-1.09999999995125</v>
      </c>
      <c r="G13" s="26">
        <f t="shared" si="6"/>
        <v>-0.59999999996307496</v>
      </c>
      <c r="H13" s="6">
        <v>7.1326999999999998</v>
      </c>
      <c r="I13" s="35">
        <f t="shared" si="1"/>
        <v>798.59749999999997</v>
      </c>
      <c r="J13" s="24">
        <f t="shared" si="7"/>
        <v>-0.199999999949796</v>
      </c>
      <c r="K13" s="25">
        <f t="shared" si="8"/>
        <v>-1.39999999998963</v>
      </c>
      <c r="L13" s="26">
        <f t="shared" si="9"/>
        <v>-0.199999999949796</v>
      </c>
      <c r="M13" s="6">
        <v>6.4127999999999998</v>
      </c>
      <c r="N13" s="35">
        <f t="shared" si="2"/>
        <v>797.87760000000003</v>
      </c>
      <c r="O13" s="24">
        <f t="shared" si="10"/>
        <v>-0.20000000006348301</v>
      </c>
      <c r="P13" s="25">
        <f t="shared" si="11"/>
        <v>-1.4000000001033199</v>
      </c>
      <c r="Q13" s="26">
        <f t="shared" si="12"/>
        <v>-0.20000000006348301</v>
      </c>
      <c r="R13" s="41"/>
      <c r="S13" s="21">
        <f t="shared" si="3"/>
        <v>44742</v>
      </c>
      <c r="T13" s="42">
        <v>10.4734</v>
      </c>
      <c r="U13" s="43">
        <f t="shared" si="13"/>
        <v>-9.99999999997669E-2</v>
      </c>
      <c r="V13" s="44">
        <f t="shared" si="14"/>
        <v>-0.89999999999967895</v>
      </c>
      <c r="W13" s="45">
        <f t="shared" si="15"/>
        <v>9.99999999997669E-2</v>
      </c>
      <c r="X13" s="29">
        <v>15.522600000000001</v>
      </c>
      <c r="Y13" s="43">
        <f t="shared" si="16"/>
        <v>-0.19999999999953399</v>
      </c>
      <c r="Z13" s="44">
        <f t="shared" si="17"/>
        <v>-1.0999999999992101</v>
      </c>
      <c r="AA13" s="45">
        <f t="shared" si="18"/>
        <v>-0.19999999999953399</v>
      </c>
      <c r="AB13" s="49">
        <v>10.946</v>
      </c>
      <c r="AC13" s="43">
        <f t="shared" si="19"/>
        <v>-0.50000000000061096</v>
      </c>
      <c r="AD13" s="44">
        <f t="shared" si="20"/>
        <v>-1.80000000000113</v>
      </c>
      <c r="AE13" s="45">
        <f t="shared" si="21"/>
        <v>-0.50000000000061096</v>
      </c>
      <c r="AF13" s="50">
        <v>79981</v>
      </c>
      <c r="AG13" s="58">
        <f t="shared" si="22"/>
        <v>30</v>
      </c>
      <c r="AH13" s="61"/>
      <c r="AI13" s="60"/>
      <c r="AJ13"/>
      <c r="AK13"/>
      <c r="AL13"/>
      <c r="AM13"/>
    </row>
    <row r="14" spans="1:48">
      <c r="A14" s="21">
        <v>44743</v>
      </c>
      <c r="B14" s="22">
        <v>791.46479999999997</v>
      </c>
      <c r="C14" s="27">
        <v>6.3411999999999997</v>
      </c>
      <c r="D14" s="23">
        <f t="shared" si="0"/>
        <v>797.80600000000004</v>
      </c>
      <c r="E14" s="24">
        <f t="shared" si="4"/>
        <v>-0.20000000006348301</v>
      </c>
      <c r="F14" s="25">
        <f t="shared" si="5"/>
        <v>-1.30000000001473</v>
      </c>
      <c r="G14" s="26">
        <f t="shared" si="6"/>
        <v>-0.20000000006348301</v>
      </c>
      <c r="H14" s="6">
        <v>7.1325000000000003</v>
      </c>
      <c r="I14" s="35">
        <f t="shared" si="1"/>
        <v>798.59730000000002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6.4131</v>
      </c>
      <c r="N14" s="35">
        <f t="shared" si="2"/>
        <v>797.87789999999995</v>
      </c>
      <c r="O14" s="24">
        <f t="shared" si="10"/>
        <v>0.30000000003838101</v>
      </c>
      <c r="P14" s="25">
        <f t="shared" si="11"/>
        <v>-1.1000000000649399</v>
      </c>
      <c r="Q14" s="26">
        <f t="shared" si="12"/>
        <v>0.30000000003838101</v>
      </c>
      <c r="R14" s="41"/>
      <c r="S14" s="21">
        <f t="shared" si="3"/>
        <v>44743</v>
      </c>
      <c r="T14" s="42">
        <v>10.4732</v>
      </c>
      <c r="U14" s="43">
        <f t="shared" si="13"/>
        <v>-0.19999999999953399</v>
      </c>
      <c r="V14" s="44">
        <f t="shared" si="14"/>
        <v>-1.0999999999992101</v>
      </c>
      <c r="W14" s="45">
        <f t="shared" si="15"/>
        <v>0.19999999999953399</v>
      </c>
      <c r="X14" s="29">
        <v>15.522500000000001</v>
      </c>
      <c r="Y14" s="43">
        <f t="shared" si="16"/>
        <v>-9.99999999997669E-2</v>
      </c>
      <c r="Z14" s="44">
        <f t="shared" si="17"/>
        <v>-1.1999999999989801</v>
      </c>
      <c r="AA14" s="45">
        <f t="shared" si="18"/>
        <v>-9.99999999997669E-2</v>
      </c>
      <c r="AB14" s="49">
        <v>10.9458</v>
      </c>
      <c r="AC14" s="43">
        <f t="shared" si="19"/>
        <v>-0.19999999999953399</v>
      </c>
      <c r="AD14" s="44">
        <f t="shared" si="20"/>
        <v>-2.0000000000006701</v>
      </c>
      <c r="AE14" s="45">
        <f t="shared" si="21"/>
        <v>-0.19999999999953399</v>
      </c>
      <c r="AF14" s="50">
        <v>79984</v>
      </c>
      <c r="AG14" s="58">
        <f t="shared" si="22"/>
        <v>33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44744</v>
      </c>
      <c r="B15" s="22">
        <v>791.46479999999997</v>
      </c>
      <c r="C15" s="27">
        <v>6.3414999999999999</v>
      </c>
      <c r="D15" s="23">
        <f t="shared" si="0"/>
        <v>797.80629999999996</v>
      </c>
      <c r="E15" s="24">
        <f t="shared" si="4"/>
        <v>0.30000000003838101</v>
      </c>
      <c r="F15" s="25">
        <f t="shared" si="5"/>
        <v>-0.99999999997635303</v>
      </c>
      <c r="G15" s="26">
        <f t="shared" si="6"/>
        <v>0.30000000003838101</v>
      </c>
      <c r="H15" s="6">
        <v>7.1326000000000001</v>
      </c>
      <c r="I15" s="35">
        <f t="shared" si="1"/>
        <v>798.59739999999999</v>
      </c>
      <c r="J15" s="24">
        <f t="shared" si="7"/>
        <v>9.9999999974897905E-2</v>
      </c>
      <c r="K15" s="25">
        <f t="shared" si="8"/>
        <v>-1.4999999999645299</v>
      </c>
      <c r="L15" s="26">
        <f t="shared" si="9"/>
        <v>9.9999999974897905E-2</v>
      </c>
      <c r="M15" s="6">
        <v>6.4123999999999999</v>
      </c>
      <c r="N15" s="35">
        <f t="shared" si="2"/>
        <v>797.87720000000002</v>
      </c>
      <c r="O15" s="24">
        <f t="shared" si="10"/>
        <v>-0.69999999993797202</v>
      </c>
      <c r="P15" s="25">
        <f t="shared" si="11"/>
        <v>-1.8000000000029099</v>
      </c>
      <c r="Q15" s="26">
        <f t="shared" si="12"/>
        <v>-0.69999999993797202</v>
      </c>
      <c r="R15" s="41"/>
      <c r="S15" s="21">
        <f t="shared" si="3"/>
        <v>44744</v>
      </c>
      <c r="T15" s="42">
        <v>10.472899999999999</v>
      </c>
      <c r="U15" s="43">
        <f t="shared" si="13"/>
        <v>-0.30000000000107702</v>
      </c>
      <c r="V15" s="44">
        <f t="shared" si="14"/>
        <v>-1.4000000000002899</v>
      </c>
      <c r="W15" s="45">
        <f t="shared" si="15"/>
        <v>0.30000000000107702</v>
      </c>
      <c r="X15" s="29">
        <v>15.5222</v>
      </c>
      <c r="Y15" s="43">
        <f t="shared" si="16"/>
        <v>-0.30000000000107702</v>
      </c>
      <c r="Z15" s="44">
        <f t="shared" si="17"/>
        <v>-1.50000000000006</v>
      </c>
      <c r="AA15" s="45">
        <f t="shared" si="18"/>
        <v>-0.30000000000107702</v>
      </c>
      <c r="AB15" s="49">
        <v>10.946</v>
      </c>
      <c r="AC15" s="43">
        <f t="shared" si="19"/>
        <v>0.19999999999953399</v>
      </c>
      <c r="AD15" s="44">
        <f t="shared" si="20"/>
        <v>-1.80000000000113</v>
      </c>
      <c r="AE15" s="45">
        <f t="shared" si="21"/>
        <v>0.19999999999953399</v>
      </c>
      <c r="AF15" s="50">
        <v>79987</v>
      </c>
      <c r="AG15" s="58">
        <f t="shared" si="22"/>
        <v>36</v>
      </c>
      <c r="AH15" s="61"/>
      <c r="AI15" s="60"/>
      <c r="AJ15"/>
      <c r="AK15"/>
      <c r="AL15"/>
      <c r="AM15"/>
    </row>
    <row r="16" spans="1:48">
      <c r="A16" s="21">
        <v>44745</v>
      </c>
      <c r="B16" s="22">
        <v>791.46479999999997</v>
      </c>
      <c r="C16" s="27">
        <v>6.3407999999999998</v>
      </c>
      <c r="D16" s="23">
        <f t="shared" si="0"/>
        <v>797.80560000000003</v>
      </c>
      <c r="E16" s="24">
        <f t="shared" si="4"/>
        <v>-0.70000000005165897</v>
      </c>
      <c r="F16" s="25">
        <f t="shared" si="5"/>
        <v>-1.70000000002801</v>
      </c>
      <c r="G16" s="26">
        <f t="shared" si="6"/>
        <v>-0.70000000005165897</v>
      </c>
      <c r="H16" s="6">
        <v>7.1321000000000003</v>
      </c>
      <c r="I16" s="35">
        <f t="shared" si="1"/>
        <v>798.59690000000001</v>
      </c>
      <c r="J16" s="24">
        <f t="shared" si="7"/>
        <v>-0.49999999998817701</v>
      </c>
      <c r="K16" s="25">
        <f t="shared" si="8"/>
        <v>-1.9999999999527101</v>
      </c>
      <c r="L16" s="26">
        <f t="shared" si="9"/>
        <v>-0.49999999998817701</v>
      </c>
      <c r="M16" s="6">
        <v>6.4122000000000003</v>
      </c>
      <c r="N16" s="35">
        <f t="shared" si="2"/>
        <v>797.87699999999995</v>
      </c>
      <c r="O16" s="24">
        <f t="shared" si="10"/>
        <v>-0.20000000006348301</v>
      </c>
      <c r="P16" s="25">
        <f t="shared" si="11"/>
        <v>-2.00000000006639</v>
      </c>
      <c r="Q16" s="26">
        <f t="shared" si="12"/>
        <v>-0.20000000006348301</v>
      </c>
      <c r="R16" s="41"/>
      <c r="S16" s="21">
        <f t="shared" si="3"/>
        <v>44745</v>
      </c>
      <c r="T16" s="42">
        <v>10.4724</v>
      </c>
      <c r="U16" s="43">
        <f t="shared" si="13"/>
        <v>-0.49999999999883499</v>
      </c>
      <c r="V16" s="44">
        <f t="shared" si="14"/>
        <v>-1.8999999999991199</v>
      </c>
      <c r="W16" s="45">
        <f t="shared" si="15"/>
        <v>0.49999999999883499</v>
      </c>
      <c r="X16" s="29">
        <v>15.522</v>
      </c>
      <c r="Y16" s="43">
        <f t="shared" si="16"/>
        <v>-0.19999999999953399</v>
      </c>
      <c r="Z16" s="44">
        <f t="shared" si="17"/>
        <v>-1.6999999999995901</v>
      </c>
      <c r="AA16" s="45">
        <f t="shared" si="18"/>
        <v>-0.19999999999953399</v>
      </c>
      <c r="AB16" s="49">
        <v>10.945399999999999</v>
      </c>
      <c r="AC16" s="43">
        <f t="shared" si="19"/>
        <v>-0.60000000000037801</v>
      </c>
      <c r="AD16" s="44">
        <f t="shared" si="20"/>
        <v>-2.4000000000015098</v>
      </c>
      <c r="AE16" s="45">
        <f t="shared" si="21"/>
        <v>-0.60000000000037801</v>
      </c>
      <c r="AF16" s="50">
        <v>79990</v>
      </c>
      <c r="AG16" s="58">
        <f t="shared" si="22"/>
        <v>39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44746</v>
      </c>
      <c r="B17" s="22">
        <v>791.46479999999997</v>
      </c>
      <c r="C17" s="27">
        <v>6.3406000000000002</v>
      </c>
      <c r="D17" s="23">
        <f t="shared" si="0"/>
        <v>797.80539999999996</v>
      </c>
      <c r="E17" s="24">
        <f t="shared" si="4"/>
        <v>-0.199999999949796</v>
      </c>
      <c r="F17" s="25">
        <f t="shared" si="5"/>
        <v>-1.8999999999778101</v>
      </c>
      <c r="G17" s="26">
        <f t="shared" si="6"/>
        <v>-0.199999999949796</v>
      </c>
      <c r="H17" s="6">
        <v>7.1318999999999999</v>
      </c>
      <c r="I17" s="35">
        <f t="shared" si="1"/>
        <v>798.59670000000006</v>
      </c>
      <c r="J17" s="24">
        <f t="shared" si="7"/>
        <v>-0.20000000006348301</v>
      </c>
      <c r="K17" s="25">
        <f t="shared" si="8"/>
        <v>-2.2000000000161899</v>
      </c>
      <c r="L17" s="26">
        <f t="shared" si="9"/>
        <v>-0.20000000006348301</v>
      </c>
      <c r="M17" s="6">
        <v>6.4124999999999996</v>
      </c>
      <c r="N17" s="35">
        <f t="shared" si="2"/>
        <v>797.87729999999999</v>
      </c>
      <c r="O17" s="24">
        <f t="shared" si="10"/>
        <v>0.30000000003838101</v>
      </c>
      <c r="P17" s="25">
        <f t="shared" si="11"/>
        <v>-1.70000000002801</v>
      </c>
      <c r="Q17" s="26">
        <f t="shared" si="12"/>
        <v>0.30000000003838101</v>
      </c>
      <c r="R17" s="41"/>
      <c r="S17" s="21">
        <f t="shared" si="3"/>
        <v>44746</v>
      </c>
      <c r="T17" s="42">
        <v>10.4725</v>
      </c>
      <c r="U17" s="43">
        <f t="shared" si="13"/>
        <v>9.99999999997669E-2</v>
      </c>
      <c r="V17" s="44">
        <f t="shared" si="14"/>
        <v>-1.7999999999993599</v>
      </c>
      <c r="W17" s="45">
        <f t="shared" si="15"/>
        <v>-9.99999999997669E-2</v>
      </c>
      <c r="X17" s="29">
        <v>15.5222</v>
      </c>
      <c r="Y17" s="43">
        <f t="shared" si="16"/>
        <v>0.19999999999953399</v>
      </c>
      <c r="Z17" s="44">
        <f t="shared" si="17"/>
        <v>-1.50000000000006</v>
      </c>
      <c r="AA17" s="45">
        <f t="shared" si="18"/>
        <v>0.19999999999953399</v>
      </c>
      <c r="AB17" s="49">
        <v>10.9452</v>
      </c>
      <c r="AC17" s="43">
        <f t="shared" si="19"/>
        <v>-0.19999999999953399</v>
      </c>
      <c r="AD17" s="44">
        <f t="shared" si="20"/>
        <v>-2.6000000000010499</v>
      </c>
      <c r="AE17" s="45">
        <f t="shared" si="21"/>
        <v>-0.19999999999953399</v>
      </c>
      <c r="AF17" s="50">
        <v>79993</v>
      </c>
      <c r="AG17" s="58">
        <f t="shared" si="22"/>
        <v>42</v>
      </c>
      <c r="AH17" s="61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44747</v>
      </c>
      <c r="B18" s="22">
        <v>791.46479999999997</v>
      </c>
      <c r="C18" s="27">
        <v>6.3407</v>
      </c>
      <c r="D18" s="23">
        <f t="shared" si="0"/>
        <v>797.80550000000005</v>
      </c>
      <c r="E18" s="24">
        <f t="shared" si="4"/>
        <v>9.9999999974897905E-2</v>
      </c>
      <c r="F18" s="25">
        <f t="shared" si="5"/>
        <v>-1.8000000000029099</v>
      </c>
      <c r="G18" s="26">
        <f t="shared" si="6"/>
        <v>9.9999999974897905E-2</v>
      </c>
      <c r="H18" s="6">
        <v>7.1319999999999997</v>
      </c>
      <c r="I18" s="35">
        <f t="shared" si="1"/>
        <v>798.59680000000003</v>
      </c>
      <c r="J18" s="24">
        <f t="shared" si="7"/>
        <v>9.9999999974897905E-2</v>
      </c>
      <c r="K18" s="25">
        <f t="shared" si="8"/>
        <v>-2.1000000000412902</v>
      </c>
      <c r="L18" s="26">
        <f t="shared" si="9"/>
        <v>9.9999999974897905E-2</v>
      </c>
      <c r="M18" s="6">
        <v>6.4118000000000004</v>
      </c>
      <c r="N18" s="35">
        <f t="shared" si="2"/>
        <v>797.87660000000005</v>
      </c>
      <c r="O18" s="24">
        <f t="shared" si="10"/>
        <v>-0.70000000005165897</v>
      </c>
      <c r="P18" s="25">
        <f t="shared" si="11"/>
        <v>-2.40000000007967</v>
      </c>
      <c r="Q18" s="26">
        <f t="shared" si="12"/>
        <v>-0.70000000005165897</v>
      </c>
      <c r="R18" s="41"/>
      <c r="S18" s="21">
        <f t="shared" si="3"/>
        <v>44747</v>
      </c>
      <c r="T18" s="42">
        <v>10.472200000000001</v>
      </c>
      <c r="U18" s="43">
        <f t="shared" si="13"/>
        <v>-0.29999999999930099</v>
      </c>
      <c r="V18" s="44">
        <f t="shared" si="14"/>
        <v>-2.0999999999986598</v>
      </c>
      <c r="W18" s="45">
        <f t="shared" si="15"/>
        <v>0.29999999999930099</v>
      </c>
      <c r="X18" s="29">
        <v>15.521599999999999</v>
      </c>
      <c r="Y18" s="43">
        <f t="shared" si="16"/>
        <v>-0.60000000000037801</v>
      </c>
      <c r="Z18" s="44">
        <f t="shared" si="17"/>
        <v>-2.10000000000043</v>
      </c>
      <c r="AA18" s="45">
        <f t="shared" si="18"/>
        <v>-0.60000000000037801</v>
      </c>
      <c r="AB18" s="49">
        <v>10.946099999999999</v>
      </c>
      <c r="AC18" s="43">
        <f t="shared" si="19"/>
        <v>0.89999999999967895</v>
      </c>
      <c r="AD18" s="44">
        <f t="shared" si="20"/>
        <v>-1.70000000000137</v>
      </c>
      <c r="AE18" s="45">
        <f t="shared" si="21"/>
        <v>0.89999999999967895</v>
      </c>
      <c r="AF18" s="50">
        <v>79996</v>
      </c>
      <c r="AG18" s="58">
        <f t="shared" si="22"/>
        <v>45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44748</v>
      </c>
      <c r="B19" s="22">
        <v>791.46479999999997</v>
      </c>
      <c r="C19" s="27">
        <v>6.3401999999999896</v>
      </c>
      <c r="D19" s="23">
        <f t="shared" si="0"/>
        <v>797.80499999999995</v>
      </c>
      <c r="E19" s="24">
        <f t="shared" si="4"/>
        <v>-0.49999999998817701</v>
      </c>
      <c r="F19" s="25">
        <f t="shared" si="5"/>
        <v>-2.2999999999910901</v>
      </c>
      <c r="G19" s="26">
        <f t="shared" si="6"/>
        <v>-0.49999999998817701</v>
      </c>
      <c r="H19" s="6">
        <v>7.1314999999999902</v>
      </c>
      <c r="I19" s="35">
        <f t="shared" si="1"/>
        <v>798.59630000000004</v>
      </c>
      <c r="J19" s="24">
        <f t="shared" si="7"/>
        <v>-0.49999999998817701</v>
      </c>
      <c r="K19" s="25">
        <f t="shared" si="8"/>
        <v>-2.6000000000294698</v>
      </c>
      <c r="L19" s="26">
        <f t="shared" si="9"/>
        <v>-0.49999999998817701</v>
      </c>
      <c r="M19" s="6">
        <v>6.4115999999999902</v>
      </c>
      <c r="N19" s="35">
        <f t="shared" si="2"/>
        <v>797.87639999999999</v>
      </c>
      <c r="O19" s="24">
        <f t="shared" si="10"/>
        <v>-0.199999999949796</v>
      </c>
      <c r="P19" s="25">
        <f t="shared" si="11"/>
        <v>-2.6000000000294698</v>
      </c>
      <c r="Q19" s="26">
        <f t="shared" si="12"/>
        <v>-0.199999999949796</v>
      </c>
      <c r="R19" s="41"/>
      <c r="S19" s="21">
        <f t="shared" si="3"/>
        <v>44748</v>
      </c>
      <c r="T19" s="42">
        <v>10.4717</v>
      </c>
      <c r="U19" s="43">
        <f t="shared" si="13"/>
        <v>-0.50000000000061096</v>
      </c>
      <c r="V19" s="44">
        <f t="shared" si="14"/>
        <v>-2.59999999999927</v>
      </c>
      <c r="W19" s="45">
        <f t="shared" si="15"/>
        <v>0.50000000000061096</v>
      </c>
      <c r="X19" s="29">
        <v>15.5214</v>
      </c>
      <c r="Y19" s="43">
        <f t="shared" si="16"/>
        <v>-0.19999999999953399</v>
      </c>
      <c r="Z19" s="44">
        <f t="shared" si="17"/>
        <v>-2.2999999999999701</v>
      </c>
      <c r="AA19" s="45">
        <f t="shared" si="18"/>
        <v>-0.19999999999953399</v>
      </c>
      <c r="AB19" s="49">
        <v>10.944800000000001</v>
      </c>
      <c r="AC19" s="43">
        <f t="shared" si="19"/>
        <v>-1.2999999999987499</v>
      </c>
      <c r="AD19" s="44">
        <f t="shared" si="20"/>
        <v>-3.0000000000001101</v>
      </c>
      <c r="AE19" s="45">
        <f t="shared" si="21"/>
        <v>-1.2999999999987499</v>
      </c>
      <c r="AF19" s="50">
        <v>79999</v>
      </c>
      <c r="AG19" s="58">
        <f t="shared" si="22"/>
        <v>48</v>
      </c>
      <c r="AH19" s="61"/>
      <c r="AI19" s="52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44749</v>
      </c>
      <c r="B20" s="22">
        <v>791.46479999999997</v>
      </c>
      <c r="C20" s="27">
        <v>6.3399999999999901</v>
      </c>
      <c r="D20" s="23">
        <f t="shared" si="0"/>
        <v>797.8048</v>
      </c>
      <c r="E20" s="24">
        <f t="shared" si="4"/>
        <v>-0.199999999949796</v>
      </c>
      <c r="F20" s="25">
        <f t="shared" si="5"/>
        <v>-2.4999999999408802</v>
      </c>
      <c r="G20" s="26">
        <f t="shared" si="6"/>
        <v>-0.199999999949796</v>
      </c>
      <c r="H20" s="6">
        <v>7.1312999999999898</v>
      </c>
      <c r="I20" s="35">
        <f t="shared" si="1"/>
        <v>798.59609999999998</v>
      </c>
      <c r="J20" s="24">
        <f t="shared" si="7"/>
        <v>-0.199999999949796</v>
      </c>
      <c r="K20" s="25">
        <f t="shared" si="8"/>
        <v>-2.79999999997926</v>
      </c>
      <c r="L20" s="26">
        <f t="shared" si="9"/>
        <v>-0.199999999949796</v>
      </c>
      <c r="M20" s="6">
        <v>6.4116</v>
      </c>
      <c r="N20" s="35">
        <f t="shared" si="2"/>
        <v>797.87639999999999</v>
      </c>
      <c r="O20" s="24">
        <f t="shared" si="10"/>
        <v>0</v>
      </c>
      <c r="P20" s="25">
        <f t="shared" si="11"/>
        <v>-2.6000000000294698</v>
      </c>
      <c r="Q20" s="26">
        <f t="shared" si="12"/>
        <v>0</v>
      </c>
      <c r="R20" s="41"/>
      <c r="S20" s="21">
        <f t="shared" si="3"/>
        <v>44749</v>
      </c>
      <c r="T20" s="42">
        <v>10.471500000000001</v>
      </c>
      <c r="U20" s="43">
        <f t="shared" si="13"/>
        <v>-0.19999999999953399</v>
      </c>
      <c r="V20" s="44">
        <f t="shared" si="14"/>
        <v>-2.7999999999987999</v>
      </c>
      <c r="W20" s="45">
        <f t="shared" si="15"/>
        <v>0.19999999999953399</v>
      </c>
      <c r="X20" s="29">
        <v>15.5212</v>
      </c>
      <c r="Y20" s="43">
        <f t="shared" si="16"/>
        <v>-0.19999999999953399</v>
      </c>
      <c r="Z20" s="44">
        <f t="shared" si="17"/>
        <v>-2.4999999999995</v>
      </c>
      <c r="AA20" s="45">
        <f t="shared" si="18"/>
        <v>-0.19999999999953399</v>
      </c>
      <c r="AB20" s="49">
        <v>10.944599999999999</v>
      </c>
      <c r="AC20" s="43">
        <f t="shared" si="19"/>
        <v>-0.20000000000130999</v>
      </c>
      <c r="AD20" s="44">
        <f t="shared" si="20"/>
        <v>-3.2000000000014199</v>
      </c>
      <c r="AE20" s="45">
        <f t="shared" si="21"/>
        <v>-0.20000000000130999</v>
      </c>
      <c r="AF20" s="50">
        <v>80002</v>
      </c>
      <c r="AG20" s="58">
        <f t="shared" si="22"/>
        <v>51</v>
      </c>
      <c r="AH20" s="59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44751</v>
      </c>
      <c r="B21" s="22">
        <v>791.46479999999997</v>
      </c>
      <c r="C21" s="27">
        <v>6.3397999999999897</v>
      </c>
      <c r="D21" s="23">
        <f t="shared" si="0"/>
        <v>797.80460000000005</v>
      </c>
      <c r="E21" s="24">
        <f t="shared" si="4"/>
        <v>-0.20000000006348301</v>
      </c>
      <c r="F21" s="25">
        <f t="shared" si="5"/>
        <v>-2.70000000000437</v>
      </c>
      <c r="G21" s="26">
        <f t="shared" si="6"/>
        <v>-0.100000000031741</v>
      </c>
      <c r="H21" s="6">
        <v>7.1318000000000001</v>
      </c>
      <c r="I21" s="35">
        <f t="shared" si="1"/>
        <v>798.59659999999997</v>
      </c>
      <c r="J21" s="24">
        <f t="shared" si="7"/>
        <v>0.49999999998817701</v>
      </c>
      <c r="K21" s="25">
        <f t="shared" si="8"/>
        <v>-2.2999999999910901</v>
      </c>
      <c r="L21" s="26">
        <f t="shared" si="9"/>
        <v>0.24999999999408801</v>
      </c>
      <c r="M21" s="6">
        <v>6.4111999999999902</v>
      </c>
      <c r="N21" s="35">
        <f t="shared" si="2"/>
        <v>797.87599999999998</v>
      </c>
      <c r="O21" s="24">
        <f t="shared" si="10"/>
        <v>-0.40000000001327901</v>
      </c>
      <c r="P21" s="25">
        <f t="shared" si="11"/>
        <v>-3.0000000000427498</v>
      </c>
      <c r="Q21" s="26">
        <f t="shared" si="12"/>
        <v>-0.20000000000663901</v>
      </c>
      <c r="R21" s="41"/>
      <c r="S21" s="21">
        <f t="shared" si="3"/>
        <v>44751</v>
      </c>
      <c r="T21" s="42">
        <v>10.4716</v>
      </c>
      <c r="U21" s="43">
        <f t="shared" si="13"/>
        <v>9.99999999997669E-2</v>
      </c>
      <c r="V21" s="44">
        <f t="shared" si="14"/>
        <v>-2.6999999999990401</v>
      </c>
      <c r="W21" s="45">
        <f t="shared" si="15"/>
        <v>-4.9999999999883499E-2</v>
      </c>
      <c r="X21" s="29">
        <v>15.5213</v>
      </c>
      <c r="Y21" s="43">
        <f t="shared" si="16"/>
        <v>9.99999999997669E-2</v>
      </c>
      <c r="Z21" s="44">
        <f t="shared" si="17"/>
        <v>-2.3999999999997401</v>
      </c>
      <c r="AA21" s="45">
        <f t="shared" si="18"/>
        <v>4.9999999999883499E-2</v>
      </c>
      <c r="AB21" s="49">
        <v>10.945</v>
      </c>
      <c r="AC21" s="43">
        <f t="shared" si="19"/>
        <v>0.40000000000084401</v>
      </c>
      <c r="AD21" s="44">
        <f t="shared" si="20"/>
        <v>-2.8000000000005798</v>
      </c>
      <c r="AE21" s="45">
        <f t="shared" si="21"/>
        <v>0.20000000000042201</v>
      </c>
      <c r="AF21" s="50">
        <v>80005</v>
      </c>
      <c r="AG21" s="58">
        <f t="shared" si="22"/>
        <v>54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44753</v>
      </c>
      <c r="B22" s="22">
        <v>791.46479999999997</v>
      </c>
      <c r="C22" s="27">
        <v>6.34</v>
      </c>
      <c r="D22" s="23">
        <f t="shared" si="0"/>
        <v>797.8048</v>
      </c>
      <c r="E22" s="24">
        <f t="shared" si="4"/>
        <v>0.20000000006348301</v>
      </c>
      <c r="F22" s="25">
        <f t="shared" si="5"/>
        <v>-2.4999999999408802</v>
      </c>
      <c r="G22" s="26">
        <f t="shared" si="6"/>
        <v>0.100000000031741</v>
      </c>
      <c r="H22" s="6">
        <v>7.1308999999999898</v>
      </c>
      <c r="I22" s="35">
        <f t="shared" si="1"/>
        <v>798.59569999999997</v>
      </c>
      <c r="J22" s="24">
        <f t="shared" si="7"/>
        <v>-0.90000000000145497</v>
      </c>
      <c r="K22" s="25">
        <f t="shared" si="8"/>
        <v>-3.1999999999925399</v>
      </c>
      <c r="L22" s="26">
        <f t="shared" si="9"/>
        <v>-0.45000000000072798</v>
      </c>
      <c r="M22" s="6">
        <v>6.4109999999999898</v>
      </c>
      <c r="N22" s="35">
        <f t="shared" si="2"/>
        <v>797.87580000000003</v>
      </c>
      <c r="O22" s="24">
        <f t="shared" si="10"/>
        <v>-0.20000000006348301</v>
      </c>
      <c r="P22" s="25">
        <f t="shared" si="11"/>
        <v>-3.2000000001062299</v>
      </c>
      <c r="Q22" s="26">
        <f t="shared" si="12"/>
        <v>-0.100000000031741</v>
      </c>
      <c r="R22" s="41"/>
      <c r="S22" s="21">
        <f t="shared" si="3"/>
        <v>44753</v>
      </c>
      <c r="T22" s="42">
        <v>10.471299999999999</v>
      </c>
      <c r="U22" s="43">
        <f t="shared" si="13"/>
        <v>-0.30000000000107702</v>
      </c>
      <c r="V22" s="44">
        <f t="shared" si="14"/>
        <v>-3.0000000000001101</v>
      </c>
      <c r="W22" s="45">
        <f t="shared" si="15"/>
        <v>0.15000000000053901</v>
      </c>
      <c r="X22" s="29">
        <v>15.520799999999999</v>
      </c>
      <c r="Y22" s="43">
        <f t="shared" si="16"/>
        <v>-0.50000000000061096</v>
      </c>
      <c r="Z22" s="44">
        <f t="shared" si="17"/>
        <v>-2.9000000000003499</v>
      </c>
      <c r="AA22" s="45">
        <f t="shared" si="18"/>
        <v>-0.25000000000030598</v>
      </c>
      <c r="AB22" s="49">
        <v>10.9442</v>
      </c>
      <c r="AC22" s="43">
        <f t="shared" si="19"/>
        <v>-0.799999999999912</v>
      </c>
      <c r="AD22" s="44">
        <f t="shared" si="20"/>
        <v>-3.6000000000004899</v>
      </c>
      <c r="AE22" s="45">
        <f t="shared" si="21"/>
        <v>-0.399999999999956</v>
      </c>
      <c r="AF22" s="50">
        <v>80008</v>
      </c>
      <c r="AG22" s="58">
        <f t="shared" si="22"/>
        <v>57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44755</v>
      </c>
      <c r="B23" s="22">
        <v>791.46479999999997</v>
      </c>
      <c r="C23" s="27">
        <v>6.3393999999999897</v>
      </c>
      <c r="D23" s="23">
        <f t="shared" si="0"/>
        <v>797.80420000000004</v>
      </c>
      <c r="E23" s="24">
        <f t="shared" si="4"/>
        <v>-0.60000000007676102</v>
      </c>
      <c r="F23" s="25">
        <f t="shared" si="5"/>
        <v>-3.1000000000176402</v>
      </c>
      <c r="G23" s="26">
        <f t="shared" si="6"/>
        <v>-0.30000000003838101</v>
      </c>
      <c r="H23" s="6">
        <v>7.1306999999999903</v>
      </c>
      <c r="I23" s="35">
        <f t="shared" si="1"/>
        <v>798.59550000000002</v>
      </c>
      <c r="J23" s="24">
        <f t="shared" si="7"/>
        <v>-0.20000000006348301</v>
      </c>
      <c r="K23" s="25">
        <f t="shared" si="8"/>
        <v>-3.40000000005602</v>
      </c>
      <c r="L23" s="26">
        <f t="shared" si="9"/>
        <v>-0.100000000031741</v>
      </c>
      <c r="M23" s="6">
        <v>6.4108999999999998</v>
      </c>
      <c r="N23" s="35">
        <f t="shared" si="2"/>
        <v>797.87570000000005</v>
      </c>
      <c r="O23" s="24">
        <f t="shared" si="10"/>
        <v>-9.9999999974897905E-2</v>
      </c>
      <c r="P23" s="25">
        <f t="shared" si="11"/>
        <v>-3.30000000008113</v>
      </c>
      <c r="Q23" s="26">
        <f t="shared" si="12"/>
        <v>-4.9999999987449001E-2</v>
      </c>
      <c r="R23" s="41"/>
      <c r="S23" s="21">
        <f t="shared" si="3"/>
        <v>44755</v>
      </c>
      <c r="T23" s="42">
        <v>10.471</v>
      </c>
      <c r="U23" s="43">
        <f t="shared" si="13"/>
        <v>-0.29999999999930099</v>
      </c>
      <c r="V23" s="44">
        <f t="shared" si="14"/>
        <v>-3.2999999999994101</v>
      </c>
      <c r="W23" s="45">
        <f t="shared" si="15"/>
        <v>0.14999999999965</v>
      </c>
      <c r="X23" s="29">
        <v>15.5206</v>
      </c>
      <c r="Y23" s="43">
        <f t="shared" si="16"/>
        <v>-0.19999999999953399</v>
      </c>
      <c r="Z23" s="44">
        <f t="shared" si="17"/>
        <v>-3.0999999999998802</v>
      </c>
      <c r="AA23" s="45">
        <f t="shared" si="18"/>
        <v>-9.99999999997669E-2</v>
      </c>
      <c r="AB23" s="49">
        <v>10.944000000000001</v>
      </c>
      <c r="AC23" s="43">
        <f t="shared" si="19"/>
        <v>-0.19999999999953399</v>
      </c>
      <c r="AD23" s="44">
        <f t="shared" si="20"/>
        <v>-3.80000000000003</v>
      </c>
      <c r="AE23" s="45">
        <f t="shared" si="21"/>
        <v>-9.99999999997669E-2</v>
      </c>
      <c r="AF23" s="50">
        <v>80011</v>
      </c>
      <c r="AG23" s="58">
        <f t="shared" si="22"/>
        <v>60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44757</v>
      </c>
      <c r="B24" s="22">
        <v>791.46479999999997</v>
      </c>
      <c r="C24" s="27">
        <v>6.3391999999999902</v>
      </c>
      <c r="D24" s="23">
        <f t="shared" si="0"/>
        <v>797.80399999999997</v>
      </c>
      <c r="E24" s="24">
        <f t="shared" si="4"/>
        <v>-0.199999999949796</v>
      </c>
      <c r="F24" s="25">
        <f t="shared" si="5"/>
        <v>-3.2999999999674401</v>
      </c>
      <c r="G24" s="26">
        <f t="shared" si="6"/>
        <v>-9.9999999974897905E-2</v>
      </c>
      <c r="H24" s="6">
        <v>7.1304999999999898</v>
      </c>
      <c r="I24" s="35">
        <f t="shared" si="1"/>
        <v>798.59529999999995</v>
      </c>
      <c r="J24" s="24">
        <f t="shared" si="7"/>
        <v>-0.199999999949796</v>
      </c>
      <c r="K24" s="25">
        <f t="shared" si="8"/>
        <v>-3.6000000000058199</v>
      </c>
      <c r="L24" s="26">
        <f t="shared" si="9"/>
        <v>-9.9999999974897905E-2</v>
      </c>
      <c r="M24" s="6">
        <v>6.4105999999999899</v>
      </c>
      <c r="N24" s="35">
        <f t="shared" si="2"/>
        <v>797.87540000000001</v>
      </c>
      <c r="O24" s="24">
        <f t="shared" si="10"/>
        <v>-0.29999999992469401</v>
      </c>
      <c r="P24" s="25">
        <f t="shared" si="11"/>
        <v>-3.6000000000058199</v>
      </c>
      <c r="Q24" s="26">
        <f t="shared" si="12"/>
        <v>-0.149999999962347</v>
      </c>
      <c r="R24" s="41"/>
      <c r="S24" s="21">
        <f t="shared" si="3"/>
        <v>44757</v>
      </c>
      <c r="T24" s="42">
        <v>10.4709</v>
      </c>
      <c r="U24" s="43">
        <f t="shared" si="13"/>
        <v>-9.99999999997669E-2</v>
      </c>
      <c r="V24" s="44">
        <f t="shared" si="14"/>
        <v>-3.3999999999991801</v>
      </c>
      <c r="W24" s="45">
        <f t="shared" si="15"/>
        <v>4.9999999999883499E-2</v>
      </c>
      <c r="X24" s="29">
        <v>15.5207</v>
      </c>
      <c r="Y24" s="43">
        <f t="shared" si="16"/>
        <v>9.99999999997669E-2</v>
      </c>
      <c r="Z24" s="44">
        <f t="shared" si="17"/>
        <v>-3.0000000000001101</v>
      </c>
      <c r="AA24" s="45">
        <f t="shared" si="18"/>
        <v>4.9999999999883499E-2</v>
      </c>
      <c r="AB24" s="49">
        <v>10.944100000000001</v>
      </c>
      <c r="AC24" s="43">
        <f t="shared" si="19"/>
        <v>9.99999999997669E-2</v>
      </c>
      <c r="AD24" s="44">
        <f t="shared" si="20"/>
        <v>-3.70000000000026</v>
      </c>
      <c r="AE24" s="45">
        <f t="shared" si="21"/>
        <v>4.9999999999883499E-2</v>
      </c>
      <c r="AF24" s="50">
        <v>80014</v>
      </c>
      <c r="AG24" s="58">
        <f t="shared" si="22"/>
        <v>63</v>
      </c>
      <c r="AH24" s="59"/>
      <c r="AI24" s="52"/>
      <c r="AJ24" s="52"/>
      <c r="AK24" s="52"/>
      <c r="AL24" s="52"/>
      <c r="AM24" s="52"/>
    </row>
    <row r="25" spans="1:48">
      <c r="A25" s="21">
        <v>44759</v>
      </c>
      <c r="B25" s="22">
        <v>791.46479999999997</v>
      </c>
      <c r="C25" s="27">
        <v>6.3395000000000001</v>
      </c>
      <c r="D25" s="23">
        <f t="shared" si="0"/>
        <v>797.80430000000001</v>
      </c>
      <c r="E25" s="24">
        <f t="shared" si="4"/>
        <v>0.30000000003838101</v>
      </c>
      <c r="F25" s="25">
        <f t="shared" si="5"/>
        <v>-2.9999999999290599</v>
      </c>
      <c r="G25" s="26">
        <f t="shared" si="6"/>
        <v>0.15000000001919001</v>
      </c>
      <c r="H25" s="6">
        <v>7.1306000000000003</v>
      </c>
      <c r="I25" s="35">
        <f t="shared" si="1"/>
        <v>798.59540000000004</v>
      </c>
      <c r="J25" s="24">
        <f t="shared" si="7"/>
        <v>9.9999999974897905E-2</v>
      </c>
      <c r="K25" s="25">
        <f t="shared" si="8"/>
        <v>-3.5000000000309202</v>
      </c>
      <c r="L25" s="26">
        <f t="shared" si="9"/>
        <v>4.9999999987449001E-2</v>
      </c>
      <c r="M25" s="6">
        <v>6.4103999999999903</v>
      </c>
      <c r="N25" s="35">
        <f t="shared" si="2"/>
        <v>797.87519999999995</v>
      </c>
      <c r="O25" s="24">
        <f t="shared" si="10"/>
        <v>-0.20000000006348301</v>
      </c>
      <c r="P25" s="25">
        <f t="shared" si="11"/>
        <v>-3.8000000000692999</v>
      </c>
      <c r="Q25" s="26">
        <f t="shared" si="12"/>
        <v>-0.100000000031741</v>
      </c>
      <c r="R25" s="41"/>
      <c r="S25" s="21">
        <f t="shared" si="3"/>
        <v>44759</v>
      </c>
      <c r="T25" s="42">
        <v>10.470499999999999</v>
      </c>
      <c r="U25" s="43">
        <f t="shared" si="13"/>
        <v>-0.40000000000084401</v>
      </c>
      <c r="V25" s="44">
        <f t="shared" si="14"/>
        <v>-3.80000000000003</v>
      </c>
      <c r="W25" s="45">
        <f t="shared" si="15"/>
        <v>0.20000000000042201</v>
      </c>
      <c r="X25" s="29">
        <v>15.520200000000001</v>
      </c>
      <c r="Y25" s="43">
        <f t="shared" si="16"/>
        <v>-0.49999999999883499</v>
      </c>
      <c r="Z25" s="44">
        <f t="shared" si="17"/>
        <v>-3.4999999999989502</v>
      </c>
      <c r="AA25" s="45">
        <f t="shared" si="18"/>
        <v>-0.24999999999941699</v>
      </c>
      <c r="AB25" s="49">
        <v>10.9436</v>
      </c>
      <c r="AC25" s="43">
        <f t="shared" si="19"/>
        <v>-0.50000000000061096</v>
      </c>
      <c r="AD25" s="44">
        <f t="shared" si="20"/>
        <v>-4.2000000000008697</v>
      </c>
      <c r="AE25" s="45">
        <f t="shared" si="21"/>
        <v>-0.25000000000030598</v>
      </c>
      <c r="AF25" s="50">
        <v>80017</v>
      </c>
      <c r="AG25" s="58">
        <f t="shared" si="22"/>
        <v>66</v>
      </c>
      <c r="AH25" s="61"/>
      <c r="AI25" s="52"/>
      <c r="AJ25" s="52"/>
      <c r="AK25" s="52"/>
      <c r="AL25" s="52"/>
      <c r="AM25" s="52"/>
    </row>
    <row r="26" spans="1:48">
      <c r="A26" s="21">
        <v>44761</v>
      </c>
      <c r="B26" s="22">
        <v>791.46479999999997</v>
      </c>
      <c r="C26" s="27">
        <v>6.3395999999999999</v>
      </c>
      <c r="D26" s="23">
        <f t="shared" si="0"/>
        <v>797.80439999999999</v>
      </c>
      <c r="E26" s="24">
        <f t="shared" si="4"/>
        <v>9.9999999974897905E-2</v>
      </c>
      <c r="F26" s="25">
        <f t="shared" si="5"/>
        <v>-2.8999999999541601</v>
      </c>
      <c r="G26" s="26">
        <f t="shared" si="6"/>
        <v>4.9999999987449001E-2</v>
      </c>
      <c r="H26" s="6">
        <v>7.1307</v>
      </c>
      <c r="I26" s="35">
        <f t="shared" si="1"/>
        <v>798.59550000000002</v>
      </c>
      <c r="J26" s="24">
        <f t="shared" si="7"/>
        <v>0.10000000008858501</v>
      </c>
      <c r="K26" s="25">
        <f t="shared" si="8"/>
        <v>-3.3999999999423398</v>
      </c>
      <c r="L26" s="26">
        <f t="shared" si="9"/>
        <v>5.0000000044292399E-2</v>
      </c>
      <c r="M26" s="6">
        <v>6.4105999999999996</v>
      </c>
      <c r="N26" s="35">
        <f t="shared" si="2"/>
        <v>797.87540000000001</v>
      </c>
      <c r="O26" s="24">
        <f t="shared" si="10"/>
        <v>0.20000000006348301</v>
      </c>
      <c r="P26" s="25">
        <f t="shared" si="11"/>
        <v>-3.6000000000058199</v>
      </c>
      <c r="Q26" s="26">
        <f t="shared" si="12"/>
        <v>0.100000000031741</v>
      </c>
      <c r="R26" s="41"/>
      <c r="S26" s="21">
        <f t="shared" si="3"/>
        <v>44761</v>
      </c>
      <c r="T26" s="42">
        <v>10.4703</v>
      </c>
      <c r="U26" s="43">
        <f t="shared" si="13"/>
        <v>-0.19999999999953399</v>
      </c>
      <c r="V26" s="44">
        <f t="shared" si="14"/>
        <v>-3.9999999999995599</v>
      </c>
      <c r="W26" s="45">
        <f t="shared" si="15"/>
        <v>9.99999999997669E-2</v>
      </c>
      <c r="X26" s="29">
        <v>15.5204</v>
      </c>
      <c r="Y26" s="43">
        <f t="shared" si="16"/>
        <v>0.19999999999953399</v>
      </c>
      <c r="Z26" s="44">
        <f t="shared" si="17"/>
        <v>-3.2999999999994101</v>
      </c>
      <c r="AA26" s="45">
        <f t="shared" si="18"/>
        <v>9.99999999997669E-2</v>
      </c>
      <c r="AB26" s="49">
        <v>10.9435</v>
      </c>
      <c r="AC26" s="43">
        <f t="shared" si="19"/>
        <v>-9.99999999997669E-2</v>
      </c>
      <c r="AD26" s="44">
        <f t="shared" si="20"/>
        <v>-4.3000000000006402</v>
      </c>
      <c r="AE26" s="45">
        <f t="shared" si="21"/>
        <v>-4.9999999999883499E-2</v>
      </c>
      <c r="AF26" s="50">
        <v>80020</v>
      </c>
      <c r="AG26" s="58">
        <f t="shared" si="22"/>
        <v>69</v>
      </c>
      <c r="AH26" s="59"/>
      <c r="AI26" s="60"/>
      <c r="AJ26" s="61"/>
      <c r="AK26" s="62"/>
      <c r="AL26" s="60"/>
      <c r="AM26" s="64"/>
    </row>
    <row r="27" spans="1:48">
      <c r="A27" s="21">
        <v>44763</v>
      </c>
      <c r="B27" s="22">
        <v>791.46479999999997</v>
      </c>
      <c r="C27" s="27">
        <v>6.3395000000000001</v>
      </c>
      <c r="D27" s="23">
        <f t="shared" si="0"/>
        <v>797.80430000000001</v>
      </c>
      <c r="E27" s="24">
        <f t="shared" si="4"/>
        <v>-9.9999999974897905E-2</v>
      </c>
      <c r="F27" s="25">
        <f t="shared" si="5"/>
        <v>-2.9999999999290599</v>
      </c>
      <c r="G27" s="26">
        <f t="shared" si="6"/>
        <v>-4.9999999987449001E-2</v>
      </c>
      <c r="H27" s="6">
        <v>7.1306000000000003</v>
      </c>
      <c r="I27" s="35">
        <f t="shared" si="1"/>
        <v>798.59540000000004</v>
      </c>
      <c r="J27" s="24">
        <f t="shared" si="7"/>
        <v>-0.10000000008858501</v>
      </c>
      <c r="K27" s="25">
        <f t="shared" si="8"/>
        <v>-3.5000000000309202</v>
      </c>
      <c r="L27" s="26">
        <f t="shared" si="9"/>
        <v>-5.0000000044292399E-2</v>
      </c>
      <c r="M27" s="6">
        <v>6.4107000000000003</v>
      </c>
      <c r="N27" s="35">
        <f t="shared" si="2"/>
        <v>797.87549999999999</v>
      </c>
      <c r="O27" s="24">
        <f t="shared" si="10"/>
        <v>9.9999999974897905E-2</v>
      </c>
      <c r="P27" s="25">
        <f t="shared" si="11"/>
        <v>-3.5000000000309202</v>
      </c>
      <c r="Q27" s="26">
        <f t="shared" si="12"/>
        <v>4.9999999987449001E-2</v>
      </c>
      <c r="R27" s="41"/>
      <c r="S27" s="21">
        <f t="shared" si="3"/>
        <v>44763</v>
      </c>
      <c r="T27" s="42">
        <v>10.4701</v>
      </c>
      <c r="U27" s="43">
        <f t="shared" si="13"/>
        <v>-0.19999999999953399</v>
      </c>
      <c r="V27" s="44">
        <f t="shared" si="14"/>
        <v>-4.1999999999990898</v>
      </c>
      <c r="W27" s="45">
        <f t="shared" si="15"/>
        <v>9.99999999997669E-2</v>
      </c>
      <c r="X27" s="29">
        <v>15.5205</v>
      </c>
      <c r="Y27" s="43">
        <f t="shared" si="16"/>
        <v>9.99999999997669E-2</v>
      </c>
      <c r="Z27" s="44">
        <f t="shared" si="17"/>
        <v>-3.1999999999996498</v>
      </c>
      <c r="AA27" s="45">
        <f t="shared" si="18"/>
        <v>4.9999999999883499E-2</v>
      </c>
      <c r="AB27" s="49">
        <v>10.9434</v>
      </c>
      <c r="AC27" s="43">
        <f t="shared" si="19"/>
        <v>-9.99999999997669E-2</v>
      </c>
      <c r="AD27" s="44">
        <f t="shared" si="20"/>
        <v>-4.4000000000004</v>
      </c>
      <c r="AE27" s="45">
        <f t="shared" si="21"/>
        <v>-4.9999999999883499E-2</v>
      </c>
      <c r="AF27" s="50">
        <v>80023</v>
      </c>
      <c r="AG27" s="58">
        <f t="shared" si="22"/>
        <v>72</v>
      </c>
      <c r="AH27" s="61"/>
      <c r="AI27" s="52"/>
      <c r="AJ27"/>
      <c r="AK27"/>
      <c r="AL27"/>
      <c r="AM27"/>
    </row>
    <row r="28" spans="1:48">
      <c r="A28" s="21">
        <v>44765</v>
      </c>
      <c r="B28" s="22">
        <v>791.46479999999997</v>
      </c>
      <c r="C28" s="27">
        <v>6.3398000000000003</v>
      </c>
      <c r="D28" s="23">
        <f t="shared" si="0"/>
        <v>797.80460000000005</v>
      </c>
      <c r="E28" s="24">
        <f t="shared" si="4"/>
        <v>0.29999999992469401</v>
      </c>
      <c r="F28" s="25">
        <f t="shared" si="5"/>
        <v>-2.70000000000437</v>
      </c>
      <c r="G28" s="26">
        <f t="shared" si="6"/>
        <v>0.149999999962347</v>
      </c>
      <c r="H28" s="6">
        <v>7.1308999999999996</v>
      </c>
      <c r="I28" s="35">
        <f t="shared" si="1"/>
        <v>798.59569999999997</v>
      </c>
      <c r="J28" s="24">
        <f t="shared" si="7"/>
        <v>0.30000000003838101</v>
      </c>
      <c r="K28" s="25">
        <f t="shared" si="8"/>
        <v>-3.1999999999925399</v>
      </c>
      <c r="L28" s="26">
        <f t="shared" si="9"/>
        <v>0.15000000001919001</v>
      </c>
      <c r="M28" s="6">
        <v>6.4104999999999999</v>
      </c>
      <c r="N28" s="35">
        <f t="shared" si="2"/>
        <v>797.87530000000004</v>
      </c>
      <c r="O28" s="24">
        <f t="shared" si="10"/>
        <v>-0.20000000006348301</v>
      </c>
      <c r="P28" s="25">
        <f t="shared" si="11"/>
        <v>-3.70000000009441</v>
      </c>
      <c r="Q28" s="26">
        <f t="shared" si="12"/>
        <v>-0.100000000031741</v>
      </c>
      <c r="R28" s="41"/>
      <c r="S28" s="21">
        <f t="shared" si="3"/>
        <v>44765</v>
      </c>
      <c r="T28" s="42">
        <v>10.47</v>
      </c>
      <c r="U28" s="43">
        <f t="shared" si="13"/>
        <v>-9.99999999997669E-2</v>
      </c>
      <c r="V28" s="44">
        <f t="shared" si="14"/>
        <v>-4.2999999999988603</v>
      </c>
      <c r="W28" s="45">
        <f t="shared" si="15"/>
        <v>4.9999999999883499E-2</v>
      </c>
      <c r="X28" s="29">
        <v>15.520799999999999</v>
      </c>
      <c r="Y28" s="43">
        <f t="shared" si="16"/>
        <v>0.29999999999930099</v>
      </c>
      <c r="Z28" s="44">
        <f t="shared" si="17"/>
        <v>-2.9000000000003499</v>
      </c>
      <c r="AA28" s="45">
        <f t="shared" si="18"/>
        <v>0.14999999999965</v>
      </c>
      <c r="AB28" s="49">
        <v>10.943300000000001</v>
      </c>
      <c r="AC28" s="43">
        <f t="shared" si="19"/>
        <v>-9.99999999997669E-2</v>
      </c>
      <c r="AD28" s="44">
        <f t="shared" si="20"/>
        <v>-4.5000000000001696</v>
      </c>
      <c r="AE28" s="45">
        <f t="shared" si="21"/>
        <v>-4.9999999999883499E-2</v>
      </c>
      <c r="AF28" s="50">
        <v>80026</v>
      </c>
      <c r="AG28" s="58">
        <f t="shared" si="22"/>
        <v>75</v>
      </c>
      <c r="AH28" s="59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65">
        <f>F28-F26</f>
        <v>0.199999999949796</v>
      </c>
      <c r="F29" s="33">
        <f>K28-K26</f>
        <v>0.199999999949796</v>
      </c>
      <c r="G29" s="33">
        <f>P28-P26</f>
        <v>-0.10000000008858501</v>
      </c>
      <c r="H29" s="33">
        <f>F28</f>
        <v>-2.70000000000437</v>
      </c>
      <c r="I29" s="66">
        <f>K28</f>
        <v>-3.1999999999925399</v>
      </c>
      <c r="J29" s="65">
        <f>P28</f>
        <v>-3.70000000009441</v>
      </c>
      <c r="K29" s="33">
        <f>(P28-P26)/4</f>
        <v>-2.5000000022146199E-2</v>
      </c>
      <c r="L29" s="26"/>
      <c r="N29" s="35"/>
      <c r="O29" s="24"/>
      <c r="P29" s="25"/>
      <c r="Q29" s="26"/>
      <c r="R29" s="41"/>
      <c r="S29" s="21"/>
      <c r="T29" s="42"/>
      <c r="U29" s="65">
        <f>V28-V26</f>
        <v>-0.29999999999930099</v>
      </c>
      <c r="V29" s="33">
        <f>Z28-Z26</f>
        <v>0.39999999999906799</v>
      </c>
      <c r="W29" s="33">
        <f>AD28-AD26</f>
        <v>-0.19999999999953399</v>
      </c>
      <c r="X29" s="33">
        <f>V28</f>
        <v>-4.2999999999988603</v>
      </c>
      <c r="Y29" s="65">
        <f>Z28</f>
        <v>-2.9000000000003499</v>
      </c>
      <c r="Z29" s="33">
        <f>AD28</f>
        <v>-4.5000000000001696</v>
      </c>
      <c r="AA29" s="33">
        <f>(V28-V26)/4</f>
        <v>-7.4999999999825206E-2</v>
      </c>
      <c r="AB29" s="49"/>
      <c r="AC29" s="43"/>
      <c r="AD29" s="44"/>
      <c r="AE29" s="45"/>
      <c r="AF29" s="50"/>
      <c r="AG29" s="58"/>
      <c r="AH29" s="61"/>
      <c r="AI29" s="60"/>
      <c r="AJ29"/>
      <c r="AK29"/>
      <c r="AL29"/>
      <c r="AM29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P25" workbookViewId="0">
      <selection activeCell="AA29" sqref="AA29:AA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60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44750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44750</v>
      </c>
      <c r="B6" s="22">
        <v>791.80629999999996</v>
      </c>
      <c r="C6" s="27">
        <v>5.1013000000000002</v>
      </c>
      <c r="D6" s="23">
        <f t="shared" ref="D6:D26" si="0">C6+B6</f>
        <v>796.9076</v>
      </c>
      <c r="E6" s="24">
        <v>0</v>
      </c>
      <c r="F6" s="25">
        <v>0</v>
      </c>
      <c r="G6" s="26">
        <v>0</v>
      </c>
      <c r="H6" s="6">
        <v>6.8571999999999997</v>
      </c>
      <c r="I6" s="35">
        <f t="shared" ref="I6:I26" si="1">H6+B6</f>
        <v>798.6635</v>
      </c>
      <c r="J6" s="24">
        <v>0</v>
      </c>
      <c r="K6" s="25">
        <v>0</v>
      </c>
      <c r="L6" s="26">
        <v>0</v>
      </c>
      <c r="M6" s="6">
        <v>5.2823000000000002</v>
      </c>
      <c r="N6" s="35">
        <f t="shared" ref="N6:N26" si="2">M6+B6</f>
        <v>797.08860000000004</v>
      </c>
      <c r="O6" s="24">
        <v>0</v>
      </c>
      <c r="P6" s="25">
        <v>0</v>
      </c>
      <c r="Q6" s="26">
        <v>0</v>
      </c>
      <c r="R6" s="41"/>
      <c r="S6" s="21">
        <f t="shared" ref="S6:S26" si="3">A6</f>
        <v>44750</v>
      </c>
      <c r="T6" s="42">
        <v>9.2453000000000003</v>
      </c>
      <c r="U6" s="43">
        <v>0</v>
      </c>
      <c r="V6" s="44">
        <v>0</v>
      </c>
      <c r="W6" s="45">
        <f>U6/(S6-S11)</f>
        <v>0</v>
      </c>
      <c r="X6" s="29">
        <v>12.0871</v>
      </c>
      <c r="Y6" s="43">
        <v>0</v>
      </c>
      <c r="Z6" s="44">
        <v>0</v>
      </c>
      <c r="AA6" s="45">
        <v>0</v>
      </c>
      <c r="AB6" s="49">
        <v>8.9772999999999996</v>
      </c>
      <c r="AC6" s="43">
        <v>0</v>
      </c>
      <c r="AD6" s="44">
        <v>0</v>
      </c>
      <c r="AE6" s="45">
        <v>0</v>
      </c>
      <c r="AF6" s="50">
        <v>80001</v>
      </c>
      <c r="AG6" s="58">
        <f>AF6-79991</f>
        <v>10</v>
      </c>
      <c r="AH6" s="59"/>
      <c r="AI6" s="60"/>
      <c r="AJ6" s="61"/>
      <c r="AK6" s="62"/>
      <c r="AL6" s="52"/>
      <c r="AM6" s="52"/>
    </row>
    <row r="7" spans="1:48">
      <c r="A7" s="21">
        <v>44751</v>
      </c>
      <c r="B7" s="22">
        <v>791.80629999999996</v>
      </c>
      <c r="C7" s="27">
        <v>5.1014999999999997</v>
      </c>
      <c r="D7" s="23">
        <f t="shared" si="0"/>
        <v>796.90779999999995</v>
      </c>
      <c r="E7" s="24">
        <f t="shared" ref="E7:E26" si="4">(D7-D6)*1000</f>
        <v>0.199999999949796</v>
      </c>
      <c r="F7" s="25">
        <f t="shared" ref="F7:F26" si="5">F6+E7</f>
        <v>0.199999999949796</v>
      </c>
      <c r="G7" s="26">
        <f t="shared" ref="G7:G26" si="6">E7/(A7-A6)</f>
        <v>0.199999999949796</v>
      </c>
      <c r="H7" s="6">
        <v>6.8570000000000002</v>
      </c>
      <c r="I7" s="35">
        <f t="shared" si="1"/>
        <v>798.66330000000005</v>
      </c>
      <c r="J7" s="24">
        <f t="shared" ref="J7:J26" si="7">(I7-I6)*1000</f>
        <v>-0.20000000006348301</v>
      </c>
      <c r="K7" s="25">
        <f t="shared" ref="K7:K26" si="8">K6+J7</f>
        <v>-0.20000000006348301</v>
      </c>
      <c r="L7" s="26">
        <f t="shared" ref="L7:L26" si="9">J7/(A7-A6)</f>
        <v>-0.20000000006348301</v>
      </c>
      <c r="M7" s="6">
        <v>5.282</v>
      </c>
      <c r="N7" s="35">
        <f t="shared" si="2"/>
        <v>797.0883</v>
      </c>
      <c r="O7" s="24">
        <f t="shared" ref="O7:O26" si="10">(N7-N6)*1000</f>
        <v>-0.29999999992469401</v>
      </c>
      <c r="P7" s="25">
        <f t="shared" ref="P7:P26" si="11">P6+O7</f>
        <v>-0.29999999992469401</v>
      </c>
      <c r="Q7" s="26">
        <f t="shared" ref="Q7:Q26" si="12">O7/(A7-A6)</f>
        <v>-0.29999999992469401</v>
      </c>
      <c r="R7" s="41"/>
      <c r="S7" s="21">
        <f t="shared" si="3"/>
        <v>44751</v>
      </c>
      <c r="T7" s="42">
        <v>9.2449999999999992</v>
      </c>
      <c r="U7" s="43">
        <f t="shared" ref="U7:U26" si="13">(T7-T6)*1000</f>
        <v>-0.30000000000107702</v>
      </c>
      <c r="V7" s="44">
        <f t="shared" ref="V7:V26" si="14">V6+U7</f>
        <v>-0.30000000000107702</v>
      </c>
      <c r="W7" s="45">
        <f t="shared" ref="W7:W26" si="15">U7/(S6-S7)</f>
        <v>0.30000000000107702</v>
      </c>
      <c r="X7" s="29">
        <v>12.0868</v>
      </c>
      <c r="Y7" s="43">
        <f t="shared" ref="Y7:Y26" si="16">(X7-X6)*1000</f>
        <v>-0.29999999999930099</v>
      </c>
      <c r="Z7" s="44">
        <f t="shared" ref="Z7:Z26" si="17">Z6+Y7</f>
        <v>-0.29999999999930099</v>
      </c>
      <c r="AA7" s="45">
        <f t="shared" ref="AA7:AA26" si="18">Y7/(S7-S6)</f>
        <v>-0.29999999999930099</v>
      </c>
      <c r="AB7" s="49">
        <v>8.9771000000000001</v>
      </c>
      <c r="AC7" s="43">
        <f t="shared" ref="AC7:AC26" si="19">(AB7-AB6)*1000</f>
        <v>-0.19999999999953399</v>
      </c>
      <c r="AD7" s="44">
        <f t="shared" ref="AD7:AD26" si="20">AD6+AC7</f>
        <v>-0.19999999999953399</v>
      </c>
      <c r="AE7" s="45">
        <f t="shared" ref="AE7:AE26" si="21">AC7/(S7-S6)</f>
        <v>-0.19999999999953399</v>
      </c>
      <c r="AF7" s="50">
        <v>80004</v>
      </c>
      <c r="AG7" s="58">
        <f t="shared" ref="AG7:AG26" si="22">AF7-79991</f>
        <v>13</v>
      </c>
      <c r="AH7" s="59"/>
      <c r="AI7" s="60"/>
      <c r="AJ7" s="61"/>
      <c r="AK7" s="62"/>
      <c r="AL7" s="52"/>
      <c r="AM7" s="52"/>
    </row>
    <row r="8" spans="1:48">
      <c r="A8" s="21">
        <v>44752</v>
      </c>
      <c r="B8" s="22">
        <v>791.80629999999996</v>
      </c>
      <c r="C8" s="27">
        <v>5.1012000000000004</v>
      </c>
      <c r="D8" s="23">
        <f t="shared" si="0"/>
        <v>796.90750000000003</v>
      </c>
      <c r="E8" s="24">
        <f t="shared" si="4"/>
        <v>-0.30000000003838101</v>
      </c>
      <c r="F8" s="25">
        <f t="shared" si="5"/>
        <v>-0.10000000008858501</v>
      </c>
      <c r="G8" s="26">
        <f t="shared" si="6"/>
        <v>-0.30000000003838101</v>
      </c>
      <c r="H8" s="6">
        <v>6.8571</v>
      </c>
      <c r="I8" s="35">
        <f t="shared" si="1"/>
        <v>798.66340000000002</v>
      </c>
      <c r="J8" s="24">
        <f t="shared" si="7"/>
        <v>9.9999999974897905E-2</v>
      </c>
      <c r="K8" s="25">
        <f t="shared" si="8"/>
        <v>-0.10000000008858501</v>
      </c>
      <c r="L8" s="26">
        <f t="shared" si="9"/>
        <v>9.9999999974897905E-2</v>
      </c>
      <c r="M8" s="6">
        <v>5.2820999999999998</v>
      </c>
      <c r="N8" s="35">
        <f t="shared" si="2"/>
        <v>797.08839999999998</v>
      </c>
      <c r="O8" s="24">
        <f t="shared" si="10"/>
        <v>9.9999999974897905E-2</v>
      </c>
      <c r="P8" s="25">
        <f t="shared" si="11"/>
        <v>-0.199999999949796</v>
      </c>
      <c r="Q8" s="26">
        <f t="shared" si="12"/>
        <v>9.9999999974897905E-2</v>
      </c>
      <c r="R8" s="41"/>
      <c r="S8" s="21">
        <f t="shared" si="3"/>
        <v>44752</v>
      </c>
      <c r="T8" s="42">
        <v>9.2451000000000008</v>
      </c>
      <c r="U8" s="43">
        <f t="shared" si="13"/>
        <v>0.10000000000154299</v>
      </c>
      <c r="V8" s="44">
        <f t="shared" si="14"/>
        <v>-0.19999999999953399</v>
      </c>
      <c r="W8" s="45">
        <f t="shared" si="15"/>
        <v>-0.10000000000154299</v>
      </c>
      <c r="X8" s="29">
        <v>12.086600000000001</v>
      </c>
      <c r="Y8" s="43">
        <f t="shared" si="16"/>
        <v>-0.19999999999953399</v>
      </c>
      <c r="Z8" s="44">
        <f t="shared" si="17"/>
        <v>-0.49999999999883499</v>
      </c>
      <c r="AA8" s="45">
        <f t="shared" si="18"/>
        <v>-0.19999999999953399</v>
      </c>
      <c r="AB8" s="49">
        <v>8.9771999999999998</v>
      </c>
      <c r="AC8" s="43">
        <f t="shared" si="19"/>
        <v>9.99999999997669E-2</v>
      </c>
      <c r="AD8" s="44">
        <f t="shared" si="20"/>
        <v>-9.99999999997669E-2</v>
      </c>
      <c r="AE8" s="45">
        <f t="shared" si="21"/>
        <v>9.99999999997669E-2</v>
      </c>
      <c r="AF8" s="50">
        <v>80007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44753</v>
      </c>
      <c r="B9" s="22">
        <v>791.80629999999996</v>
      </c>
      <c r="C9" s="27">
        <v>5.101</v>
      </c>
      <c r="D9" s="23">
        <f t="shared" si="0"/>
        <v>796.90729999999996</v>
      </c>
      <c r="E9" s="24">
        <f t="shared" si="4"/>
        <v>-0.199999999949796</v>
      </c>
      <c r="F9" s="25">
        <f t="shared" si="5"/>
        <v>-0.30000000003838101</v>
      </c>
      <c r="G9" s="26">
        <f t="shared" si="6"/>
        <v>-0.199999999949796</v>
      </c>
      <c r="H9" s="6">
        <v>6.8566000000000003</v>
      </c>
      <c r="I9" s="35">
        <f t="shared" si="1"/>
        <v>798.66290000000004</v>
      </c>
      <c r="J9" s="24">
        <f t="shared" si="7"/>
        <v>-0.49999999998817701</v>
      </c>
      <c r="K9" s="25">
        <f t="shared" si="8"/>
        <v>-0.60000000007676102</v>
      </c>
      <c r="L9" s="26">
        <f t="shared" si="9"/>
        <v>-0.49999999998817701</v>
      </c>
      <c r="M9" s="6">
        <v>5.2819000000000003</v>
      </c>
      <c r="N9" s="35">
        <f t="shared" si="2"/>
        <v>797.08820000000003</v>
      </c>
      <c r="O9" s="24">
        <f t="shared" si="10"/>
        <v>-0.20000000006348301</v>
      </c>
      <c r="P9" s="25">
        <f t="shared" si="11"/>
        <v>-0.40000000001327901</v>
      </c>
      <c r="Q9" s="26">
        <f t="shared" si="12"/>
        <v>-0.20000000006348301</v>
      </c>
      <c r="R9" s="41"/>
      <c r="S9" s="21">
        <f t="shared" si="3"/>
        <v>44753</v>
      </c>
      <c r="T9" s="42">
        <v>9.2447999999999997</v>
      </c>
      <c r="U9" s="43">
        <f t="shared" si="13"/>
        <v>-0.30000000000107702</v>
      </c>
      <c r="V9" s="44">
        <f t="shared" si="14"/>
        <v>-0.50000000000061096</v>
      </c>
      <c r="W9" s="45">
        <f t="shared" si="15"/>
        <v>0.30000000000107702</v>
      </c>
      <c r="X9" s="29">
        <v>12.086399999999999</v>
      </c>
      <c r="Y9" s="43">
        <f t="shared" si="16"/>
        <v>-0.20000000000130999</v>
      </c>
      <c r="Z9" s="44">
        <f t="shared" si="17"/>
        <v>-0.70000000000014495</v>
      </c>
      <c r="AA9" s="45">
        <f t="shared" si="18"/>
        <v>-0.20000000000130999</v>
      </c>
      <c r="AB9" s="49">
        <v>8.9766999999999992</v>
      </c>
      <c r="AC9" s="43">
        <f t="shared" si="19"/>
        <v>-0.50000000000061096</v>
      </c>
      <c r="AD9" s="44">
        <f t="shared" si="20"/>
        <v>-0.60000000000037801</v>
      </c>
      <c r="AE9" s="45">
        <f t="shared" si="21"/>
        <v>-0.50000000000061096</v>
      </c>
      <c r="AF9" s="50">
        <v>80010</v>
      </c>
      <c r="AG9" s="58">
        <f t="shared" si="22"/>
        <v>19</v>
      </c>
      <c r="AH9" s="61"/>
      <c r="AI9" s="60"/>
      <c r="AJ9"/>
      <c r="AK9"/>
      <c r="AL9"/>
      <c r="AM9"/>
    </row>
    <row r="10" spans="1:48">
      <c r="A10" s="21">
        <v>44754</v>
      </c>
      <c r="B10" s="22">
        <v>791.80629999999996</v>
      </c>
      <c r="C10" s="27">
        <v>5.1007999999999996</v>
      </c>
      <c r="D10" s="23">
        <f t="shared" si="0"/>
        <v>796.90710000000001</v>
      </c>
      <c r="E10" s="24">
        <f t="shared" si="4"/>
        <v>-0.199999999949796</v>
      </c>
      <c r="F10" s="25">
        <f t="shared" si="5"/>
        <v>-0.49999999998817701</v>
      </c>
      <c r="G10" s="26">
        <f t="shared" si="6"/>
        <v>-0.199999999949796</v>
      </c>
      <c r="H10" s="6">
        <v>6.8563999999999998</v>
      </c>
      <c r="I10" s="35">
        <f t="shared" si="1"/>
        <v>798.66269999999997</v>
      </c>
      <c r="J10" s="24">
        <f t="shared" si="7"/>
        <v>-0.199999999949796</v>
      </c>
      <c r="K10" s="25">
        <f t="shared" si="8"/>
        <v>-0.80000000002655702</v>
      </c>
      <c r="L10" s="26">
        <f t="shared" si="9"/>
        <v>-0.199999999949796</v>
      </c>
      <c r="M10" s="6">
        <v>5.2816999999999998</v>
      </c>
      <c r="N10" s="35">
        <f t="shared" si="2"/>
        <v>797.08799999999997</v>
      </c>
      <c r="O10" s="24">
        <f t="shared" si="10"/>
        <v>-0.199999999949796</v>
      </c>
      <c r="P10" s="25">
        <f t="shared" si="11"/>
        <v>-0.59999999996307496</v>
      </c>
      <c r="Q10" s="26">
        <f t="shared" si="12"/>
        <v>-0.199999999949796</v>
      </c>
      <c r="R10" s="41"/>
      <c r="S10" s="21">
        <f t="shared" si="3"/>
        <v>44754</v>
      </c>
      <c r="T10" s="42">
        <v>9.2445000000000004</v>
      </c>
      <c r="U10" s="43">
        <f t="shared" si="13"/>
        <v>-0.29999999999930099</v>
      </c>
      <c r="V10" s="44">
        <f t="shared" si="14"/>
        <v>-0.799999999999912</v>
      </c>
      <c r="W10" s="45">
        <f t="shared" si="15"/>
        <v>0.29999999999930099</v>
      </c>
      <c r="X10" s="29">
        <v>12.086499999999999</v>
      </c>
      <c r="Y10" s="43">
        <f t="shared" si="16"/>
        <v>9.99999999997669E-2</v>
      </c>
      <c r="Z10" s="44">
        <f t="shared" si="17"/>
        <v>-0.60000000000037801</v>
      </c>
      <c r="AA10" s="45">
        <f t="shared" si="18"/>
        <v>9.99999999997669E-2</v>
      </c>
      <c r="AB10" s="49">
        <v>8.9764999999999997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80013</v>
      </c>
      <c r="AG10" s="58">
        <f t="shared" si="22"/>
        <v>22</v>
      </c>
      <c r="AH10" s="59"/>
      <c r="AI10" s="60"/>
      <c r="AJ10" s="61"/>
      <c r="AK10" s="62"/>
      <c r="AL10" s="52"/>
      <c r="AM10" s="52"/>
    </row>
    <row r="11" spans="1:48">
      <c r="A11" s="21">
        <v>44755</v>
      </c>
      <c r="B11" s="22">
        <v>791.80629999999996</v>
      </c>
      <c r="C11" s="27">
        <v>5.1009000000000002</v>
      </c>
      <c r="D11" s="23">
        <f t="shared" si="0"/>
        <v>796.90719999999999</v>
      </c>
      <c r="E11" s="24">
        <f t="shared" si="4"/>
        <v>9.9999999974897905E-2</v>
      </c>
      <c r="F11" s="25">
        <f t="shared" si="5"/>
        <v>-0.40000000001327901</v>
      </c>
      <c r="G11" s="26">
        <f t="shared" si="6"/>
        <v>9.9999999974897905E-2</v>
      </c>
      <c r="H11" s="6">
        <v>6.8562000000000003</v>
      </c>
      <c r="I11" s="35">
        <f t="shared" si="1"/>
        <v>798.66250000000002</v>
      </c>
      <c r="J11" s="24">
        <f t="shared" si="7"/>
        <v>-0.20000000006348301</v>
      </c>
      <c r="K11" s="25">
        <f t="shared" si="8"/>
        <v>-1.00000000009004</v>
      </c>
      <c r="L11" s="26">
        <f t="shared" si="9"/>
        <v>-0.20000000006348301</v>
      </c>
      <c r="M11" s="6">
        <v>5.2815000000000003</v>
      </c>
      <c r="N11" s="35">
        <f t="shared" si="2"/>
        <v>797.08780000000002</v>
      </c>
      <c r="O11" s="24">
        <f t="shared" si="10"/>
        <v>-0.199999999949796</v>
      </c>
      <c r="P11" s="25">
        <f t="shared" si="11"/>
        <v>-0.79999999991286996</v>
      </c>
      <c r="Q11" s="26">
        <f t="shared" si="12"/>
        <v>-0.199999999949796</v>
      </c>
      <c r="R11" s="41"/>
      <c r="S11" s="21">
        <f t="shared" si="3"/>
        <v>44755</v>
      </c>
      <c r="T11" s="42">
        <v>9.2440999999999995</v>
      </c>
      <c r="U11" s="43">
        <f t="shared" si="13"/>
        <v>-0.40000000000084401</v>
      </c>
      <c r="V11" s="44">
        <f t="shared" si="14"/>
        <v>-1.20000000000076</v>
      </c>
      <c r="W11" s="45">
        <f t="shared" si="15"/>
        <v>0.40000000000084401</v>
      </c>
      <c r="X11" s="29">
        <v>12.086</v>
      </c>
      <c r="Y11" s="43">
        <f t="shared" si="16"/>
        <v>-0.49999999999883499</v>
      </c>
      <c r="Z11" s="44">
        <f t="shared" si="17"/>
        <v>-1.0999999999992101</v>
      </c>
      <c r="AA11" s="45">
        <f t="shared" si="18"/>
        <v>-0.49999999999883499</v>
      </c>
      <c r="AB11" s="49">
        <v>8.9763999999999999</v>
      </c>
      <c r="AC11" s="43">
        <f t="shared" si="19"/>
        <v>-9.99999999997669E-2</v>
      </c>
      <c r="AD11" s="44">
        <f t="shared" si="20"/>
        <v>-0.89999999999967895</v>
      </c>
      <c r="AE11" s="45">
        <f t="shared" si="21"/>
        <v>-9.99999999997669E-2</v>
      </c>
      <c r="AF11" s="50">
        <v>80016</v>
      </c>
      <c r="AG11" s="58">
        <f t="shared" si="22"/>
        <v>25</v>
      </c>
      <c r="AH11" s="61"/>
      <c r="AI11" s="60"/>
      <c r="AJ11"/>
      <c r="AK11"/>
      <c r="AL11"/>
      <c r="AM11"/>
    </row>
    <row r="12" spans="1:48">
      <c r="A12" s="21">
        <v>44756</v>
      </c>
      <c r="B12" s="22">
        <v>791.80629999999996</v>
      </c>
      <c r="C12" s="27">
        <v>5.1003999999999996</v>
      </c>
      <c r="D12" s="23">
        <f t="shared" si="0"/>
        <v>796.9067</v>
      </c>
      <c r="E12" s="24">
        <f t="shared" si="4"/>
        <v>-0.49999999998817701</v>
      </c>
      <c r="F12" s="25">
        <f t="shared" si="5"/>
        <v>-0.90000000000145497</v>
      </c>
      <c r="G12" s="26">
        <f t="shared" si="6"/>
        <v>-0.49999999998817701</v>
      </c>
      <c r="H12" s="6">
        <v>6.8563000000000001</v>
      </c>
      <c r="I12" s="35">
        <f t="shared" si="1"/>
        <v>798.6626</v>
      </c>
      <c r="J12" s="24">
        <f t="shared" si="7"/>
        <v>0.10000000008858501</v>
      </c>
      <c r="K12" s="25">
        <f t="shared" si="8"/>
        <v>-0.90000000000145497</v>
      </c>
      <c r="L12" s="26">
        <f t="shared" si="9"/>
        <v>0.10000000008858501</v>
      </c>
      <c r="M12" s="6">
        <v>5.2813999999999997</v>
      </c>
      <c r="N12" s="35">
        <f t="shared" si="2"/>
        <v>797.08770000000004</v>
      </c>
      <c r="O12" s="24">
        <f t="shared" si="10"/>
        <v>-0.10000000008858501</v>
      </c>
      <c r="P12" s="25">
        <f t="shared" si="11"/>
        <v>-0.90000000000145497</v>
      </c>
      <c r="Q12" s="26">
        <f t="shared" si="12"/>
        <v>-0.10000000008858501</v>
      </c>
      <c r="R12" s="41"/>
      <c r="S12" s="21">
        <f t="shared" si="3"/>
        <v>44756</v>
      </c>
      <c r="T12" s="42">
        <v>9.2439</v>
      </c>
      <c r="U12" s="43">
        <f t="shared" si="13"/>
        <v>-0.19999999999953399</v>
      </c>
      <c r="V12" s="44">
        <f t="shared" si="14"/>
        <v>-1.4000000000002899</v>
      </c>
      <c r="W12" s="45">
        <f t="shared" si="15"/>
        <v>0.19999999999953399</v>
      </c>
      <c r="X12" s="29">
        <v>12.085800000000001</v>
      </c>
      <c r="Y12" s="43">
        <f t="shared" si="16"/>
        <v>-0.19999999999953399</v>
      </c>
      <c r="Z12" s="44">
        <f t="shared" si="17"/>
        <v>-1.2999999999987499</v>
      </c>
      <c r="AA12" s="45">
        <f t="shared" si="18"/>
        <v>-0.19999999999953399</v>
      </c>
      <c r="AB12" s="49">
        <v>8.9761000000000006</v>
      </c>
      <c r="AC12" s="43">
        <f t="shared" si="19"/>
        <v>-0.29999999999930099</v>
      </c>
      <c r="AD12" s="44">
        <f t="shared" si="20"/>
        <v>-1.1999999999989801</v>
      </c>
      <c r="AE12" s="45">
        <f t="shared" si="21"/>
        <v>-0.29999999999930099</v>
      </c>
      <c r="AF12" s="50">
        <v>80019</v>
      </c>
      <c r="AG12" s="58">
        <f t="shared" si="22"/>
        <v>28</v>
      </c>
      <c r="AH12" s="59"/>
      <c r="AI12" s="60"/>
      <c r="AJ12"/>
      <c r="AK12"/>
      <c r="AL12"/>
      <c r="AM12"/>
    </row>
    <row r="13" spans="1:48">
      <c r="A13" s="21">
        <v>44757</v>
      </c>
      <c r="B13" s="22">
        <v>791.80629999999996</v>
      </c>
      <c r="C13" s="27">
        <v>5.1002000000000001</v>
      </c>
      <c r="D13" s="23">
        <f t="shared" si="0"/>
        <v>796.90650000000005</v>
      </c>
      <c r="E13" s="24">
        <f t="shared" si="4"/>
        <v>-0.20000000006348301</v>
      </c>
      <c r="F13" s="25">
        <f t="shared" si="5"/>
        <v>-1.1000000000649399</v>
      </c>
      <c r="G13" s="26">
        <f t="shared" si="6"/>
        <v>-0.20000000006348301</v>
      </c>
      <c r="H13" s="6">
        <v>6.8558000000000003</v>
      </c>
      <c r="I13" s="35">
        <f t="shared" si="1"/>
        <v>798.66210000000001</v>
      </c>
      <c r="J13" s="24">
        <f t="shared" si="7"/>
        <v>-0.49999999998817701</v>
      </c>
      <c r="K13" s="25">
        <f t="shared" si="8"/>
        <v>-1.39999999998963</v>
      </c>
      <c r="L13" s="26">
        <f t="shared" si="9"/>
        <v>-0.49999999998817701</v>
      </c>
      <c r="M13" s="6">
        <v>5.2811000000000003</v>
      </c>
      <c r="N13" s="35">
        <f t="shared" si="2"/>
        <v>797.0874</v>
      </c>
      <c r="O13" s="24">
        <f t="shared" si="10"/>
        <v>-0.29999999992469401</v>
      </c>
      <c r="P13" s="25">
        <f t="shared" si="11"/>
        <v>-1.1999999999261499</v>
      </c>
      <c r="Q13" s="26">
        <f t="shared" si="12"/>
        <v>-0.29999999992469401</v>
      </c>
      <c r="R13" s="41"/>
      <c r="S13" s="21">
        <f t="shared" si="3"/>
        <v>44757</v>
      </c>
      <c r="T13" s="42">
        <v>9.2436000000000007</v>
      </c>
      <c r="U13" s="43">
        <f t="shared" si="13"/>
        <v>-0.29999999999930099</v>
      </c>
      <c r="V13" s="44">
        <f t="shared" si="14"/>
        <v>-1.6999999999995901</v>
      </c>
      <c r="W13" s="45">
        <f t="shared" si="15"/>
        <v>0.29999999999930099</v>
      </c>
      <c r="X13" s="29">
        <v>12.086</v>
      </c>
      <c r="Y13" s="43">
        <f t="shared" si="16"/>
        <v>0.19999999999953399</v>
      </c>
      <c r="Z13" s="44">
        <f t="shared" si="17"/>
        <v>-1.0999999999992101</v>
      </c>
      <c r="AA13" s="45">
        <f t="shared" si="18"/>
        <v>0.19999999999953399</v>
      </c>
      <c r="AB13" s="49">
        <v>8.9758999999999993</v>
      </c>
      <c r="AC13" s="43">
        <f t="shared" si="19"/>
        <v>-0.20000000000130999</v>
      </c>
      <c r="AD13" s="44">
        <f t="shared" si="20"/>
        <v>-1.4000000000002899</v>
      </c>
      <c r="AE13" s="45">
        <f t="shared" si="21"/>
        <v>-0.20000000000130999</v>
      </c>
      <c r="AF13" s="50">
        <v>80022</v>
      </c>
      <c r="AG13" s="58">
        <f t="shared" si="22"/>
        <v>31</v>
      </c>
      <c r="AH13" s="61"/>
      <c r="AI13" s="60"/>
      <c r="AJ13"/>
      <c r="AK13"/>
      <c r="AL13"/>
      <c r="AM13"/>
    </row>
    <row r="14" spans="1:48">
      <c r="A14" s="21">
        <v>44758</v>
      </c>
      <c r="B14" s="22">
        <v>791.80629999999996</v>
      </c>
      <c r="C14" s="27">
        <v>5.1001000000000003</v>
      </c>
      <c r="D14" s="23">
        <f t="shared" si="0"/>
        <v>796.90639999999996</v>
      </c>
      <c r="E14" s="24">
        <f t="shared" si="4"/>
        <v>-9.9999999974897905E-2</v>
      </c>
      <c r="F14" s="25">
        <f t="shared" si="5"/>
        <v>-1.2000000000398401</v>
      </c>
      <c r="G14" s="26">
        <f t="shared" si="6"/>
        <v>-9.9999999974897905E-2</v>
      </c>
      <c r="H14" s="6">
        <v>6.8555999999999999</v>
      </c>
      <c r="I14" s="35">
        <f t="shared" si="1"/>
        <v>798.66189999999995</v>
      </c>
      <c r="J14" s="24">
        <f t="shared" si="7"/>
        <v>-0.20000000006348301</v>
      </c>
      <c r="K14" s="25">
        <f t="shared" si="8"/>
        <v>-1.60000000005311</v>
      </c>
      <c r="L14" s="26">
        <f t="shared" si="9"/>
        <v>-0.20000000006348301</v>
      </c>
      <c r="M14" s="6">
        <v>5.2808999999999999</v>
      </c>
      <c r="N14" s="35">
        <f t="shared" si="2"/>
        <v>797.08720000000005</v>
      </c>
      <c r="O14" s="24">
        <f t="shared" si="10"/>
        <v>-0.20000000006348301</v>
      </c>
      <c r="P14" s="25">
        <f t="shared" si="11"/>
        <v>-1.39999999998963</v>
      </c>
      <c r="Q14" s="26">
        <f t="shared" si="12"/>
        <v>-0.20000000006348301</v>
      </c>
      <c r="R14" s="41"/>
      <c r="S14" s="21">
        <f t="shared" si="3"/>
        <v>44758</v>
      </c>
      <c r="T14" s="42">
        <v>9.2434999999999992</v>
      </c>
      <c r="U14" s="43">
        <f t="shared" si="13"/>
        <v>-0.10000000000154299</v>
      </c>
      <c r="V14" s="44">
        <f t="shared" si="14"/>
        <v>-1.80000000000113</v>
      </c>
      <c r="W14" s="45">
        <f t="shared" si="15"/>
        <v>0.10000000000154299</v>
      </c>
      <c r="X14" s="29">
        <v>12.0854</v>
      </c>
      <c r="Y14" s="43">
        <f t="shared" si="16"/>
        <v>-0.60000000000037801</v>
      </c>
      <c r="Z14" s="44">
        <f t="shared" si="17"/>
        <v>-1.6999999999995901</v>
      </c>
      <c r="AA14" s="45">
        <f t="shared" si="18"/>
        <v>-0.60000000000037801</v>
      </c>
      <c r="AB14" s="49">
        <v>8.9760000000000009</v>
      </c>
      <c r="AC14" s="43">
        <f t="shared" si="19"/>
        <v>0.10000000000154299</v>
      </c>
      <c r="AD14" s="44">
        <f t="shared" si="20"/>
        <v>-1.2999999999987499</v>
      </c>
      <c r="AE14" s="45">
        <f t="shared" si="21"/>
        <v>0.10000000000154299</v>
      </c>
      <c r="AF14" s="50">
        <v>80025</v>
      </c>
      <c r="AG14" s="58">
        <f t="shared" si="22"/>
        <v>34</v>
      </c>
      <c r="AH14" s="59"/>
      <c r="AI14" s="60"/>
      <c r="AJ14" s="52"/>
      <c r="AK14" s="52"/>
      <c r="AL14" s="52"/>
      <c r="AM14" s="52"/>
      <c r="AN14" s="63"/>
      <c r="AO14" s="63"/>
      <c r="AP14" s="63"/>
      <c r="AQ14" s="63"/>
      <c r="AR14" s="63"/>
      <c r="AS14" s="63"/>
      <c r="AT14" s="63"/>
      <c r="AU14" s="63"/>
      <c r="AV14" s="63">
        <v>0.7</v>
      </c>
    </row>
    <row r="15" spans="1:48">
      <c r="A15" s="21">
        <v>44759</v>
      </c>
      <c r="B15" s="22">
        <v>791.80629999999996</v>
      </c>
      <c r="C15" s="27">
        <v>5.0998000000000001</v>
      </c>
      <c r="D15" s="23">
        <f t="shared" si="0"/>
        <v>796.90610000000004</v>
      </c>
      <c r="E15" s="24">
        <f t="shared" si="4"/>
        <v>-0.30000000003838101</v>
      </c>
      <c r="F15" s="25">
        <f t="shared" si="5"/>
        <v>-1.5000000000782201</v>
      </c>
      <c r="G15" s="26">
        <f t="shared" si="6"/>
        <v>-0.30000000003838101</v>
      </c>
      <c r="H15" s="6">
        <v>6.8550000000000004</v>
      </c>
      <c r="I15" s="35">
        <f t="shared" si="1"/>
        <v>798.66129999999998</v>
      </c>
      <c r="J15" s="24">
        <f t="shared" si="7"/>
        <v>-0.59999999996307496</v>
      </c>
      <c r="K15" s="25">
        <f t="shared" si="8"/>
        <v>-2.2000000000161899</v>
      </c>
      <c r="L15" s="26">
        <f t="shared" si="9"/>
        <v>-0.59999999996307496</v>
      </c>
      <c r="M15" s="6">
        <v>5.2808000000000002</v>
      </c>
      <c r="N15" s="35">
        <f t="shared" si="2"/>
        <v>797.08709999999996</v>
      </c>
      <c r="O15" s="24">
        <f t="shared" si="10"/>
        <v>-9.9999999974897905E-2</v>
      </c>
      <c r="P15" s="25">
        <f t="shared" si="11"/>
        <v>-1.4999999999645299</v>
      </c>
      <c r="Q15" s="26">
        <f t="shared" si="12"/>
        <v>-9.9999999974897905E-2</v>
      </c>
      <c r="R15" s="41"/>
      <c r="S15" s="21">
        <f t="shared" si="3"/>
        <v>44759</v>
      </c>
      <c r="T15" s="42">
        <v>9.2429999999999897</v>
      </c>
      <c r="U15" s="43">
        <f t="shared" si="13"/>
        <v>-0.50000000000949296</v>
      </c>
      <c r="V15" s="44">
        <f t="shared" si="14"/>
        <v>-2.30000000001063</v>
      </c>
      <c r="W15" s="45">
        <f t="shared" si="15"/>
        <v>0.50000000000949296</v>
      </c>
      <c r="X15" s="29">
        <v>12.0852</v>
      </c>
      <c r="Y15" s="43">
        <f t="shared" si="16"/>
        <v>-0.19999999999953399</v>
      </c>
      <c r="Z15" s="44">
        <f t="shared" si="17"/>
        <v>-1.8999999999991199</v>
      </c>
      <c r="AA15" s="45">
        <f t="shared" si="18"/>
        <v>-0.19999999999953399</v>
      </c>
      <c r="AB15" s="49">
        <v>8.9755000000000003</v>
      </c>
      <c r="AC15" s="43">
        <f t="shared" si="19"/>
        <v>-0.50000000000061096</v>
      </c>
      <c r="AD15" s="44">
        <f t="shared" si="20"/>
        <v>-1.7999999999993599</v>
      </c>
      <c r="AE15" s="45">
        <f t="shared" si="21"/>
        <v>-0.50000000000061096</v>
      </c>
      <c r="AF15" s="50">
        <v>80028</v>
      </c>
      <c r="AG15" s="58">
        <f t="shared" si="22"/>
        <v>37</v>
      </c>
      <c r="AH15" s="61"/>
      <c r="AI15" s="60"/>
      <c r="AJ15"/>
      <c r="AK15"/>
      <c r="AL15"/>
      <c r="AM15"/>
    </row>
    <row r="16" spans="1:48">
      <c r="A16" s="21">
        <v>44760</v>
      </c>
      <c r="B16" s="22">
        <v>791.80629999999996</v>
      </c>
      <c r="C16" s="27">
        <v>5.0995999999999997</v>
      </c>
      <c r="D16" s="23">
        <f t="shared" si="0"/>
        <v>796.90589999999997</v>
      </c>
      <c r="E16" s="24">
        <f t="shared" si="4"/>
        <v>-0.199999999949796</v>
      </c>
      <c r="F16" s="25">
        <f t="shared" si="5"/>
        <v>-1.70000000002801</v>
      </c>
      <c r="G16" s="26">
        <f t="shared" si="6"/>
        <v>-0.199999999949796</v>
      </c>
      <c r="H16" s="6">
        <v>6.8552</v>
      </c>
      <c r="I16" s="35">
        <f t="shared" si="1"/>
        <v>798.66150000000005</v>
      </c>
      <c r="J16" s="24">
        <f t="shared" si="7"/>
        <v>0.199999999949796</v>
      </c>
      <c r="K16" s="25">
        <f t="shared" si="8"/>
        <v>-2.00000000006639</v>
      </c>
      <c r="L16" s="26">
        <f t="shared" si="9"/>
        <v>0.199999999949796</v>
      </c>
      <c r="M16" s="6">
        <v>5.2805</v>
      </c>
      <c r="N16" s="35">
        <f t="shared" si="2"/>
        <v>797.08680000000004</v>
      </c>
      <c r="O16" s="24">
        <f t="shared" si="10"/>
        <v>-0.30000000003838101</v>
      </c>
      <c r="P16" s="25">
        <f t="shared" si="11"/>
        <v>-1.8000000000029099</v>
      </c>
      <c r="Q16" s="26">
        <f t="shared" si="12"/>
        <v>-0.30000000003838101</v>
      </c>
      <c r="R16" s="41"/>
      <c r="S16" s="21">
        <f t="shared" si="3"/>
        <v>44760</v>
      </c>
      <c r="T16" s="42">
        <v>9.2426999999999904</v>
      </c>
      <c r="U16" s="43">
        <f t="shared" si="13"/>
        <v>-0.29999999999930099</v>
      </c>
      <c r="V16" s="44">
        <f t="shared" si="14"/>
        <v>-2.6000000000099299</v>
      </c>
      <c r="W16" s="45">
        <f t="shared" si="15"/>
        <v>0.29999999999930099</v>
      </c>
      <c r="X16" s="29">
        <v>12.0853</v>
      </c>
      <c r="Y16" s="43">
        <f t="shared" si="16"/>
        <v>9.99999999997669E-2</v>
      </c>
      <c r="Z16" s="44">
        <f t="shared" si="17"/>
        <v>-1.7999999999993599</v>
      </c>
      <c r="AA16" s="45">
        <f t="shared" si="18"/>
        <v>9.99999999997669E-2</v>
      </c>
      <c r="AB16" s="49">
        <v>8.9753000000000007</v>
      </c>
      <c r="AC16" s="43">
        <f t="shared" si="19"/>
        <v>-0.19999999999953399</v>
      </c>
      <c r="AD16" s="44">
        <f t="shared" si="20"/>
        <v>-1.99999999999889</v>
      </c>
      <c r="AE16" s="45">
        <f t="shared" si="21"/>
        <v>-0.19999999999953399</v>
      </c>
      <c r="AF16" s="50">
        <v>80031</v>
      </c>
      <c r="AG16" s="58">
        <f t="shared" si="22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44761</v>
      </c>
      <c r="B17" s="22">
        <v>791.80629999999996</v>
      </c>
      <c r="C17" s="27">
        <v>5.0999999999999996</v>
      </c>
      <c r="D17" s="23">
        <f t="shared" si="0"/>
        <v>796.90629999999999</v>
      </c>
      <c r="E17" s="24">
        <f t="shared" si="4"/>
        <v>0.40000000001327901</v>
      </c>
      <c r="F17" s="25">
        <f t="shared" si="5"/>
        <v>-1.30000000001473</v>
      </c>
      <c r="G17" s="26">
        <f t="shared" si="6"/>
        <v>0.40000000001327901</v>
      </c>
      <c r="H17" s="6">
        <v>6.8550000000000004</v>
      </c>
      <c r="I17" s="35">
        <f t="shared" si="1"/>
        <v>798.66129999999998</v>
      </c>
      <c r="J17" s="24">
        <f t="shared" si="7"/>
        <v>-0.199999999949796</v>
      </c>
      <c r="K17" s="25">
        <f t="shared" si="8"/>
        <v>-2.2000000000161899</v>
      </c>
      <c r="L17" s="26">
        <f t="shared" si="9"/>
        <v>-0.199999999949796</v>
      </c>
      <c r="M17" s="6">
        <v>5.2803000000000004</v>
      </c>
      <c r="N17" s="35">
        <f t="shared" si="2"/>
        <v>797.08659999999998</v>
      </c>
      <c r="O17" s="24">
        <f t="shared" si="10"/>
        <v>-0.199999999949796</v>
      </c>
      <c r="P17" s="25">
        <f t="shared" si="11"/>
        <v>-1.9999999999527101</v>
      </c>
      <c r="Q17" s="26">
        <f t="shared" si="12"/>
        <v>-0.199999999949796</v>
      </c>
      <c r="R17" s="41"/>
      <c r="S17" s="21">
        <f t="shared" si="3"/>
        <v>44761</v>
      </c>
      <c r="T17" s="42">
        <v>9.2425999999999995</v>
      </c>
      <c r="U17" s="43">
        <f t="shared" si="13"/>
        <v>-9.9999999990885199E-2</v>
      </c>
      <c r="V17" s="44">
        <f t="shared" si="14"/>
        <v>-2.7000000000008102</v>
      </c>
      <c r="W17" s="45">
        <f t="shared" si="15"/>
        <v>9.9999999990885199E-2</v>
      </c>
      <c r="X17" s="29">
        <v>12.0848</v>
      </c>
      <c r="Y17" s="43">
        <f t="shared" si="16"/>
        <v>-0.50000000000061096</v>
      </c>
      <c r="Z17" s="44">
        <f t="shared" si="17"/>
        <v>-2.2999999999999701</v>
      </c>
      <c r="AA17" s="45">
        <f t="shared" si="18"/>
        <v>-0.50000000000061096</v>
      </c>
      <c r="AB17" s="49">
        <v>8.9749999999999996</v>
      </c>
      <c r="AC17" s="43">
        <f t="shared" si="19"/>
        <v>-0.30000000000107702</v>
      </c>
      <c r="AD17" s="44">
        <f t="shared" si="20"/>
        <v>-2.2999999999999701</v>
      </c>
      <c r="AE17" s="45">
        <f t="shared" si="21"/>
        <v>-0.30000000000107702</v>
      </c>
      <c r="AF17" s="50">
        <v>80034</v>
      </c>
      <c r="AG17" s="58">
        <f t="shared" si="22"/>
        <v>43</v>
      </c>
      <c r="AH17" s="61"/>
      <c r="AI17" s="52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44762</v>
      </c>
      <c r="B18" s="22">
        <v>791.80629999999996</v>
      </c>
      <c r="C18" s="27">
        <v>5.0998000000000001</v>
      </c>
      <c r="D18" s="23">
        <f t="shared" si="0"/>
        <v>796.90610000000004</v>
      </c>
      <c r="E18" s="24">
        <f t="shared" si="4"/>
        <v>-0.20000000006348301</v>
      </c>
      <c r="F18" s="25">
        <f t="shared" si="5"/>
        <v>-1.5000000000782201</v>
      </c>
      <c r="G18" s="26">
        <f t="shared" si="6"/>
        <v>-0.20000000006348301</v>
      </c>
      <c r="H18" s="6">
        <v>6.8548999999999998</v>
      </c>
      <c r="I18" s="35">
        <f t="shared" si="1"/>
        <v>798.66120000000001</v>
      </c>
      <c r="J18" s="24">
        <f t="shared" si="7"/>
        <v>-9.9999999974897905E-2</v>
      </c>
      <c r="K18" s="25">
        <f t="shared" si="8"/>
        <v>-2.2999999999910901</v>
      </c>
      <c r="L18" s="26">
        <f t="shared" si="9"/>
        <v>-9.9999999974897905E-2</v>
      </c>
      <c r="M18" s="6">
        <v>5.2804000000000002</v>
      </c>
      <c r="N18" s="35">
        <f t="shared" si="2"/>
        <v>797.08669999999995</v>
      </c>
      <c r="O18" s="24">
        <f t="shared" si="10"/>
        <v>9.9999999974897905E-2</v>
      </c>
      <c r="P18" s="25">
        <f t="shared" si="11"/>
        <v>-1.8999999999778101</v>
      </c>
      <c r="Q18" s="26">
        <f t="shared" si="12"/>
        <v>9.9999999974897905E-2</v>
      </c>
      <c r="R18" s="41"/>
      <c r="S18" s="21">
        <f t="shared" si="3"/>
        <v>44762</v>
      </c>
      <c r="T18" s="42">
        <v>9.2423999999999999</v>
      </c>
      <c r="U18" s="43">
        <f t="shared" si="13"/>
        <v>-0.19999999999953399</v>
      </c>
      <c r="V18" s="44">
        <f t="shared" si="14"/>
        <v>-2.9000000000003499</v>
      </c>
      <c r="W18" s="45">
        <f t="shared" si="15"/>
        <v>0.19999999999953399</v>
      </c>
      <c r="X18" s="29">
        <v>12.0847</v>
      </c>
      <c r="Y18" s="43">
        <f t="shared" si="16"/>
        <v>-9.99999999997669E-2</v>
      </c>
      <c r="Z18" s="44">
        <f t="shared" si="17"/>
        <v>-2.3999999999997401</v>
      </c>
      <c r="AA18" s="45">
        <f t="shared" si="18"/>
        <v>-9.99999999997669E-2</v>
      </c>
      <c r="AB18" s="49">
        <v>8.9749000000000105</v>
      </c>
      <c r="AC18" s="43">
        <f t="shared" si="19"/>
        <v>-9.9999999989108801E-2</v>
      </c>
      <c r="AD18" s="44">
        <f t="shared" si="20"/>
        <v>-2.3999999999890802</v>
      </c>
      <c r="AE18" s="45">
        <f t="shared" si="21"/>
        <v>-9.9999999989108801E-2</v>
      </c>
      <c r="AF18" s="50">
        <v>80037</v>
      </c>
      <c r="AG18" s="58">
        <f t="shared" si="22"/>
        <v>46</v>
      </c>
      <c r="AH18" s="59"/>
      <c r="AI18" s="52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44763</v>
      </c>
      <c r="B19" s="22">
        <v>791.80629999999996</v>
      </c>
      <c r="C19" s="27">
        <v>5.0995999999999997</v>
      </c>
      <c r="D19" s="23">
        <f t="shared" si="0"/>
        <v>796.90589999999997</v>
      </c>
      <c r="E19" s="24">
        <f t="shared" si="4"/>
        <v>-0.199999999949796</v>
      </c>
      <c r="F19" s="25">
        <f t="shared" si="5"/>
        <v>-1.70000000002801</v>
      </c>
      <c r="G19" s="26">
        <f t="shared" si="6"/>
        <v>-0.199999999949796</v>
      </c>
      <c r="H19" s="6">
        <v>6.8548</v>
      </c>
      <c r="I19" s="35">
        <f t="shared" si="1"/>
        <v>798.66110000000003</v>
      </c>
      <c r="J19" s="24">
        <f t="shared" si="7"/>
        <v>-0.10000000008858501</v>
      </c>
      <c r="K19" s="25">
        <f t="shared" si="8"/>
        <v>-2.40000000007967</v>
      </c>
      <c r="L19" s="26">
        <f t="shared" si="9"/>
        <v>-0.10000000008858501</v>
      </c>
      <c r="M19" s="6">
        <v>5.2805</v>
      </c>
      <c r="N19" s="35">
        <f t="shared" si="2"/>
        <v>797.08680000000004</v>
      </c>
      <c r="O19" s="24">
        <f t="shared" si="10"/>
        <v>9.9999999974897905E-2</v>
      </c>
      <c r="P19" s="25">
        <f t="shared" si="11"/>
        <v>-1.8000000000029099</v>
      </c>
      <c r="Q19" s="26">
        <f t="shared" si="12"/>
        <v>9.9999999974897905E-2</v>
      </c>
      <c r="R19" s="41"/>
      <c r="S19" s="21">
        <f t="shared" si="3"/>
        <v>44763</v>
      </c>
      <c r="T19" s="42">
        <v>9.2422000000000004</v>
      </c>
      <c r="U19" s="43">
        <f t="shared" si="13"/>
        <v>-0.19999999999953399</v>
      </c>
      <c r="V19" s="44">
        <f t="shared" si="14"/>
        <v>-3.0999999999998802</v>
      </c>
      <c r="W19" s="45">
        <f t="shared" si="15"/>
        <v>0.19999999999953399</v>
      </c>
      <c r="X19" s="29">
        <v>12.0846</v>
      </c>
      <c r="Y19" s="43">
        <f t="shared" si="16"/>
        <v>-9.99999999997669E-2</v>
      </c>
      <c r="Z19" s="44">
        <f t="shared" si="17"/>
        <v>-2.4999999999995</v>
      </c>
      <c r="AA19" s="45">
        <f t="shared" si="18"/>
        <v>-9.99999999997669E-2</v>
      </c>
      <c r="AB19" s="49">
        <v>8.9748000000000197</v>
      </c>
      <c r="AC19" s="43">
        <f t="shared" si="19"/>
        <v>-9.9999999990885199E-2</v>
      </c>
      <c r="AD19" s="44">
        <f t="shared" si="20"/>
        <v>-2.49999999997996</v>
      </c>
      <c r="AE19" s="45">
        <f t="shared" si="21"/>
        <v>-9.9999999990885199E-2</v>
      </c>
      <c r="AF19" s="50">
        <v>80040</v>
      </c>
      <c r="AG19" s="58">
        <f t="shared" si="22"/>
        <v>49</v>
      </c>
      <c r="AH19" s="61"/>
      <c r="AI19" s="60"/>
      <c r="AJ19"/>
      <c r="AK19"/>
      <c r="AL19"/>
      <c r="AM19"/>
    </row>
    <row r="20" spans="1:48">
      <c r="A20" s="21">
        <v>44764</v>
      </c>
      <c r="B20" s="22">
        <v>791.80629999999996</v>
      </c>
      <c r="C20" s="27">
        <v>5.0994000000000002</v>
      </c>
      <c r="D20" s="23">
        <f t="shared" si="0"/>
        <v>796.90570000000002</v>
      </c>
      <c r="E20" s="24">
        <f t="shared" si="4"/>
        <v>-0.20000000006348301</v>
      </c>
      <c r="F20" s="25">
        <f t="shared" si="5"/>
        <v>-1.9000000000915001</v>
      </c>
      <c r="G20" s="26">
        <f t="shared" si="6"/>
        <v>-0.20000000006348301</v>
      </c>
      <c r="H20" s="6">
        <v>6.8547000000000002</v>
      </c>
      <c r="I20" s="35">
        <f t="shared" si="1"/>
        <v>798.66099999999994</v>
      </c>
      <c r="J20" s="24">
        <f t="shared" si="7"/>
        <v>-9.9999999974897905E-2</v>
      </c>
      <c r="K20" s="25">
        <f t="shared" si="8"/>
        <v>-2.5000000000545701</v>
      </c>
      <c r="L20" s="26">
        <f t="shared" si="9"/>
        <v>-9.9999999974897905E-2</v>
      </c>
      <c r="M20" s="6">
        <v>5.2804000000000002</v>
      </c>
      <c r="N20" s="35">
        <f t="shared" si="2"/>
        <v>797.08669999999995</v>
      </c>
      <c r="O20" s="24">
        <f t="shared" si="10"/>
        <v>-9.9999999974897905E-2</v>
      </c>
      <c r="P20" s="25">
        <f t="shared" si="11"/>
        <v>-1.8999999999778101</v>
      </c>
      <c r="Q20" s="26">
        <f t="shared" si="12"/>
        <v>-9.9999999974897905E-2</v>
      </c>
      <c r="R20" s="41"/>
      <c r="S20" s="21">
        <f t="shared" si="3"/>
        <v>44764</v>
      </c>
      <c r="T20" s="42">
        <v>9.2421000000000006</v>
      </c>
      <c r="U20" s="43">
        <f t="shared" si="13"/>
        <v>-9.99999999997669E-2</v>
      </c>
      <c r="V20" s="44">
        <f t="shared" si="14"/>
        <v>-3.1999999999996498</v>
      </c>
      <c r="W20" s="45">
        <f t="shared" si="15"/>
        <v>9.99999999997669E-2</v>
      </c>
      <c r="X20" s="29">
        <v>12.0845</v>
      </c>
      <c r="Y20" s="43">
        <f t="shared" si="16"/>
        <v>-9.99999999997669E-2</v>
      </c>
      <c r="Z20" s="44">
        <f t="shared" si="17"/>
        <v>-2.59999999999927</v>
      </c>
      <c r="AA20" s="45">
        <f t="shared" si="18"/>
        <v>-9.99999999997669E-2</v>
      </c>
      <c r="AB20" s="49">
        <v>8.9747000000000305</v>
      </c>
      <c r="AC20" s="43">
        <f t="shared" si="19"/>
        <v>-9.9999999989108801E-2</v>
      </c>
      <c r="AD20" s="44">
        <f t="shared" si="20"/>
        <v>-2.5999999999690702</v>
      </c>
      <c r="AE20" s="45">
        <f t="shared" si="21"/>
        <v>-9.9999999989108801E-2</v>
      </c>
      <c r="AF20" s="50">
        <v>80043</v>
      </c>
      <c r="AG20" s="58">
        <f t="shared" si="22"/>
        <v>52</v>
      </c>
      <c r="AH20" s="59"/>
      <c r="AI20" s="52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44766</v>
      </c>
      <c r="B21" s="22">
        <v>791.80629999999996</v>
      </c>
      <c r="C21" s="27">
        <v>5.0993000000000004</v>
      </c>
      <c r="D21" s="23">
        <f t="shared" si="0"/>
        <v>796.90560000000005</v>
      </c>
      <c r="E21" s="24">
        <f t="shared" si="4"/>
        <v>-9.9999999974897905E-2</v>
      </c>
      <c r="F21" s="25">
        <f t="shared" si="5"/>
        <v>-2.00000000006639</v>
      </c>
      <c r="G21" s="26">
        <f t="shared" si="6"/>
        <v>-4.9999999987449001E-2</v>
      </c>
      <c r="H21" s="6">
        <v>6.8544999999999998</v>
      </c>
      <c r="I21" s="35">
        <f t="shared" si="1"/>
        <v>798.66079999999999</v>
      </c>
      <c r="J21" s="24">
        <f t="shared" si="7"/>
        <v>-0.199999999949796</v>
      </c>
      <c r="K21" s="25">
        <f t="shared" si="8"/>
        <v>-2.70000000000437</v>
      </c>
      <c r="L21" s="26">
        <f t="shared" si="9"/>
        <v>-9.9999999974897905E-2</v>
      </c>
      <c r="M21" s="6">
        <v>5.2807000000000004</v>
      </c>
      <c r="N21" s="35">
        <f t="shared" si="2"/>
        <v>797.08699999999999</v>
      </c>
      <c r="O21" s="24">
        <f t="shared" si="10"/>
        <v>0.30000000003838101</v>
      </c>
      <c r="P21" s="25">
        <f t="shared" si="11"/>
        <v>-1.5999999999394301</v>
      </c>
      <c r="Q21" s="26">
        <f t="shared" si="12"/>
        <v>0.15000000001919001</v>
      </c>
      <c r="R21" s="41"/>
      <c r="S21" s="21">
        <f t="shared" si="3"/>
        <v>44766</v>
      </c>
      <c r="T21" s="42">
        <v>9.2417999999999996</v>
      </c>
      <c r="U21" s="43">
        <f t="shared" si="13"/>
        <v>-0.30000000000107702</v>
      </c>
      <c r="V21" s="44">
        <f t="shared" si="14"/>
        <v>-3.5000000000007199</v>
      </c>
      <c r="W21" s="45">
        <f t="shared" si="15"/>
        <v>0.15000000000053901</v>
      </c>
      <c r="X21" s="29">
        <v>12.0846</v>
      </c>
      <c r="Y21" s="43">
        <f t="shared" si="16"/>
        <v>9.99999999997669E-2</v>
      </c>
      <c r="Z21" s="44">
        <f t="shared" si="17"/>
        <v>-2.4999999999995</v>
      </c>
      <c r="AA21" s="45">
        <f t="shared" si="18"/>
        <v>4.9999999999883499E-2</v>
      </c>
      <c r="AB21" s="49">
        <v>8.9745000000000008</v>
      </c>
      <c r="AC21" s="43">
        <f t="shared" si="19"/>
        <v>-0.20000000002973201</v>
      </c>
      <c r="AD21" s="44">
        <f t="shared" si="20"/>
        <v>-2.7999999999987999</v>
      </c>
      <c r="AE21" s="45">
        <f t="shared" si="21"/>
        <v>-0.100000000014866</v>
      </c>
      <c r="AF21" s="50">
        <v>80046</v>
      </c>
      <c r="AG21" s="58">
        <f t="shared" si="22"/>
        <v>55</v>
      </c>
      <c r="AH21" s="61"/>
      <c r="AI21" s="52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44768</v>
      </c>
      <c r="B22" s="22">
        <v>791.80629999999996</v>
      </c>
      <c r="C22" s="27">
        <v>5.0990000000000002</v>
      </c>
      <c r="D22" s="23">
        <f t="shared" si="0"/>
        <v>796.90530000000001</v>
      </c>
      <c r="E22" s="24">
        <f t="shared" si="4"/>
        <v>-0.29999999992469401</v>
      </c>
      <c r="F22" s="25">
        <f t="shared" si="5"/>
        <v>-2.2999999999910901</v>
      </c>
      <c r="G22" s="26">
        <f t="shared" si="6"/>
        <v>-0.149999999962347</v>
      </c>
      <c r="H22" s="6">
        <v>6.8544999999999998</v>
      </c>
      <c r="I22" s="35">
        <f t="shared" si="1"/>
        <v>798.66079999999999</v>
      </c>
      <c r="J22" s="24">
        <f t="shared" si="7"/>
        <v>0</v>
      </c>
      <c r="K22" s="25">
        <f t="shared" si="8"/>
        <v>-2.70000000000437</v>
      </c>
      <c r="L22" s="26">
        <f t="shared" si="9"/>
        <v>0</v>
      </c>
      <c r="M22" s="6">
        <v>5.2808000000000002</v>
      </c>
      <c r="N22" s="35">
        <f t="shared" si="2"/>
        <v>797.08709999999996</v>
      </c>
      <c r="O22" s="24">
        <f t="shared" si="10"/>
        <v>9.9999999974897905E-2</v>
      </c>
      <c r="P22" s="25">
        <f t="shared" si="11"/>
        <v>-1.4999999999645299</v>
      </c>
      <c r="Q22" s="26">
        <f t="shared" si="12"/>
        <v>4.9999999987449001E-2</v>
      </c>
      <c r="R22" s="41"/>
      <c r="S22" s="21">
        <f t="shared" si="3"/>
        <v>44768</v>
      </c>
      <c r="T22" s="42">
        <v>9.2416</v>
      </c>
      <c r="U22" s="43">
        <f t="shared" si="13"/>
        <v>-0.19999999999953399</v>
      </c>
      <c r="V22" s="44">
        <f t="shared" si="14"/>
        <v>-3.70000000000026</v>
      </c>
      <c r="W22" s="45">
        <f t="shared" si="15"/>
        <v>9.99999999997669E-2</v>
      </c>
      <c r="X22" s="29">
        <v>12.084300000000001</v>
      </c>
      <c r="Y22" s="43">
        <f t="shared" si="16"/>
        <v>-0.29999999999930099</v>
      </c>
      <c r="Z22" s="44">
        <f t="shared" si="17"/>
        <v>-2.7999999999987999</v>
      </c>
      <c r="AA22" s="45">
        <f t="shared" si="18"/>
        <v>-0.14999999999965</v>
      </c>
      <c r="AB22" s="49">
        <v>8.9745000000000505</v>
      </c>
      <c r="AC22" s="43">
        <f t="shared" si="19"/>
        <v>4.9737991503207E-11</v>
      </c>
      <c r="AD22" s="44">
        <f t="shared" si="20"/>
        <v>-2.7999999999490699</v>
      </c>
      <c r="AE22" s="45">
        <f t="shared" si="21"/>
        <v>2.48689957516035E-11</v>
      </c>
      <c r="AF22" s="50">
        <v>80049</v>
      </c>
      <c r="AG22" s="58">
        <f t="shared" si="22"/>
        <v>58</v>
      </c>
      <c r="AH22" s="59"/>
      <c r="AI22" s="52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44770</v>
      </c>
      <c r="B23" s="22">
        <v>791.80629999999996</v>
      </c>
      <c r="C23" s="27">
        <v>5.0987999999999998</v>
      </c>
      <c r="D23" s="23">
        <f t="shared" si="0"/>
        <v>796.90509999999995</v>
      </c>
      <c r="E23" s="24">
        <f t="shared" si="4"/>
        <v>-0.20000000006348301</v>
      </c>
      <c r="F23" s="25">
        <f t="shared" si="5"/>
        <v>-2.5000000000545701</v>
      </c>
      <c r="G23" s="26">
        <f t="shared" si="6"/>
        <v>-0.100000000031741</v>
      </c>
      <c r="H23" s="6">
        <v>6.8544</v>
      </c>
      <c r="I23" s="35">
        <f t="shared" si="1"/>
        <v>798.66070000000002</v>
      </c>
      <c r="J23" s="24">
        <f t="shared" si="7"/>
        <v>-9.9999999974897905E-2</v>
      </c>
      <c r="K23" s="25">
        <f t="shared" si="8"/>
        <v>-2.79999999997926</v>
      </c>
      <c r="L23" s="26">
        <f t="shared" si="9"/>
        <v>-4.9999999987449001E-2</v>
      </c>
      <c r="M23" s="6">
        <v>5.2803000000000004</v>
      </c>
      <c r="N23" s="35">
        <f t="shared" si="2"/>
        <v>797.08659999999998</v>
      </c>
      <c r="O23" s="24">
        <f t="shared" si="10"/>
        <v>-0.49999999998817701</v>
      </c>
      <c r="P23" s="25">
        <f t="shared" si="11"/>
        <v>-1.9999999999527101</v>
      </c>
      <c r="Q23" s="26">
        <f t="shared" si="12"/>
        <v>-0.24999999999408801</v>
      </c>
      <c r="R23" s="41"/>
      <c r="S23" s="21">
        <f t="shared" si="3"/>
        <v>44770</v>
      </c>
      <c r="T23" s="42">
        <v>9.2415000000000003</v>
      </c>
      <c r="U23" s="43">
        <f t="shared" si="13"/>
        <v>-9.99999999997669E-2</v>
      </c>
      <c r="V23" s="44">
        <f t="shared" si="14"/>
        <v>-3.80000000000003</v>
      </c>
      <c r="W23" s="45">
        <f t="shared" si="15"/>
        <v>4.9999999999883499E-2</v>
      </c>
      <c r="X23" s="29">
        <v>12.084199999999999</v>
      </c>
      <c r="Y23" s="43">
        <f t="shared" si="16"/>
        <v>-0.10000000000154299</v>
      </c>
      <c r="Z23" s="44">
        <f t="shared" si="17"/>
        <v>-2.9000000000003499</v>
      </c>
      <c r="AA23" s="45">
        <f t="shared" si="18"/>
        <v>-5.0000000000771601E-2</v>
      </c>
      <c r="AB23" s="49">
        <v>8.9744000000000597</v>
      </c>
      <c r="AC23" s="43">
        <f t="shared" si="19"/>
        <v>-9.9999999990885199E-2</v>
      </c>
      <c r="AD23" s="44">
        <f t="shared" si="20"/>
        <v>-2.8999999999399502</v>
      </c>
      <c r="AE23" s="45">
        <f t="shared" si="21"/>
        <v>-4.99999999954426E-2</v>
      </c>
      <c r="AF23" s="50">
        <v>80052</v>
      </c>
      <c r="AG23" s="58">
        <f t="shared" si="22"/>
        <v>61</v>
      </c>
      <c r="AH23" s="61"/>
      <c r="AI23" s="52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44772</v>
      </c>
      <c r="B24" s="22">
        <v>791.80629999999996</v>
      </c>
      <c r="C24" s="27">
        <v>5.0991</v>
      </c>
      <c r="D24" s="23">
        <f t="shared" si="0"/>
        <v>796.90539999999999</v>
      </c>
      <c r="E24" s="24">
        <f t="shared" si="4"/>
        <v>0.30000000003838101</v>
      </c>
      <c r="F24" s="25">
        <f t="shared" si="5"/>
        <v>-2.2000000000161899</v>
      </c>
      <c r="G24" s="26">
        <f t="shared" si="6"/>
        <v>0.15000000001919001</v>
      </c>
      <c r="H24" s="6">
        <v>6.8540000000000001</v>
      </c>
      <c r="I24" s="35">
        <f t="shared" si="1"/>
        <v>798.66030000000001</v>
      </c>
      <c r="J24" s="24">
        <f t="shared" si="7"/>
        <v>-0.40000000001327901</v>
      </c>
      <c r="K24" s="25">
        <f t="shared" si="8"/>
        <v>-3.1999999999925399</v>
      </c>
      <c r="L24" s="26">
        <f t="shared" si="9"/>
        <v>-0.20000000000663901</v>
      </c>
      <c r="M24" s="6">
        <v>5.2801</v>
      </c>
      <c r="N24" s="35">
        <f t="shared" si="2"/>
        <v>797.08640000000003</v>
      </c>
      <c r="O24" s="24">
        <f t="shared" si="10"/>
        <v>-0.20000000006348301</v>
      </c>
      <c r="P24" s="25">
        <f t="shared" si="11"/>
        <v>-2.2000000000161899</v>
      </c>
      <c r="Q24" s="26">
        <f t="shared" si="12"/>
        <v>-0.100000000031741</v>
      </c>
      <c r="R24" s="41"/>
      <c r="S24" s="21">
        <f t="shared" si="3"/>
        <v>44772</v>
      </c>
      <c r="T24" s="42">
        <v>9.2411999999999992</v>
      </c>
      <c r="U24" s="43">
        <f t="shared" si="13"/>
        <v>-0.30000000000107702</v>
      </c>
      <c r="V24" s="44">
        <f t="shared" si="14"/>
        <v>-4.1000000000011001</v>
      </c>
      <c r="W24" s="45">
        <f t="shared" si="15"/>
        <v>0.15000000000053901</v>
      </c>
      <c r="X24" s="29">
        <v>12.084300000000001</v>
      </c>
      <c r="Y24" s="43">
        <f t="shared" si="16"/>
        <v>0.10000000000154299</v>
      </c>
      <c r="Z24" s="44">
        <f t="shared" si="17"/>
        <v>-2.7999999999987999</v>
      </c>
      <c r="AA24" s="45">
        <f t="shared" si="18"/>
        <v>5.0000000000771601E-2</v>
      </c>
      <c r="AB24" s="49">
        <v>8.9740000000000002</v>
      </c>
      <c r="AC24" s="43">
        <f t="shared" si="19"/>
        <v>-0.40000000005946401</v>
      </c>
      <c r="AD24" s="44">
        <f t="shared" si="20"/>
        <v>-3.2999999999994101</v>
      </c>
      <c r="AE24" s="45">
        <f t="shared" si="21"/>
        <v>-0.20000000002973201</v>
      </c>
      <c r="AF24" s="50">
        <v>80055</v>
      </c>
      <c r="AG24" s="58">
        <f t="shared" si="22"/>
        <v>64</v>
      </c>
      <c r="AH24" s="59"/>
      <c r="AI24" s="52"/>
      <c r="AJ24" s="52"/>
      <c r="AK24" s="52"/>
      <c r="AL24" s="52"/>
      <c r="AM24" s="52"/>
    </row>
    <row r="25" spans="1:48">
      <c r="A25" s="21">
        <v>44774</v>
      </c>
      <c r="B25" s="22">
        <v>791.80629999999996</v>
      </c>
      <c r="C25" s="27">
        <v>5.0983999999999998</v>
      </c>
      <c r="D25" s="23">
        <f t="shared" si="0"/>
        <v>796.90470000000005</v>
      </c>
      <c r="E25" s="24">
        <f t="shared" si="4"/>
        <v>-0.70000000005165897</v>
      </c>
      <c r="F25" s="25">
        <f t="shared" si="5"/>
        <v>-2.9000000000678501</v>
      </c>
      <c r="G25" s="26">
        <f t="shared" si="6"/>
        <v>-0.35000000002582998</v>
      </c>
      <c r="H25" s="6">
        <v>6.8541999999999996</v>
      </c>
      <c r="I25" s="35">
        <f t="shared" si="1"/>
        <v>798.66049999999996</v>
      </c>
      <c r="J25" s="24">
        <f t="shared" si="7"/>
        <v>0.199999999949796</v>
      </c>
      <c r="K25" s="25">
        <f t="shared" si="8"/>
        <v>-3.0000000000427498</v>
      </c>
      <c r="L25" s="26">
        <f t="shared" si="9"/>
        <v>9.9999999974897905E-2</v>
      </c>
      <c r="M25" s="6">
        <v>5.2801</v>
      </c>
      <c r="N25" s="35">
        <f t="shared" si="2"/>
        <v>797.08640000000003</v>
      </c>
      <c r="O25" s="24">
        <f t="shared" si="10"/>
        <v>0</v>
      </c>
      <c r="P25" s="25">
        <f t="shared" si="11"/>
        <v>-2.2000000000161899</v>
      </c>
      <c r="Q25" s="26">
        <f t="shared" si="12"/>
        <v>0</v>
      </c>
      <c r="R25" s="41"/>
      <c r="S25" s="21">
        <f t="shared" si="3"/>
        <v>44774</v>
      </c>
      <c r="T25" s="42">
        <v>9.2409999999999997</v>
      </c>
      <c r="U25" s="43">
        <f t="shared" si="13"/>
        <v>-0.19999999999953399</v>
      </c>
      <c r="V25" s="44">
        <f t="shared" si="14"/>
        <v>-4.3000000000006402</v>
      </c>
      <c r="W25" s="45">
        <f t="shared" si="15"/>
        <v>9.99999999997669E-2</v>
      </c>
      <c r="X25" s="29">
        <v>12.084</v>
      </c>
      <c r="Y25" s="43">
        <f t="shared" si="16"/>
        <v>-0.30000000000107702</v>
      </c>
      <c r="Z25" s="44">
        <f t="shared" si="17"/>
        <v>-3.0999999999998802</v>
      </c>
      <c r="AA25" s="45">
        <f t="shared" si="18"/>
        <v>-0.15000000000053901</v>
      </c>
      <c r="AB25" s="49">
        <v>8.9742000000000903</v>
      </c>
      <c r="AC25" s="43">
        <f t="shared" si="19"/>
        <v>0.200000000090128</v>
      </c>
      <c r="AD25" s="44">
        <f t="shared" si="20"/>
        <v>-3.09999999990929</v>
      </c>
      <c r="AE25" s="45">
        <f t="shared" si="21"/>
        <v>0.100000000045064</v>
      </c>
      <c r="AF25" s="50">
        <v>80058</v>
      </c>
      <c r="AG25" s="58">
        <f t="shared" si="22"/>
        <v>67</v>
      </c>
      <c r="AH25" s="61"/>
      <c r="AI25" s="52"/>
      <c r="AJ25" s="52"/>
      <c r="AK25" s="52"/>
      <c r="AL25" s="52"/>
      <c r="AM25" s="52"/>
    </row>
    <row r="26" spans="1:48">
      <c r="A26" s="21">
        <v>44776</v>
      </c>
      <c r="B26" s="22">
        <v>791.80629999999996</v>
      </c>
      <c r="C26" s="27">
        <v>5.0982000000000003</v>
      </c>
      <c r="D26" s="23">
        <f t="shared" si="0"/>
        <v>796.90449999999998</v>
      </c>
      <c r="E26" s="24">
        <f t="shared" si="4"/>
        <v>-0.199999999949796</v>
      </c>
      <c r="F26" s="25">
        <f t="shared" si="5"/>
        <v>-3.1000000000176402</v>
      </c>
      <c r="G26" s="26">
        <f t="shared" si="6"/>
        <v>-9.9999999974897905E-2</v>
      </c>
      <c r="H26" s="6">
        <v>6.8540999999999901</v>
      </c>
      <c r="I26" s="35">
        <f t="shared" si="1"/>
        <v>798.66039999999998</v>
      </c>
      <c r="J26" s="24">
        <f t="shared" si="7"/>
        <v>-9.9999999974897905E-2</v>
      </c>
      <c r="K26" s="25">
        <f t="shared" si="8"/>
        <v>-3.1000000000176402</v>
      </c>
      <c r="L26" s="26">
        <f t="shared" si="9"/>
        <v>-4.9999999987449001E-2</v>
      </c>
      <c r="M26" s="6">
        <v>5.28</v>
      </c>
      <c r="N26" s="35">
        <f t="shared" si="2"/>
        <v>797.08630000000005</v>
      </c>
      <c r="O26" s="24">
        <f t="shared" si="10"/>
        <v>-9.9999999974897905E-2</v>
      </c>
      <c r="P26" s="25">
        <f t="shared" si="11"/>
        <v>-2.2999999999910901</v>
      </c>
      <c r="Q26" s="26">
        <f t="shared" si="12"/>
        <v>-4.9999999987449001E-2</v>
      </c>
      <c r="R26" s="41"/>
      <c r="S26" s="21">
        <f t="shared" si="3"/>
        <v>44776</v>
      </c>
      <c r="T26" s="42">
        <v>9.2408000000000001</v>
      </c>
      <c r="U26" s="43">
        <f t="shared" si="13"/>
        <v>-0.19999999999953399</v>
      </c>
      <c r="V26" s="44">
        <f t="shared" si="14"/>
        <v>-4.5000000000001696</v>
      </c>
      <c r="W26" s="45">
        <f t="shared" si="15"/>
        <v>9.99999999997669E-2</v>
      </c>
      <c r="X26" s="29">
        <v>12.0838</v>
      </c>
      <c r="Y26" s="43">
        <f t="shared" si="16"/>
        <v>-0.19999999999953399</v>
      </c>
      <c r="Z26" s="44">
        <f t="shared" si="17"/>
        <v>-3.2999999999994101</v>
      </c>
      <c r="AA26" s="45">
        <f t="shared" si="18"/>
        <v>-9.99999999997669E-2</v>
      </c>
      <c r="AB26" s="49">
        <v>8.9741000000000994</v>
      </c>
      <c r="AC26" s="43">
        <f t="shared" si="19"/>
        <v>-9.9999999990885199E-2</v>
      </c>
      <c r="AD26" s="44">
        <f t="shared" si="20"/>
        <v>-3.1999999999001698</v>
      </c>
      <c r="AE26" s="45">
        <f t="shared" si="21"/>
        <v>-4.99999999954426E-2</v>
      </c>
      <c r="AF26" s="50">
        <v>80061</v>
      </c>
      <c r="AG26" s="58">
        <f t="shared" si="22"/>
        <v>70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F26-F18</f>
        <v>-1.5999999999394301</v>
      </c>
      <c r="F27" s="33">
        <f>K26-K18</f>
        <v>-0.80000000002655702</v>
      </c>
      <c r="G27" s="33">
        <f>P26-P18</f>
        <v>-0.40000000001327901</v>
      </c>
      <c r="H27" s="33">
        <f>F26</f>
        <v>-3.1000000000176402</v>
      </c>
      <c r="I27" s="66">
        <f>K26</f>
        <v>-3.1000000000176402</v>
      </c>
      <c r="J27" s="65">
        <f>P26</f>
        <v>-2.2999999999910901</v>
      </c>
      <c r="K27" s="33">
        <f>(P26-P18)/15</f>
        <v>-2.6666666667551901E-2</v>
      </c>
      <c r="L27" s="26"/>
      <c r="N27" s="35"/>
      <c r="O27" s="24"/>
      <c r="P27" s="25"/>
      <c r="Q27" s="26"/>
      <c r="R27" s="41"/>
      <c r="S27" s="21"/>
      <c r="T27" s="42"/>
      <c r="U27" s="65">
        <f>V26-V18</f>
        <v>-1.59999999999982</v>
      </c>
      <c r="V27" s="33">
        <f>Z26-Z18</f>
        <v>-0.89999999999967895</v>
      </c>
      <c r="W27" s="33">
        <f>AD26-AD18</f>
        <v>-0.79999999991109405</v>
      </c>
      <c r="X27" s="33">
        <f>V26</f>
        <v>-4.5000000000001696</v>
      </c>
      <c r="Y27" s="65">
        <f>Z26</f>
        <v>-3.2999999999994101</v>
      </c>
      <c r="Z27" s="33">
        <f>AD26</f>
        <v>-3.1999999999001698</v>
      </c>
      <c r="AA27" s="33">
        <f>(V26-V18)/15</f>
        <v>-0.106666666666655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P1" workbookViewId="0">
      <selection activeCell="I39" sqref="I3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4" width="9" style="10"/>
    <col min="35" max="35" width="16" style="10"/>
    <col min="36" max="39" width="9" style="10"/>
  </cols>
  <sheetData>
    <row r="1" spans="1:48" ht="22.5">
      <c r="A1" s="74" t="s">
        <v>61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44755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44755</v>
      </c>
      <c r="B6" s="22">
        <v>791.80629999999996</v>
      </c>
      <c r="C6" s="27">
        <v>5.9069000000000003</v>
      </c>
      <c r="D6" s="23">
        <f t="shared" ref="D6:D26" si="0">C6+B6</f>
        <v>797.71320000000003</v>
      </c>
      <c r="E6" s="24">
        <v>0</v>
      </c>
      <c r="F6" s="25">
        <v>0</v>
      </c>
      <c r="G6" s="26">
        <v>0</v>
      </c>
      <c r="H6" s="6">
        <v>7.1268000000000002</v>
      </c>
      <c r="I6" s="35">
        <f t="shared" ref="I6:I26" si="1">H6+B6</f>
        <v>798.93309999999997</v>
      </c>
      <c r="J6" s="24">
        <v>0</v>
      </c>
      <c r="K6" s="25">
        <v>0</v>
      </c>
      <c r="L6" s="26">
        <v>0</v>
      </c>
      <c r="M6" s="6">
        <v>6.0148999999999999</v>
      </c>
      <c r="N6" s="35">
        <f t="shared" ref="N6:N26" si="2">M6+B6</f>
        <v>797.82119999999998</v>
      </c>
      <c r="O6" s="24">
        <v>0</v>
      </c>
      <c r="P6" s="25">
        <v>0</v>
      </c>
      <c r="Q6" s="26">
        <v>0</v>
      </c>
      <c r="R6" s="41"/>
      <c r="S6" s="21">
        <f t="shared" ref="S6:S26" si="3">A6</f>
        <v>44755</v>
      </c>
      <c r="T6" s="42">
        <v>8.7462</v>
      </c>
      <c r="U6" s="43">
        <v>0</v>
      </c>
      <c r="V6" s="44">
        <v>0</v>
      </c>
      <c r="W6" s="45">
        <f>U6/(S6-S11)</f>
        <v>0</v>
      </c>
      <c r="X6" s="29">
        <v>12.0375</v>
      </c>
      <c r="Y6" s="43">
        <v>0</v>
      </c>
      <c r="Z6" s="44">
        <v>0</v>
      </c>
      <c r="AA6" s="45">
        <v>0</v>
      </c>
      <c r="AB6" s="49">
        <v>9.0486000000000004</v>
      </c>
      <c r="AC6" s="43">
        <v>0</v>
      </c>
      <c r="AD6" s="44">
        <v>0</v>
      </c>
      <c r="AE6" s="45">
        <v>0</v>
      </c>
      <c r="AF6" s="50">
        <v>80032</v>
      </c>
      <c r="AG6" s="58">
        <f>AF6-80029</f>
        <v>3</v>
      </c>
      <c r="AH6" s="59"/>
      <c r="AI6" s="60"/>
      <c r="AJ6" s="61"/>
      <c r="AK6" s="62"/>
      <c r="AL6" s="52"/>
      <c r="AM6" s="52"/>
    </row>
    <row r="7" spans="1:48">
      <c r="A7" s="21">
        <v>44756</v>
      </c>
      <c r="B7" s="22">
        <v>791.80629999999996</v>
      </c>
      <c r="C7" s="27">
        <v>5.9063999999999997</v>
      </c>
      <c r="D7" s="23">
        <f t="shared" si="0"/>
        <v>797.71270000000004</v>
      </c>
      <c r="E7" s="24">
        <f t="shared" ref="E7:E26" si="4">(D7-D6)*1000</f>
        <v>-0.49999999998817701</v>
      </c>
      <c r="F7" s="25">
        <f t="shared" ref="F7:F26" si="5">F6+E7</f>
        <v>-0.49999999998817701</v>
      </c>
      <c r="G7" s="26">
        <f t="shared" ref="G7:G26" si="6">E7/(A7-A6)</f>
        <v>-0.49999999998817701</v>
      </c>
      <c r="H7" s="6">
        <v>7.1265999999999998</v>
      </c>
      <c r="I7" s="35">
        <f t="shared" si="1"/>
        <v>798.93290000000002</v>
      </c>
      <c r="J7" s="24">
        <f t="shared" ref="J7:J26" si="7">(I7-I6)*1000</f>
        <v>-0.199999999949796</v>
      </c>
      <c r="K7" s="25">
        <f t="shared" ref="K7:K26" si="8">K6+J7</f>
        <v>-0.199999999949796</v>
      </c>
      <c r="L7" s="26">
        <f t="shared" ref="L7:L26" si="9">J7/(A7-A6)</f>
        <v>-0.199999999949796</v>
      </c>
      <c r="M7" s="6">
        <v>6.0145</v>
      </c>
      <c r="N7" s="35">
        <f t="shared" si="2"/>
        <v>797.82079999999996</v>
      </c>
      <c r="O7" s="24">
        <f t="shared" ref="O7:O26" si="10">(N7-N6)*1000</f>
        <v>-0.40000000001327901</v>
      </c>
      <c r="P7" s="25">
        <f t="shared" ref="P7:P26" si="11">P6+O7</f>
        <v>-0.40000000001327901</v>
      </c>
      <c r="Q7" s="26">
        <f t="shared" ref="Q7:Q26" si="12">O7/(A7-A6)</f>
        <v>-0.40000000001327901</v>
      </c>
      <c r="R7" s="41"/>
      <c r="S7" s="21">
        <f t="shared" si="3"/>
        <v>44756</v>
      </c>
      <c r="T7" s="42">
        <v>8.7460000000000004</v>
      </c>
      <c r="U7" s="43">
        <f t="shared" ref="U7:U26" si="13">(T7-T6)*1000</f>
        <v>-0.19999999999953399</v>
      </c>
      <c r="V7" s="44">
        <f t="shared" ref="V7:V26" si="14">V6+U7</f>
        <v>-0.19999999999953399</v>
      </c>
      <c r="W7" s="45">
        <f t="shared" ref="W7:W26" si="15">U7/(S6-S7)</f>
        <v>0.19999999999953399</v>
      </c>
      <c r="X7" s="29">
        <v>12.037000000000001</v>
      </c>
      <c r="Y7" s="43">
        <f t="shared" ref="Y7:Y26" si="16">(X7-X6)*1000</f>
        <v>-0.49999999999883499</v>
      </c>
      <c r="Z7" s="44">
        <f t="shared" ref="Z7:Z26" si="17">Z6+Y7</f>
        <v>-0.49999999999883499</v>
      </c>
      <c r="AA7" s="45">
        <f t="shared" ref="AA7:AA26" si="18">Y7/(S7-S6)</f>
        <v>-0.49999999999883499</v>
      </c>
      <c r="AB7" s="49">
        <v>9.0486000000000004</v>
      </c>
      <c r="AC7" s="43">
        <f t="shared" ref="AC7:AC26" si="19">(AB7-AB6)*1000</f>
        <v>0</v>
      </c>
      <c r="AD7" s="44">
        <f t="shared" ref="AD7:AD26" si="20">AD6+AC7</f>
        <v>0</v>
      </c>
      <c r="AE7" s="45">
        <f t="shared" ref="AE7:AE26" si="21">AC7/(S7-S6)</f>
        <v>0</v>
      </c>
      <c r="AF7" s="50">
        <v>80036</v>
      </c>
      <c r="AG7" s="58">
        <f t="shared" ref="AG7:AG26" si="22">AF7-80029</f>
        <v>7</v>
      </c>
      <c r="AH7" s="59"/>
      <c r="AI7" s="60"/>
      <c r="AJ7" s="61"/>
      <c r="AK7" s="62"/>
      <c r="AL7" s="52"/>
      <c r="AM7" s="52"/>
    </row>
    <row r="8" spans="1:48">
      <c r="A8" s="21">
        <v>44757</v>
      </c>
      <c r="B8" s="22">
        <v>791.80629999999996</v>
      </c>
      <c r="C8" s="27">
        <v>5.9065000000000003</v>
      </c>
      <c r="D8" s="23">
        <f t="shared" si="0"/>
        <v>797.71280000000002</v>
      </c>
      <c r="E8" s="24">
        <f t="shared" si="4"/>
        <v>0.10000000008858501</v>
      </c>
      <c r="F8" s="25">
        <f t="shared" si="5"/>
        <v>-0.39999999989959201</v>
      </c>
      <c r="G8" s="26">
        <f t="shared" si="6"/>
        <v>0.10000000008858501</v>
      </c>
      <c r="H8" s="6">
        <v>7.1264000000000003</v>
      </c>
      <c r="I8" s="35">
        <f t="shared" si="1"/>
        <v>798.93269999999995</v>
      </c>
      <c r="J8" s="24">
        <f t="shared" si="7"/>
        <v>-0.20000000006348301</v>
      </c>
      <c r="K8" s="25">
        <f t="shared" si="8"/>
        <v>-0.40000000001327901</v>
      </c>
      <c r="L8" s="26">
        <f t="shared" si="9"/>
        <v>-0.20000000006348301</v>
      </c>
      <c r="M8" s="6">
        <v>6.0140000000000002</v>
      </c>
      <c r="N8" s="35">
        <f t="shared" si="2"/>
        <v>797.82029999999997</v>
      </c>
      <c r="O8" s="24">
        <f t="shared" si="10"/>
        <v>-0.49999999998817701</v>
      </c>
      <c r="P8" s="25">
        <f t="shared" si="11"/>
        <v>-0.90000000000145497</v>
      </c>
      <c r="Q8" s="26">
        <f t="shared" si="12"/>
        <v>-0.49999999998817701</v>
      </c>
      <c r="R8" s="41"/>
      <c r="S8" s="21">
        <f t="shared" si="3"/>
        <v>44757</v>
      </c>
      <c r="T8" s="42">
        <v>8.7461000000000002</v>
      </c>
      <c r="U8" s="43">
        <f t="shared" si="13"/>
        <v>9.99999999997669E-2</v>
      </c>
      <c r="V8" s="44">
        <f t="shared" si="14"/>
        <v>-9.99999999997669E-2</v>
      </c>
      <c r="W8" s="45">
        <f t="shared" si="15"/>
        <v>-9.99999999997669E-2</v>
      </c>
      <c r="X8" s="29">
        <v>12.0374</v>
      </c>
      <c r="Y8" s="43">
        <f t="shared" si="16"/>
        <v>0.39999999999906799</v>
      </c>
      <c r="Z8" s="44">
        <f t="shared" si="17"/>
        <v>-9.99999999997669E-2</v>
      </c>
      <c r="AA8" s="45">
        <f t="shared" si="18"/>
        <v>0.39999999999906799</v>
      </c>
      <c r="AB8" s="49">
        <v>9.048</v>
      </c>
      <c r="AC8" s="43">
        <f t="shared" si="19"/>
        <v>-0.60000000000037801</v>
      </c>
      <c r="AD8" s="44">
        <f t="shared" si="20"/>
        <v>-0.60000000000037801</v>
      </c>
      <c r="AE8" s="45">
        <f t="shared" si="21"/>
        <v>-0.60000000000037801</v>
      </c>
      <c r="AF8" s="50">
        <v>80042</v>
      </c>
      <c r="AG8" s="58">
        <f t="shared" si="22"/>
        <v>13</v>
      </c>
      <c r="AH8" s="59"/>
      <c r="AI8" s="60"/>
      <c r="AJ8" s="61"/>
      <c r="AK8" s="62"/>
      <c r="AL8" s="52"/>
      <c r="AM8" s="52"/>
    </row>
    <row r="9" spans="1:48">
      <c r="A9" s="21">
        <v>44758</v>
      </c>
      <c r="B9" s="22">
        <v>791.80629999999996</v>
      </c>
      <c r="C9" s="27">
        <v>5.9062999999999999</v>
      </c>
      <c r="D9" s="23">
        <f t="shared" si="0"/>
        <v>797.71259999999995</v>
      </c>
      <c r="E9" s="24">
        <f t="shared" si="4"/>
        <v>-0.20000000006348301</v>
      </c>
      <c r="F9" s="25">
        <f t="shared" si="5"/>
        <v>-0.59999999996307496</v>
      </c>
      <c r="G9" s="26">
        <f t="shared" si="6"/>
        <v>-0.20000000006348301</v>
      </c>
      <c r="H9" s="6">
        <v>7.1265000000000001</v>
      </c>
      <c r="I9" s="35">
        <f t="shared" si="1"/>
        <v>798.93280000000004</v>
      </c>
      <c r="J9" s="24">
        <f t="shared" si="7"/>
        <v>9.9999999974897905E-2</v>
      </c>
      <c r="K9" s="25">
        <f t="shared" si="8"/>
        <v>-0.30000000003838101</v>
      </c>
      <c r="L9" s="26">
        <f t="shared" si="9"/>
        <v>9.9999999974897905E-2</v>
      </c>
      <c r="M9" s="6">
        <v>6.0137999999999998</v>
      </c>
      <c r="N9" s="35">
        <f t="shared" si="2"/>
        <v>797.82010000000002</v>
      </c>
      <c r="O9" s="24">
        <f t="shared" si="10"/>
        <v>-0.20000000006348301</v>
      </c>
      <c r="P9" s="25">
        <f t="shared" si="11"/>
        <v>-1.1000000000649399</v>
      </c>
      <c r="Q9" s="26">
        <f t="shared" si="12"/>
        <v>-0.20000000006348301</v>
      </c>
      <c r="R9" s="41"/>
      <c r="S9" s="21">
        <f t="shared" si="3"/>
        <v>44758</v>
      </c>
      <c r="T9" s="42">
        <v>8.7455999999999996</v>
      </c>
      <c r="U9" s="43">
        <f t="shared" si="13"/>
        <v>-0.50000000000061096</v>
      </c>
      <c r="V9" s="44">
        <f t="shared" si="14"/>
        <v>-0.60000000000037801</v>
      </c>
      <c r="W9" s="45">
        <f t="shared" si="15"/>
        <v>0.50000000000061096</v>
      </c>
      <c r="X9" s="29">
        <v>12.0372</v>
      </c>
      <c r="Y9" s="43">
        <f t="shared" si="16"/>
        <v>-0.19999999999953399</v>
      </c>
      <c r="Z9" s="44">
        <f t="shared" si="17"/>
        <v>-0.29999999999930099</v>
      </c>
      <c r="AA9" s="45">
        <f t="shared" si="18"/>
        <v>-0.19999999999953399</v>
      </c>
      <c r="AB9" s="49">
        <v>9.0478000000000005</v>
      </c>
      <c r="AC9" s="43">
        <f t="shared" si="19"/>
        <v>-0.19999999999953399</v>
      </c>
      <c r="AD9" s="44">
        <f t="shared" si="20"/>
        <v>-0.799999999999912</v>
      </c>
      <c r="AE9" s="45">
        <f t="shared" si="21"/>
        <v>-0.19999999999953399</v>
      </c>
      <c r="AF9" s="50">
        <v>80048</v>
      </c>
      <c r="AG9" s="58">
        <f t="shared" si="22"/>
        <v>19</v>
      </c>
      <c r="AH9" s="61"/>
      <c r="AI9" s="60"/>
      <c r="AJ9"/>
      <c r="AK9"/>
      <c r="AL9"/>
      <c r="AM9"/>
    </row>
    <row r="10" spans="1:48">
      <c r="A10" s="21">
        <v>44759</v>
      </c>
      <c r="B10" s="22">
        <v>791.80629999999996</v>
      </c>
      <c r="C10" s="27">
        <v>5.9061000000000003</v>
      </c>
      <c r="D10" s="23">
        <f t="shared" si="0"/>
        <v>797.7124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7.1260000000000003</v>
      </c>
      <c r="I10" s="35">
        <f t="shared" si="1"/>
        <v>798.93230000000005</v>
      </c>
      <c r="J10" s="24">
        <f t="shared" si="7"/>
        <v>-0.49999999998817701</v>
      </c>
      <c r="K10" s="25">
        <f t="shared" si="8"/>
        <v>-0.80000000002655702</v>
      </c>
      <c r="L10" s="26">
        <f t="shared" si="9"/>
        <v>-0.49999999998817701</v>
      </c>
      <c r="M10" s="6">
        <v>6.0136000000000003</v>
      </c>
      <c r="N10" s="35">
        <f t="shared" si="2"/>
        <v>797.81989999999996</v>
      </c>
      <c r="O10" s="24">
        <f t="shared" si="10"/>
        <v>-0.199999999949796</v>
      </c>
      <c r="P10" s="25">
        <f t="shared" si="11"/>
        <v>-1.30000000001473</v>
      </c>
      <c r="Q10" s="26">
        <f t="shared" si="12"/>
        <v>-0.199999999949796</v>
      </c>
      <c r="R10" s="41"/>
      <c r="S10" s="21">
        <f t="shared" si="3"/>
        <v>44759</v>
      </c>
      <c r="T10" s="42">
        <v>8.7454000000000001</v>
      </c>
      <c r="U10" s="43">
        <f t="shared" si="13"/>
        <v>-0.19999999999953399</v>
      </c>
      <c r="V10" s="44">
        <f t="shared" si="14"/>
        <v>-0.799999999999912</v>
      </c>
      <c r="W10" s="45">
        <f t="shared" si="15"/>
        <v>0.19999999999953399</v>
      </c>
      <c r="X10" s="29">
        <v>12.0374</v>
      </c>
      <c r="Y10" s="43">
        <f t="shared" si="16"/>
        <v>0.19999999999953399</v>
      </c>
      <c r="Z10" s="44">
        <f t="shared" si="17"/>
        <v>-9.99999999997669E-2</v>
      </c>
      <c r="AA10" s="45">
        <f t="shared" si="18"/>
        <v>0.19999999999953399</v>
      </c>
      <c r="AB10" s="49">
        <v>9.0475999999999992</v>
      </c>
      <c r="AC10" s="43">
        <f t="shared" si="19"/>
        <v>-0.20000000000130999</v>
      </c>
      <c r="AD10" s="44">
        <f t="shared" si="20"/>
        <v>-1.0000000000012199</v>
      </c>
      <c r="AE10" s="45">
        <f t="shared" si="21"/>
        <v>-0.20000000000130999</v>
      </c>
      <c r="AF10" s="50">
        <v>80054</v>
      </c>
      <c r="AG10" s="58">
        <f t="shared" si="22"/>
        <v>25</v>
      </c>
      <c r="AH10" s="59"/>
      <c r="AI10" s="60"/>
      <c r="AJ10" s="61"/>
      <c r="AK10" s="62"/>
      <c r="AL10" s="52"/>
      <c r="AM10" s="52"/>
    </row>
    <row r="11" spans="1:48">
      <c r="A11" s="21">
        <v>44760</v>
      </c>
      <c r="B11" s="22">
        <v>791.80629999999996</v>
      </c>
      <c r="C11" s="27">
        <v>5.9058999999999999</v>
      </c>
      <c r="D11" s="23">
        <f t="shared" si="0"/>
        <v>797.71220000000005</v>
      </c>
      <c r="E11" s="24">
        <f t="shared" si="4"/>
        <v>-0.20000000006348301</v>
      </c>
      <c r="F11" s="25">
        <f t="shared" si="5"/>
        <v>-0.99999999997635303</v>
      </c>
      <c r="G11" s="26">
        <f t="shared" si="6"/>
        <v>-0.20000000006348301</v>
      </c>
      <c r="H11" s="6">
        <v>7.1257999999999999</v>
      </c>
      <c r="I11" s="35">
        <f t="shared" si="1"/>
        <v>798.93209999999999</v>
      </c>
      <c r="J11" s="24">
        <f t="shared" si="7"/>
        <v>-0.199999999949796</v>
      </c>
      <c r="K11" s="25">
        <f t="shared" si="8"/>
        <v>-0.99999999997635303</v>
      </c>
      <c r="L11" s="26">
        <f t="shared" si="9"/>
        <v>-0.199999999949796</v>
      </c>
      <c r="M11" s="6">
        <v>6.0133999999999999</v>
      </c>
      <c r="N11" s="35">
        <f t="shared" si="2"/>
        <v>797.81970000000001</v>
      </c>
      <c r="O11" s="24">
        <f t="shared" si="10"/>
        <v>-0.199999999949796</v>
      </c>
      <c r="P11" s="25">
        <f t="shared" si="11"/>
        <v>-1.4999999999645299</v>
      </c>
      <c r="Q11" s="26">
        <f t="shared" si="12"/>
        <v>-0.199999999949796</v>
      </c>
      <c r="R11" s="41"/>
      <c r="S11" s="21">
        <f t="shared" si="3"/>
        <v>44760</v>
      </c>
      <c r="T11" s="42">
        <v>8.7452000000000005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12.036799999999999</v>
      </c>
      <c r="Y11" s="43">
        <f t="shared" si="16"/>
        <v>-0.60000000000037801</v>
      </c>
      <c r="Z11" s="44">
        <f t="shared" si="17"/>
        <v>-0.70000000000014495</v>
      </c>
      <c r="AA11" s="45">
        <f t="shared" si="18"/>
        <v>-0.60000000000037801</v>
      </c>
      <c r="AB11" s="49">
        <v>9.0473999999999997</v>
      </c>
      <c r="AC11" s="43">
        <f t="shared" si="19"/>
        <v>-0.19999999999953399</v>
      </c>
      <c r="AD11" s="44">
        <f t="shared" si="20"/>
        <v>-1.20000000000076</v>
      </c>
      <c r="AE11" s="45">
        <f t="shared" si="21"/>
        <v>-0.19999999999953399</v>
      </c>
      <c r="AF11" s="50">
        <v>80060</v>
      </c>
      <c r="AG11" s="58">
        <f t="shared" si="22"/>
        <v>31</v>
      </c>
      <c r="AH11" s="61"/>
      <c r="AI11" s="60"/>
      <c r="AJ11"/>
      <c r="AK11"/>
      <c r="AL11"/>
      <c r="AM11"/>
    </row>
    <row r="12" spans="1:48">
      <c r="A12" s="21">
        <v>44761</v>
      </c>
      <c r="B12" s="22">
        <v>791.80629999999996</v>
      </c>
      <c r="C12" s="27">
        <v>5.9059999999999997</v>
      </c>
      <c r="D12" s="23">
        <f t="shared" si="0"/>
        <v>797.71230000000003</v>
      </c>
      <c r="E12" s="24">
        <f t="shared" si="4"/>
        <v>9.9999999974897905E-2</v>
      </c>
      <c r="F12" s="25">
        <f t="shared" si="5"/>
        <v>-0.90000000000145497</v>
      </c>
      <c r="G12" s="26">
        <f t="shared" si="6"/>
        <v>9.9999999974897905E-2</v>
      </c>
      <c r="H12" s="6">
        <v>7.1254999999999997</v>
      </c>
      <c r="I12" s="35">
        <f t="shared" si="1"/>
        <v>798.93179999999995</v>
      </c>
      <c r="J12" s="24">
        <f t="shared" si="7"/>
        <v>-0.30000000003838101</v>
      </c>
      <c r="K12" s="25">
        <f t="shared" si="8"/>
        <v>-1.30000000001473</v>
      </c>
      <c r="L12" s="26">
        <f t="shared" si="9"/>
        <v>-0.30000000003838101</v>
      </c>
      <c r="M12" s="6">
        <v>6.0129999999999999</v>
      </c>
      <c r="N12" s="35">
        <f t="shared" si="2"/>
        <v>797.8193</v>
      </c>
      <c r="O12" s="24">
        <f t="shared" si="10"/>
        <v>-0.40000000001327901</v>
      </c>
      <c r="P12" s="25">
        <f t="shared" si="11"/>
        <v>-1.8999999999778101</v>
      </c>
      <c r="Q12" s="26">
        <f t="shared" si="12"/>
        <v>-0.40000000001327901</v>
      </c>
      <c r="R12" s="41"/>
      <c r="S12" s="21">
        <f t="shared" si="3"/>
        <v>44761</v>
      </c>
      <c r="T12" s="42">
        <v>8.7451000000000008</v>
      </c>
      <c r="U12" s="43">
        <f t="shared" si="13"/>
        <v>-9.99999999997669E-2</v>
      </c>
      <c r="V12" s="44">
        <f t="shared" si="14"/>
        <v>-1.0999999999992101</v>
      </c>
      <c r="W12" s="45">
        <f t="shared" si="15"/>
        <v>9.99999999997669E-2</v>
      </c>
      <c r="X12" s="29">
        <v>12.0365</v>
      </c>
      <c r="Y12" s="43">
        <f t="shared" si="16"/>
        <v>-0.29999999999930099</v>
      </c>
      <c r="Z12" s="44">
        <f t="shared" si="17"/>
        <v>-0.999999999999446</v>
      </c>
      <c r="AA12" s="45">
        <f t="shared" si="18"/>
        <v>-0.29999999999930099</v>
      </c>
      <c r="AB12" s="49">
        <v>9.0470000000000006</v>
      </c>
      <c r="AC12" s="43">
        <f t="shared" si="19"/>
        <v>-0.39999999999906799</v>
      </c>
      <c r="AD12" s="44">
        <f t="shared" si="20"/>
        <v>-1.59999999999982</v>
      </c>
      <c r="AE12" s="45">
        <f t="shared" si="21"/>
        <v>-0.39999999999906799</v>
      </c>
      <c r="AF12" s="50">
        <v>80066</v>
      </c>
      <c r="AG12" s="58">
        <f t="shared" si="22"/>
        <v>37</v>
      </c>
      <c r="AH12" s="59"/>
      <c r="AI12" s="60"/>
      <c r="AJ12"/>
      <c r="AK12"/>
      <c r="AL12"/>
      <c r="AM12"/>
    </row>
    <row r="13" spans="1:48">
      <c r="A13" s="21">
        <v>44762</v>
      </c>
      <c r="B13" s="22">
        <v>791.80629999999996</v>
      </c>
      <c r="C13" s="27">
        <v>5.9055</v>
      </c>
      <c r="D13" s="23">
        <f t="shared" si="0"/>
        <v>797.71180000000004</v>
      </c>
      <c r="E13" s="24">
        <f t="shared" si="4"/>
        <v>-0.49999999998817701</v>
      </c>
      <c r="F13" s="25">
        <f t="shared" si="5"/>
        <v>-1.39999999998963</v>
      </c>
      <c r="G13" s="26">
        <f t="shared" si="6"/>
        <v>-0.49999999998817701</v>
      </c>
      <c r="H13" s="6">
        <v>7.1253000000000002</v>
      </c>
      <c r="I13" s="35">
        <f t="shared" si="1"/>
        <v>798.9316</v>
      </c>
      <c r="J13" s="24">
        <f t="shared" si="7"/>
        <v>-0.199999999949796</v>
      </c>
      <c r="K13" s="25">
        <f t="shared" si="8"/>
        <v>-1.4999999999645299</v>
      </c>
      <c r="L13" s="26">
        <f t="shared" si="9"/>
        <v>-0.199999999949796</v>
      </c>
      <c r="M13" s="6">
        <v>6.0128000000000004</v>
      </c>
      <c r="N13" s="35">
        <f t="shared" si="2"/>
        <v>797.81910000000005</v>
      </c>
      <c r="O13" s="24">
        <f t="shared" si="10"/>
        <v>-0.20000000006348301</v>
      </c>
      <c r="P13" s="25">
        <f t="shared" si="11"/>
        <v>-2.1000000000412902</v>
      </c>
      <c r="Q13" s="26">
        <f t="shared" si="12"/>
        <v>-0.20000000006348301</v>
      </c>
      <c r="R13" s="41"/>
      <c r="S13" s="21">
        <f t="shared" si="3"/>
        <v>44762</v>
      </c>
      <c r="T13" s="42">
        <v>8.7447999999999997</v>
      </c>
      <c r="U13" s="43">
        <f t="shared" si="13"/>
        <v>-0.30000000000107702</v>
      </c>
      <c r="V13" s="44">
        <f t="shared" si="14"/>
        <v>-1.4000000000002899</v>
      </c>
      <c r="W13" s="45">
        <f t="shared" si="15"/>
        <v>0.30000000000107702</v>
      </c>
      <c r="X13" s="29">
        <v>12.0364</v>
      </c>
      <c r="Y13" s="43">
        <f t="shared" si="16"/>
        <v>-9.99999999997669E-2</v>
      </c>
      <c r="Z13" s="44">
        <f t="shared" si="17"/>
        <v>-1.0999999999992101</v>
      </c>
      <c r="AA13" s="45">
        <f t="shared" si="18"/>
        <v>-9.99999999997669E-2</v>
      </c>
      <c r="AB13" s="49">
        <v>9.0467999999999993</v>
      </c>
      <c r="AC13" s="43">
        <f t="shared" si="19"/>
        <v>-0.20000000000130999</v>
      </c>
      <c r="AD13" s="44">
        <f t="shared" si="20"/>
        <v>-1.80000000000113</v>
      </c>
      <c r="AE13" s="45">
        <f t="shared" si="21"/>
        <v>-0.20000000000130999</v>
      </c>
      <c r="AF13" s="50">
        <v>80072</v>
      </c>
      <c r="AG13" s="58">
        <f t="shared" si="22"/>
        <v>43</v>
      </c>
      <c r="AH13" s="61"/>
      <c r="AI13" s="60"/>
      <c r="AJ13"/>
      <c r="AK13"/>
      <c r="AL13"/>
      <c r="AM13"/>
    </row>
    <row r="14" spans="1:48">
      <c r="A14" s="21">
        <v>44763</v>
      </c>
      <c r="B14" s="22">
        <v>791.80629999999996</v>
      </c>
      <c r="C14" s="27">
        <v>5.9050000000000002</v>
      </c>
      <c r="D14" s="23">
        <f t="shared" si="0"/>
        <v>797.71130000000005</v>
      </c>
      <c r="E14" s="24">
        <f t="shared" si="4"/>
        <v>-0.49999999998817701</v>
      </c>
      <c r="F14" s="25">
        <f t="shared" si="5"/>
        <v>-1.8999999999778101</v>
      </c>
      <c r="G14" s="26">
        <f t="shared" si="6"/>
        <v>-0.49999999998817701</v>
      </c>
      <c r="H14" s="6">
        <v>7.1250999999999998</v>
      </c>
      <c r="I14" s="35">
        <f t="shared" si="1"/>
        <v>798.93140000000005</v>
      </c>
      <c r="J14" s="24">
        <f t="shared" si="7"/>
        <v>-0.20000000006348301</v>
      </c>
      <c r="K14" s="25">
        <f t="shared" si="8"/>
        <v>-1.70000000002801</v>
      </c>
      <c r="L14" s="26">
        <f t="shared" si="9"/>
        <v>-0.20000000006348301</v>
      </c>
      <c r="M14" s="6">
        <v>6.0129000000000001</v>
      </c>
      <c r="N14" s="35">
        <f t="shared" si="2"/>
        <v>797.81920000000002</v>
      </c>
      <c r="O14" s="24">
        <f t="shared" si="10"/>
        <v>9.9999999974897905E-2</v>
      </c>
      <c r="P14" s="25">
        <f t="shared" si="11"/>
        <v>-2.00000000006639</v>
      </c>
      <c r="Q14" s="26">
        <f t="shared" si="12"/>
        <v>9.9999999974897905E-2</v>
      </c>
      <c r="R14" s="41"/>
      <c r="S14" s="21">
        <f t="shared" si="3"/>
        <v>44763</v>
      </c>
      <c r="T14" s="42">
        <v>8.7445000000000004</v>
      </c>
      <c r="U14" s="43">
        <f t="shared" si="13"/>
        <v>-0.29999999999930099</v>
      </c>
      <c r="V14" s="44">
        <f t="shared" si="14"/>
        <v>-1.6999999999995901</v>
      </c>
      <c r="W14" s="45">
        <f t="shared" si="15"/>
        <v>0.29999999999930099</v>
      </c>
      <c r="X14" s="29">
        <v>12.036300000000001</v>
      </c>
      <c r="Y14" s="43">
        <f t="shared" si="16"/>
        <v>-9.99999999997669E-2</v>
      </c>
      <c r="Z14" s="44">
        <f t="shared" si="17"/>
        <v>-1.1999999999989801</v>
      </c>
      <c r="AA14" s="45">
        <f t="shared" si="18"/>
        <v>-9.99999999997669E-2</v>
      </c>
      <c r="AB14" s="49">
        <v>9.0465</v>
      </c>
      <c r="AC14" s="43">
        <f t="shared" si="19"/>
        <v>-0.29999999999930099</v>
      </c>
      <c r="AD14" s="44">
        <f t="shared" si="20"/>
        <v>-2.10000000000043</v>
      </c>
      <c r="AE14" s="45">
        <f t="shared" si="21"/>
        <v>-0.29999999999930099</v>
      </c>
      <c r="AF14" s="50">
        <v>80078</v>
      </c>
      <c r="AG14" s="58">
        <f t="shared" si="22"/>
        <v>49</v>
      </c>
      <c r="AH14" s="59"/>
      <c r="AI14" s="60"/>
      <c r="AJ14"/>
      <c r="AK14"/>
      <c r="AL14"/>
      <c r="AM14"/>
    </row>
    <row r="15" spans="1:48">
      <c r="A15" s="21">
        <v>44764</v>
      </c>
      <c r="B15" s="22">
        <v>791.80629999999996</v>
      </c>
      <c r="C15" s="27">
        <v>5.9047999999999998</v>
      </c>
      <c r="D15" s="23">
        <f t="shared" si="0"/>
        <v>797.71109999999999</v>
      </c>
      <c r="E15" s="24">
        <f t="shared" si="4"/>
        <v>-0.199999999949796</v>
      </c>
      <c r="F15" s="25">
        <f t="shared" si="5"/>
        <v>-2.0999999999275998</v>
      </c>
      <c r="G15" s="26">
        <f t="shared" si="6"/>
        <v>-0.199999999949796</v>
      </c>
      <c r="H15" s="6">
        <v>7.1252000000000004</v>
      </c>
      <c r="I15" s="35">
        <f t="shared" si="1"/>
        <v>798.93150000000003</v>
      </c>
      <c r="J15" s="24">
        <f t="shared" si="7"/>
        <v>9.9999999974897905E-2</v>
      </c>
      <c r="K15" s="25">
        <f t="shared" si="8"/>
        <v>-1.60000000005311</v>
      </c>
      <c r="L15" s="26">
        <f t="shared" si="9"/>
        <v>9.9999999974897905E-2</v>
      </c>
      <c r="M15" s="6">
        <v>6.0124000000000004</v>
      </c>
      <c r="N15" s="35">
        <f t="shared" si="2"/>
        <v>797.81870000000004</v>
      </c>
      <c r="O15" s="24">
        <f t="shared" si="10"/>
        <v>-0.49999999998817701</v>
      </c>
      <c r="P15" s="25">
        <f t="shared" si="11"/>
        <v>-2.5000000000545701</v>
      </c>
      <c r="Q15" s="26">
        <f t="shared" si="12"/>
        <v>-0.49999999998817701</v>
      </c>
      <c r="R15" s="41"/>
      <c r="S15" s="21">
        <f t="shared" si="3"/>
        <v>44764</v>
      </c>
      <c r="T15" s="42">
        <v>8.7445000000000004</v>
      </c>
      <c r="U15" s="43">
        <f t="shared" si="13"/>
        <v>0</v>
      </c>
      <c r="V15" s="44">
        <f t="shared" si="14"/>
        <v>-1.6999999999995901</v>
      </c>
      <c r="W15" s="45">
        <f t="shared" si="15"/>
        <v>0</v>
      </c>
      <c r="X15" s="29">
        <v>12.036</v>
      </c>
      <c r="Y15" s="43">
        <f t="shared" si="16"/>
        <v>-0.30000000000107702</v>
      </c>
      <c r="Z15" s="44">
        <f t="shared" si="17"/>
        <v>-1.50000000000006</v>
      </c>
      <c r="AA15" s="45">
        <f t="shared" si="18"/>
        <v>-0.30000000000107702</v>
      </c>
      <c r="AB15" s="49">
        <v>9.0464000000000002</v>
      </c>
      <c r="AC15" s="43">
        <f t="shared" si="19"/>
        <v>-9.99999999997669E-2</v>
      </c>
      <c r="AD15" s="44">
        <f t="shared" si="20"/>
        <v>-2.2000000000002</v>
      </c>
      <c r="AE15" s="45">
        <f t="shared" si="21"/>
        <v>-9.99999999997669E-2</v>
      </c>
      <c r="AF15" s="50">
        <v>80084</v>
      </c>
      <c r="AG15" s="58">
        <f t="shared" si="22"/>
        <v>55</v>
      </c>
      <c r="AH15" s="61"/>
      <c r="AI15" s="60"/>
      <c r="AJ15"/>
      <c r="AK15"/>
      <c r="AL15"/>
      <c r="AM15"/>
    </row>
    <row r="16" spans="1:48">
      <c r="A16" s="21">
        <v>44765</v>
      </c>
      <c r="B16" s="22">
        <v>791.80629999999996</v>
      </c>
      <c r="C16" s="27">
        <v>5.9046000000000003</v>
      </c>
      <c r="D16" s="23">
        <f t="shared" si="0"/>
        <v>797.71090000000004</v>
      </c>
      <c r="E16" s="24">
        <f t="shared" si="4"/>
        <v>-0.20000000006348301</v>
      </c>
      <c r="F16" s="25">
        <f t="shared" si="5"/>
        <v>-2.2999999999910901</v>
      </c>
      <c r="G16" s="26">
        <f t="shared" si="6"/>
        <v>-0.20000000006348301</v>
      </c>
      <c r="H16" s="6">
        <v>7.1246999999999998</v>
      </c>
      <c r="I16" s="35">
        <f t="shared" si="1"/>
        <v>798.93100000000004</v>
      </c>
      <c r="J16" s="24">
        <f t="shared" si="7"/>
        <v>-0.49999999998817701</v>
      </c>
      <c r="K16" s="25">
        <f t="shared" si="8"/>
        <v>-2.1000000000412902</v>
      </c>
      <c r="L16" s="26">
        <f t="shared" si="9"/>
        <v>-0.49999999998817701</v>
      </c>
      <c r="M16" s="6">
        <v>6.0122</v>
      </c>
      <c r="N16" s="35">
        <f t="shared" si="2"/>
        <v>797.81849999999997</v>
      </c>
      <c r="O16" s="24">
        <f t="shared" si="10"/>
        <v>-0.199999999949796</v>
      </c>
      <c r="P16" s="25">
        <f t="shared" si="11"/>
        <v>-2.70000000000437</v>
      </c>
      <c r="Q16" s="26">
        <f t="shared" si="12"/>
        <v>-0.199999999949796</v>
      </c>
      <c r="R16" s="41"/>
      <c r="S16" s="21">
        <f t="shared" si="3"/>
        <v>44765</v>
      </c>
      <c r="T16" s="42">
        <v>8.7439</v>
      </c>
      <c r="U16" s="43">
        <f t="shared" si="13"/>
        <v>-0.60000000000037801</v>
      </c>
      <c r="V16" s="44">
        <f t="shared" si="14"/>
        <v>-2.2999999999999701</v>
      </c>
      <c r="W16" s="45">
        <f t="shared" si="15"/>
        <v>0.60000000000037801</v>
      </c>
      <c r="X16" s="29">
        <v>12.036099999999999</v>
      </c>
      <c r="Y16" s="43">
        <f t="shared" si="16"/>
        <v>9.99999999997669E-2</v>
      </c>
      <c r="Z16" s="44">
        <f t="shared" si="17"/>
        <v>-1.4000000000002899</v>
      </c>
      <c r="AA16" s="45">
        <f t="shared" si="18"/>
        <v>9.99999999997669E-2</v>
      </c>
      <c r="AB16" s="49">
        <v>9.0462000000000007</v>
      </c>
      <c r="AC16" s="43">
        <f t="shared" si="19"/>
        <v>-0.19999999999953399</v>
      </c>
      <c r="AD16" s="44">
        <f t="shared" si="20"/>
        <v>-2.3999999999997401</v>
      </c>
      <c r="AE16" s="45">
        <f t="shared" si="21"/>
        <v>-0.19999999999953399</v>
      </c>
      <c r="AF16" s="50">
        <v>80090</v>
      </c>
      <c r="AG16" s="58">
        <f t="shared" si="22"/>
        <v>61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44766</v>
      </c>
      <c r="B17" s="22">
        <v>791.80629999999996</v>
      </c>
      <c r="C17" s="27">
        <v>5.9044999999999996</v>
      </c>
      <c r="D17" s="23">
        <f t="shared" si="0"/>
        <v>797.71079999999995</v>
      </c>
      <c r="E17" s="24">
        <f t="shared" si="4"/>
        <v>-9.9999999974897905E-2</v>
      </c>
      <c r="F17" s="25">
        <f t="shared" si="5"/>
        <v>-2.39999999996598</v>
      </c>
      <c r="G17" s="26">
        <f t="shared" si="6"/>
        <v>-9.9999999974897905E-2</v>
      </c>
      <c r="H17" s="6">
        <v>7.1245000000000003</v>
      </c>
      <c r="I17" s="35">
        <f t="shared" si="1"/>
        <v>798.93079999999998</v>
      </c>
      <c r="J17" s="24">
        <f t="shared" si="7"/>
        <v>-0.199999999949796</v>
      </c>
      <c r="K17" s="25">
        <f t="shared" si="8"/>
        <v>-2.2999999999910901</v>
      </c>
      <c r="L17" s="26">
        <f t="shared" si="9"/>
        <v>-0.199999999949796</v>
      </c>
      <c r="M17" s="6">
        <v>6.0122999999999998</v>
      </c>
      <c r="N17" s="35">
        <f t="shared" si="2"/>
        <v>797.81859999999995</v>
      </c>
      <c r="O17" s="24">
        <f t="shared" si="10"/>
        <v>9.9999999974897905E-2</v>
      </c>
      <c r="P17" s="25">
        <f t="shared" si="11"/>
        <v>-2.6000000000294698</v>
      </c>
      <c r="Q17" s="26">
        <f t="shared" si="12"/>
        <v>9.9999999974897905E-2</v>
      </c>
      <c r="R17" s="41"/>
      <c r="S17" s="21">
        <f t="shared" si="3"/>
        <v>44766</v>
      </c>
      <c r="T17" s="42">
        <v>8.7436000000000007</v>
      </c>
      <c r="U17" s="43">
        <f t="shared" si="13"/>
        <v>-0.29999999999930099</v>
      </c>
      <c r="V17" s="44">
        <f t="shared" si="14"/>
        <v>-2.59999999999927</v>
      </c>
      <c r="W17" s="45">
        <f t="shared" si="15"/>
        <v>0.29999999999930099</v>
      </c>
      <c r="X17" s="29">
        <v>12.036</v>
      </c>
      <c r="Y17" s="43">
        <f t="shared" si="16"/>
        <v>-9.99999999997669E-2</v>
      </c>
      <c r="Z17" s="44">
        <f t="shared" si="17"/>
        <v>-1.50000000000006</v>
      </c>
      <c r="AA17" s="45">
        <f t="shared" si="18"/>
        <v>-9.99999999997669E-2</v>
      </c>
      <c r="AB17" s="49">
        <v>9.0459999999999994</v>
      </c>
      <c r="AC17" s="43">
        <f t="shared" si="19"/>
        <v>-0.20000000000130999</v>
      </c>
      <c r="AD17" s="44">
        <f t="shared" si="20"/>
        <v>-2.6000000000010499</v>
      </c>
      <c r="AE17" s="45">
        <f t="shared" si="21"/>
        <v>-0.20000000000130999</v>
      </c>
      <c r="AF17" s="50">
        <v>80096</v>
      </c>
      <c r="AG17" s="58">
        <f t="shared" si="22"/>
        <v>67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44767</v>
      </c>
      <c r="B18" s="22">
        <v>791.80629999999996</v>
      </c>
      <c r="C18" s="27">
        <v>5.9042000000000003</v>
      </c>
      <c r="D18" s="23">
        <f t="shared" si="0"/>
        <v>797.71050000000002</v>
      </c>
      <c r="E18" s="24">
        <f t="shared" si="4"/>
        <v>-0.30000000003838101</v>
      </c>
      <c r="F18" s="25">
        <f t="shared" si="5"/>
        <v>-2.70000000000437</v>
      </c>
      <c r="G18" s="26">
        <f t="shared" si="6"/>
        <v>-0.30000000003838101</v>
      </c>
      <c r="H18" s="6">
        <v>7.1246</v>
      </c>
      <c r="I18" s="35">
        <f t="shared" si="1"/>
        <v>798.93089999999995</v>
      </c>
      <c r="J18" s="24">
        <f t="shared" si="7"/>
        <v>9.9999999974897905E-2</v>
      </c>
      <c r="K18" s="25">
        <f t="shared" si="8"/>
        <v>-2.2000000000161899</v>
      </c>
      <c r="L18" s="26">
        <f t="shared" si="9"/>
        <v>9.9999999974897905E-2</v>
      </c>
      <c r="M18" s="6">
        <v>6.0118</v>
      </c>
      <c r="N18" s="35">
        <f t="shared" si="2"/>
        <v>797.81809999999996</v>
      </c>
      <c r="O18" s="24">
        <f t="shared" si="10"/>
        <v>-0.49999999998817701</v>
      </c>
      <c r="P18" s="25">
        <f t="shared" si="11"/>
        <v>-3.1000000000176402</v>
      </c>
      <c r="Q18" s="26">
        <f t="shared" si="12"/>
        <v>-0.49999999998817701</v>
      </c>
      <c r="R18" s="41"/>
      <c r="S18" s="21">
        <f t="shared" si="3"/>
        <v>44767</v>
      </c>
      <c r="T18" s="42">
        <v>8.7436000000000007</v>
      </c>
      <c r="U18" s="43">
        <f t="shared" si="13"/>
        <v>0</v>
      </c>
      <c r="V18" s="44">
        <f t="shared" si="14"/>
        <v>-2.59999999999927</v>
      </c>
      <c r="W18" s="45">
        <f t="shared" si="15"/>
        <v>0</v>
      </c>
      <c r="X18" s="29">
        <v>12.035500000000001</v>
      </c>
      <c r="Y18" s="43">
        <f t="shared" si="16"/>
        <v>-0.49999999999883499</v>
      </c>
      <c r="Z18" s="44">
        <f t="shared" si="17"/>
        <v>-1.99999999999889</v>
      </c>
      <c r="AA18" s="45">
        <f t="shared" si="18"/>
        <v>-0.49999999999883499</v>
      </c>
      <c r="AB18" s="49">
        <v>9.0460999999999991</v>
      </c>
      <c r="AC18" s="43">
        <f t="shared" si="19"/>
        <v>9.99999999997669E-2</v>
      </c>
      <c r="AD18" s="44">
        <f t="shared" si="20"/>
        <v>-2.5000000000012799</v>
      </c>
      <c r="AE18" s="45">
        <f t="shared" si="21"/>
        <v>9.99999999997669E-2</v>
      </c>
      <c r="AF18" s="50">
        <v>80102</v>
      </c>
      <c r="AG18" s="58">
        <f t="shared" si="22"/>
        <v>73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44768</v>
      </c>
      <c r="B19" s="22">
        <v>791.80629999999996</v>
      </c>
      <c r="C19" s="27">
        <v>5.9039999999999999</v>
      </c>
      <c r="D19" s="23">
        <f t="shared" si="0"/>
        <v>797.71029999999996</v>
      </c>
      <c r="E19" s="24">
        <f t="shared" si="4"/>
        <v>-0.199999999949796</v>
      </c>
      <c r="F19" s="25">
        <f t="shared" si="5"/>
        <v>-2.8999999999541601</v>
      </c>
      <c r="G19" s="26">
        <f t="shared" si="6"/>
        <v>-0.199999999949796</v>
      </c>
      <c r="H19" s="6">
        <v>7.1241000000000003</v>
      </c>
      <c r="I19" s="35">
        <f t="shared" si="1"/>
        <v>798.93039999999996</v>
      </c>
      <c r="J19" s="24">
        <f t="shared" si="7"/>
        <v>-0.49999999998817701</v>
      </c>
      <c r="K19" s="25">
        <f t="shared" si="8"/>
        <v>-2.70000000000437</v>
      </c>
      <c r="L19" s="26">
        <f t="shared" si="9"/>
        <v>-0.49999999998817701</v>
      </c>
      <c r="M19" s="6">
        <v>6.0115999999999996</v>
      </c>
      <c r="N19" s="35">
        <f t="shared" si="2"/>
        <v>797.81790000000001</v>
      </c>
      <c r="O19" s="24">
        <f t="shared" si="10"/>
        <v>-0.199999999949796</v>
      </c>
      <c r="P19" s="25">
        <f t="shared" si="11"/>
        <v>-3.2999999999674401</v>
      </c>
      <c r="Q19" s="26">
        <f t="shared" si="12"/>
        <v>-0.199999999949796</v>
      </c>
      <c r="R19" s="41"/>
      <c r="S19" s="21">
        <f t="shared" si="3"/>
        <v>44768</v>
      </c>
      <c r="T19" s="42">
        <v>8.7429999999999897</v>
      </c>
      <c r="U19" s="43">
        <f t="shared" si="13"/>
        <v>-0.60000000001103604</v>
      </c>
      <c r="V19" s="44">
        <f t="shared" si="14"/>
        <v>-3.2000000000103102</v>
      </c>
      <c r="W19" s="45">
        <f t="shared" si="15"/>
        <v>0.60000000001103604</v>
      </c>
      <c r="X19" s="29">
        <v>12.0358</v>
      </c>
      <c r="Y19" s="43">
        <f t="shared" si="16"/>
        <v>0.29999999999930099</v>
      </c>
      <c r="Z19" s="44">
        <f t="shared" si="17"/>
        <v>-1.6999999999995901</v>
      </c>
      <c r="AA19" s="45">
        <f t="shared" si="18"/>
        <v>0.29999999999930099</v>
      </c>
      <c r="AB19" s="49">
        <v>9.0456000000000003</v>
      </c>
      <c r="AC19" s="43">
        <f t="shared" si="19"/>
        <v>-0.49999999999883499</v>
      </c>
      <c r="AD19" s="44">
        <f t="shared" si="20"/>
        <v>-3.0000000000001101</v>
      </c>
      <c r="AE19" s="45">
        <f t="shared" si="21"/>
        <v>-0.49999999999883499</v>
      </c>
      <c r="AF19" s="50">
        <v>80108</v>
      </c>
      <c r="AG19" s="58">
        <f t="shared" si="22"/>
        <v>79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44769</v>
      </c>
      <c r="B20" s="22">
        <v>791.80629999999996</v>
      </c>
      <c r="C20" s="27">
        <v>5.9043000000000001</v>
      </c>
      <c r="D20" s="23">
        <f t="shared" si="0"/>
        <v>797.7106</v>
      </c>
      <c r="E20" s="24">
        <f t="shared" si="4"/>
        <v>0.30000000003838101</v>
      </c>
      <c r="F20" s="25">
        <f t="shared" si="5"/>
        <v>-2.5999999999157799</v>
      </c>
      <c r="G20" s="26">
        <f t="shared" si="6"/>
        <v>0.30000000003838101</v>
      </c>
      <c r="H20" s="6">
        <v>7.1238999999999999</v>
      </c>
      <c r="I20" s="35">
        <f t="shared" si="1"/>
        <v>798.93020000000001</v>
      </c>
      <c r="J20" s="24">
        <f t="shared" si="7"/>
        <v>-0.199999999949796</v>
      </c>
      <c r="K20" s="25">
        <f t="shared" si="8"/>
        <v>-2.8999999999541601</v>
      </c>
      <c r="L20" s="26">
        <f t="shared" si="9"/>
        <v>-0.199999999949796</v>
      </c>
      <c r="M20" s="6">
        <v>6.0114999999999998</v>
      </c>
      <c r="N20" s="35">
        <f t="shared" si="2"/>
        <v>797.81780000000003</v>
      </c>
      <c r="O20" s="24">
        <f t="shared" si="10"/>
        <v>-0.10000000008858501</v>
      </c>
      <c r="P20" s="25">
        <f t="shared" si="11"/>
        <v>-3.40000000005602</v>
      </c>
      <c r="Q20" s="26">
        <f t="shared" si="12"/>
        <v>-0.10000000008858501</v>
      </c>
      <c r="R20" s="41"/>
      <c r="S20" s="21">
        <f t="shared" si="3"/>
        <v>44769</v>
      </c>
      <c r="T20" s="42">
        <v>8.7426999999999904</v>
      </c>
      <c r="U20" s="43">
        <f t="shared" si="13"/>
        <v>-0.29999999999930099</v>
      </c>
      <c r="V20" s="44">
        <f t="shared" si="14"/>
        <v>-3.5000000000096101</v>
      </c>
      <c r="W20" s="45">
        <f t="shared" si="15"/>
        <v>0.29999999999930099</v>
      </c>
      <c r="X20" s="29">
        <v>12.0357</v>
      </c>
      <c r="Y20" s="43">
        <f t="shared" si="16"/>
        <v>-9.99999999997669E-2</v>
      </c>
      <c r="Z20" s="44">
        <f t="shared" si="17"/>
        <v>-1.7999999999993599</v>
      </c>
      <c r="AA20" s="45">
        <f t="shared" si="18"/>
        <v>-9.99999999997669E-2</v>
      </c>
      <c r="AB20" s="49">
        <v>9.0454000000000008</v>
      </c>
      <c r="AC20" s="43">
        <f t="shared" si="19"/>
        <v>-0.19999999999953399</v>
      </c>
      <c r="AD20" s="44">
        <f t="shared" si="20"/>
        <v>-3.1999999999996498</v>
      </c>
      <c r="AE20" s="45">
        <f t="shared" si="21"/>
        <v>-0.19999999999953399</v>
      </c>
      <c r="AF20" s="50">
        <v>80114</v>
      </c>
      <c r="AG20" s="58">
        <f t="shared" si="22"/>
        <v>85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44771</v>
      </c>
      <c r="B21" s="22">
        <v>791.80629999999996</v>
      </c>
      <c r="C21" s="27">
        <v>5.9036</v>
      </c>
      <c r="D21" s="23">
        <f t="shared" si="0"/>
        <v>797.70989999999995</v>
      </c>
      <c r="E21" s="24">
        <f t="shared" si="4"/>
        <v>-0.70000000005165897</v>
      </c>
      <c r="F21" s="25">
        <f t="shared" si="5"/>
        <v>-3.2999999999674401</v>
      </c>
      <c r="G21" s="26">
        <f t="shared" si="6"/>
        <v>-0.35000000002582998</v>
      </c>
      <c r="H21" s="6">
        <v>7.1238000000000001</v>
      </c>
      <c r="I21" s="35">
        <f t="shared" si="1"/>
        <v>798.93010000000004</v>
      </c>
      <c r="J21" s="24">
        <f t="shared" si="7"/>
        <v>-0.10000000008858501</v>
      </c>
      <c r="K21" s="25">
        <f t="shared" si="8"/>
        <v>-3.0000000000427498</v>
      </c>
      <c r="L21" s="26">
        <f t="shared" si="9"/>
        <v>-5.0000000044292399E-2</v>
      </c>
      <c r="M21" s="6">
        <v>6.0111999999999997</v>
      </c>
      <c r="N21" s="35">
        <f t="shared" si="2"/>
        <v>797.8175</v>
      </c>
      <c r="O21" s="24">
        <f t="shared" si="10"/>
        <v>-0.29999999992469401</v>
      </c>
      <c r="P21" s="25">
        <f t="shared" si="11"/>
        <v>-3.69999999998072</v>
      </c>
      <c r="Q21" s="26">
        <f t="shared" si="12"/>
        <v>-0.149999999962347</v>
      </c>
      <c r="R21" s="41"/>
      <c r="S21" s="21">
        <f t="shared" si="3"/>
        <v>44771</v>
      </c>
      <c r="T21" s="42">
        <v>8.7425999999999995</v>
      </c>
      <c r="U21" s="43">
        <f t="shared" si="13"/>
        <v>-9.9999999990885199E-2</v>
      </c>
      <c r="V21" s="44">
        <f t="shared" si="14"/>
        <v>-3.6000000000004899</v>
      </c>
      <c r="W21" s="45">
        <f t="shared" si="15"/>
        <v>4.99999999954426E-2</v>
      </c>
      <c r="X21" s="29">
        <v>12.0352</v>
      </c>
      <c r="Y21" s="43">
        <f t="shared" si="16"/>
        <v>-0.50000000000061096</v>
      </c>
      <c r="Z21" s="44">
        <f t="shared" si="17"/>
        <v>-2.2999999999999701</v>
      </c>
      <c r="AA21" s="45">
        <f t="shared" si="18"/>
        <v>-0.25000000000030598</v>
      </c>
      <c r="AB21" s="49">
        <v>9.0455000000000005</v>
      </c>
      <c r="AC21" s="43">
        <f t="shared" si="19"/>
        <v>9.99999999997669E-2</v>
      </c>
      <c r="AD21" s="44">
        <f t="shared" si="20"/>
        <v>-3.0999999999998802</v>
      </c>
      <c r="AE21" s="45">
        <f t="shared" si="21"/>
        <v>4.9999999999883499E-2</v>
      </c>
      <c r="AF21" s="50">
        <v>80120</v>
      </c>
      <c r="AG21" s="58">
        <f t="shared" si="22"/>
        <v>91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44773</v>
      </c>
      <c r="B22" s="22">
        <v>791.80629999999996</v>
      </c>
      <c r="C22" s="27">
        <v>5.9034000000000004</v>
      </c>
      <c r="D22" s="23">
        <f t="shared" si="0"/>
        <v>797.7097</v>
      </c>
      <c r="E22" s="24">
        <f t="shared" si="4"/>
        <v>-0.199999999949796</v>
      </c>
      <c r="F22" s="25">
        <f t="shared" si="5"/>
        <v>-3.49999999991724</v>
      </c>
      <c r="G22" s="26">
        <f t="shared" si="6"/>
        <v>-9.9999999974897905E-2</v>
      </c>
      <c r="H22" s="6">
        <v>7.1234999999999999</v>
      </c>
      <c r="I22" s="35">
        <f t="shared" si="1"/>
        <v>798.9298</v>
      </c>
      <c r="J22" s="24">
        <f t="shared" si="7"/>
        <v>-0.29999999992469401</v>
      </c>
      <c r="K22" s="25">
        <f t="shared" si="8"/>
        <v>-3.2999999999674401</v>
      </c>
      <c r="L22" s="26">
        <f t="shared" si="9"/>
        <v>-0.149999999962347</v>
      </c>
      <c r="M22" s="6">
        <v>6.0110000000000001</v>
      </c>
      <c r="N22" s="35">
        <f t="shared" si="2"/>
        <v>797.81730000000005</v>
      </c>
      <c r="O22" s="24">
        <f t="shared" si="10"/>
        <v>-0.20000000006348301</v>
      </c>
      <c r="P22" s="25">
        <f t="shared" si="11"/>
        <v>-3.9000000000442001</v>
      </c>
      <c r="Q22" s="26">
        <f t="shared" si="12"/>
        <v>-0.100000000031741</v>
      </c>
      <c r="R22" s="41"/>
      <c r="S22" s="21">
        <f t="shared" si="3"/>
        <v>44773</v>
      </c>
      <c r="T22" s="42">
        <v>8.74209999999999</v>
      </c>
      <c r="U22" s="43">
        <f t="shared" si="13"/>
        <v>-0.50000000000949296</v>
      </c>
      <c r="V22" s="44">
        <f t="shared" si="14"/>
        <v>-4.1000000000099801</v>
      </c>
      <c r="W22" s="45">
        <f t="shared" si="15"/>
        <v>0.25000000000474598</v>
      </c>
      <c r="X22" s="29">
        <v>12.035500000000001</v>
      </c>
      <c r="Y22" s="43">
        <f t="shared" si="16"/>
        <v>0.30000000000107702</v>
      </c>
      <c r="Z22" s="44">
        <f t="shared" si="17"/>
        <v>-1.99999999999889</v>
      </c>
      <c r="AA22" s="45">
        <f t="shared" si="18"/>
        <v>0.15000000000053901</v>
      </c>
      <c r="AB22" s="49">
        <v>9.0449999999999999</v>
      </c>
      <c r="AC22" s="43">
        <f t="shared" si="19"/>
        <v>-0.50000000000061096</v>
      </c>
      <c r="AD22" s="44">
        <f t="shared" si="20"/>
        <v>-3.6000000000004899</v>
      </c>
      <c r="AE22" s="45">
        <f t="shared" si="21"/>
        <v>-0.25000000000030598</v>
      </c>
      <c r="AF22" s="50">
        <v>80126</v>
      </c>
      <c r="AG22" s="58">
        <f t="shared" si="22"/>
        <v>97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44775</v>
      </c>
      <c r="B23" s="22">
        <v>791.80629999999996</v>
      </c>
      <c r="C23" s="27">
        <v>5.9035000000000002</v>
      </c>
      <c r="D23" s="23">
        <f t="shared" si="0"/>
        <v>797.70979999999997</v>
      </c>
      <c r="E23" s="24">
        <f t="shared" si="4"/>
        <v>9.9999999974897905E-2</v>
      </c>
      <c r="F23" s="25">
        <f t="shared" si="5"/>
        <v>-3.3999999999423398</v>
      </c>
      <c r="G23" s="26">
        <f t="shared" si="6"/>
        <v>4.9999999987449001E-2</v>
      </c>
      <c r="H23" s="6">
        <v>7.1233000000000004</v>
      </c>
      <c r="I23" s="35">
        <f t="shared" si="1"/>
        <v>798.92960000000005</v>
      </c>
      <c r="J23" s="24">
        <f t="shared" si="7"/>
        <v>-0.20000000006348301</v>
      </c>
      <c r="K23" s="25">
        <f t="shared" si="8"/>
        <v>-3.5000000000309202</v>
      </c>
      <c r="L23" s="26">
        <f t="shared" si="9"/>
        <v>-0.100000000031741</v>
      </c>
      <c r="M23" s="6">
        <v>6.0113000000000003</v>
      </c>
      <c r="N23" s="35">
        <f t="shared" si="2"/>
        <v>797.81759999999997</v>
      </c>
      <c r="O23" s="24">
        <f t="shared" si="10"/>
        <v>0.30000000003838101</v>
      </c>
      <c r="P23" s="25">
        <f t="shared" si="11"/>
        <v>-3.6000000000058199</v>
      </c>
      <c r="Q23" s="26">
        <f t="shared" si="12"/>
        <v>0.15000000001919001</v>
      </c>
      <c r="R23" s="41"/>
      <c r="S23" s="21">
        <f t="shared" si="3"/>
        <v>44775</v>
      </c>
      <c r="T23" s="42">
        <v>8.7417999999999907</v>
      </c>
      <c r="U23" s="43">
        <f t="shared" si="13"/>
        <v>-0.29999999999930099</v>
      </c>
      <c r="V23" s="44">
        <f t="shared" si="14"/>
        <v>-4.4000000000092898</v>
      </c>
      <c r="W23" s="45">
        <f t="shared" si="15"/>
        <v>0.14999999999965</v>
      </c>
      <c r="X23" s="29">
        <v>12.035399999999999</v>
      </c>
      <c r="Y23" s="43">
        <f t="shared" si="16"/>
        <v>-0.10000000000154299</v>
      </c>
      <c r="Z23" s="44">
        <f t="shared" si="17"/>
        <v>-2.10000000000043</v>
      </c>
      <c r="AA23" s="45">
        <f t="shared" si="18"/>
        <v>-5.0000000000771601E-2</v>
      </c>
      <c r="AB23" s="49">
        <v>9.0448000000000004</v>
      </c>
      <c r="AC23" s="43">
        <f t="shared" si="19"/>
        <v>-0.19999999999953399</v>
      </c>
      <c r="AD23" s="44">
        <f t="shared" si="20"/>
        <v>-3.80000000000003</v>
      </c>
      <c r="AE23" s="45">
        <f t="shared" si="21"/>
        <v>-9.99999999997669E-2</v>
      </c>
      <c r="AF23" s="50">
        <v>80132</v>
      </c>
      <c r="AG23" s="58">
        <f t="shared" si="22"/>
        <v>103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44777</v>
      </c>
      <c r="B24" s="22">
        <v>791.80629999999996</v>
      </c>
      <c r="C24" s="27">
        <v>5.9029999999999996</v>
      </c>
      <c r="D24" s="23">
        <f t="shared" si="0"/>
        <v>797.70929999999998</v>
      </c>
      <c r="E24" s="24">
        <f t="shared" si="4"/>
        <v>-0.49999999998817701</v>
      </c>
      <c r="F24" s="25">
        <f t="shared" si="5"/>
        <v>-3.8999999999305102</v>
      </c>
      <c r="G24" s="26">
        <f t="shared" si="6"/>
        <v>-0.24999999999408801</v>
      </c>
      <c r="H24" s="6">
        <v>7.1234999999999999</v>
      </c>
      <c r="I24" s="35">
        <f t="shared" si="1"/>
        <v>798.9298</v>
      </c>
      <c r="J24" s="24">
        <f t="shared" si="7"/>
        <v>0.20000000006348301</v>
      </c>
      <c r="K24" s="25">
        <f t="shared" si="8"/>
        <v>-3.2999999999674401</v>
      </c>
      <c r="L24" s="26">
        <f t="shared" si="9"/>
        <v>0.100000000031741</v>
      </c>
      <c r="M24" s="6">
        <v>6.0106000000000099</v>
      </c>
      <c r="N24" s="35">
        <f t="shared" si="2"/>
        <v>797.81690000000003</v>
      </c>
      <c r="O24" s="24">
        <f t="shared" si="10"/>
        <v>-0.70000000005165897</v>
      </c>
      <c r="P24" s="25">
        <f t="shared" si="11"/>
        <v>-4.3000000000574801</v>
      </c>
      <c r="Q24" s="26">
        <f t="shared" si="12"/>
        <v>-0.35000000002582998</v>
      </c>
      <c r="R24" s="41"/>
      <c r="S24" s="21">
        <f t="shared" si="3"/>
        <v>44777</v>
      </c>
      <c r="T24" s="42">
        <v>8.7420000000000009</v>
      </c>
      <c r="U24" s="43">
        <f t="shared" si="13"/>
        <v>0.200000000010192</v>
      </c>
      <c r="V24" s="44">
        <f t="shared" si="14"/>
        <v>-4.1999999999990898</v>
      </c>
      <c r="W24" s="45">
        <f t="shared" si="15"/>
        <v>-0.100000000005096</v>
      </c>
      <c r="X24" s="29">
        <v>12.035299999999999</v>
      </c>
      <c r="Y24" s="43">
        <f t="shared" si="16"/>
        <v>-9.99999999997669E-2</v>
      </c>
      <c r="Z24" s="44">
        <f t="shared" si="17"/>
        <v>-2.2000000000002</v>
      </c>
      <c r="AA24" s="45">
        <f t="shared" si="18"/>
        <v>-4.9999999999883499E-2</v>
      </c>
      <c r="AB24" s="49">
        <v>9.0444999999999993</v>
      </c>
      <c r="AC24" s="43">
        <f t="shared" si="19"/>
        <v>-0.30000000000107702</v>
      </c>
      <c r="AD24" s="44">
        <f t="shared" si="20"/>
        <v>-4.1000000000011001</v>
      </c>
      <c r="AE24" s="45">
        <f t="shared" si="21"/>
        <v>-0.15000000000053901</v>
      </c>
      <c r="AF24" s="50">
        <v>80138</v>
      </c>
      <c r="AG24" s="58">
        <f t="shared" si="22"/>
        <v>109</v>
      </c>
      <c r="AH24" s="59"/>
      <c r="AI24" s="60"/>
      <c r="AJ24" s="52"/>
      <c r="AK24" s="52"/>
      <c r="AL24" s="52"/>
      <c r="AM24" s="52"/>
    </row>
    <row r="25" spans="1:48">
      <c r="A25" s="21">
        <v>44779</v>
      </c>
      <c r="B25" s="22">
        <v>791.80629999999996</v>
      </c>
      <c r="C25" s="27">
        <v>5.9028</v>
      </c>
      <c r="D25" s="23">
        <f t="shared" si="0"/>
        <v>797.70910000000003</v>
      </c>
      <c r="E25" s="24">
        <f t="shared" si="4"/>
        <v>-0.20000000006348301</v>
      </c>
      <c r="F25" s="25">
        <f t="shared" si="5"/>
        <v>-4.099999999994</v>
      </c>
      <c r="G25" s="26">
        <f t="shared" si="6"/>
        <v>-0.100000000031741</v>
      </c>
      <c r="H25" s="6">
        <v>7.1229000000000102</v>
      </c>
      <c r="I25" s="35">
        <f t="shared" si="1"/>
        <v>798.92920000000004</v>
      </c>
      <c r="J25" s="24">
        <f t="shared" si="7"/>
        <v>-0.60000000007676102</v>
      </c>
      <c r="K25" s="25">
        <f t="shared" si="8"/>
        <v>-3.9000000000442001</v>
      </c>
      <c r="L25" s="26">
        <f t="shared" si="9"/>
        <v>-0.30000000003838101</v>
      </c>
      <c r="M25" s="6">
        <v>6.0104000000000104</v>
      </c>
      <c r="N25" s="35">
        <f t="shared" si="2"/>
        <v>797.81669999999997</v>
      </c>
      <c r="O25" s="24">
        <f t="shared" si="10"/>
        <v>-0.199999999949796</v>
      </c>
      <c r="P25" s="25">
        <f t="shared" si="11"/>
        <v>-4.5000000000072804</v>
      </c>
      <c r="Q25" s="26">
        <f t="shared" si="12"/>
        <v>-9.9999999974897905E-2</v>
      </c>
      <c r="R25" s="41"/>
      <c r="S25" s="21">
        <f t="shared" si="3"/>
        <v>44779</v>
      </c>
      <c r="T25" s="42">
        <v>8.7411999999999903</v>
      </c>
      <c r="U25" s="43">
        <f t="shared" si="13"/>
        <v>-0.80000000001057003</v>
      </c>
      <c r="V25" s="44">
        <f t="shared" si="14"/>
        <v>-5.0000000000096598</v>
      </c>
      <c r="W25" s="45">
        <f t="shared" si="15"/>
        <v>0.40000000000528502</v>
      </c>
      <c r="X25" s="29">
        <v>12.035</v>
      </c>
      <c r="Y25" s="43">
        <f t="shared" si="16"/>
        <v>-0.29999999999930099</v>
      </c>
      <c r="Z25" s="44">
        <f t="shared" si="17"/>
        <v>-2.4999999999995</v>
      </c>
      <c r="AA25" s="45">
        <f t="shared" si="18"/>
        <v>-0.14999999999965</v>
      </c>
      <c r="AB25" s="49">
        <v>9.0443999999999996</v>
      </c>
      <c r="AC25" s="43">
        <f t="shared" si="19"/>
        <v>-9.99999999997669E-2</v>
      </c>
      <c r="AD25" s="44">
        <f t="shared" si="20"/>
        <v>-4.2000000000008697</v>
      </c>
      <c r="AE25" s="45">
        <f t="shared" si="21"/>
        <v>-4.9999999999883499E-2</v>
      </c>
      <c r="AF25" s="50">
        <v>80144</v>
      </c>
      <c r="AG25" s="58">
        <f t="shared" si="22"/>
        <v>115</v>
      </c>
      <c r="AH25" s="61"/>
      <c r="AI25" s="60"/>
      <c r="AJ25" s="52"/>
      <c r="AK25" s="52"/>
      <c r="AL25" s="52"/>
      <c r="AM25" s="52"/>
    </row>
    <row r="26" spans="1:48">
      <c r="A26" s="21">
        <v>44781</v>
      </c>
      <c r="B26" s="22">
        <v>791.80629999999996</v>
      </c>
      <c r="C26" s="27">
        <v>5.9036999999999997</v>
      </c>
      <c r="D26" s="23">
        <f t="shared" si="0"/>
        <v>797.71</v>
      </c>
      <c r="E26" s="24">
        <f t="shared" si="4"/>
        <v>0.90000000000145497</v>
      </c>
      <c r="F26" s="25">
        <f t="shared" si="5"/>
        <v>-3.1999999999925399</v>
      </c>
      <c r="G26" s="26">
        <f t="shared" si="6"/>
        <v>0.45000000000072798</v>
      </c>
      <c r="H26" s="6">
        <v>7.1227000000000098</v>
      </c>
      <c r="I26" s="35">
        <f t="shared" si="1"/>
        <v>798.92899999999997</v>
      </c>
      <c r="J26" s="24">
        <f t="shared" si="7"/>
        <v>-0.199999999949796</v>
      </c>
      <c r="K26" s="25">
        <f t="shared" si="8"/>
        <v>-4.099999999994</v>
      </c>
      <c r="L26" s="26">
        <f t="shared" si="9"/>
        <v>-9.9999999974897905E-2</v>
      </c>
      <c r="M26" s="6">
        <v>6.0105000000000004</v>
      </c>
      <c r="N26" s="35">
        <f t="shared" si="2"/>
        <v>797.81679999999994</v>
      </c>
      <c r="O26" s="24">
        <f t="shared" si="10"/>
        <v>9.9999999974897905E-2</v>
      </c>
      <c r="P26" s="25">
        <f t="shared" si="11"/>
        <v>-4.4000000000323798</v>
      </c>
      <c r="Q26" s="26">
        <f t="shared" si="12"/>
        <v>4.9999999987449001E-2</v>
      </c>
      <c r="R26" s="41"/>
      <c r="S26" s="21">
        <f t="shared" si="3"/>
        <v>44781</v>
      </c>
      <c r="T26" s="42">
        <v>8.7413000000000007</v>
      </c>
      <c r="U26" s="43">
        <f t="shared" si="13"/>
        <v>0.100000000010425</v>
      </c>
      <c r="V26" s="44">
        <f t="shared" si="14"/>
        <v>-4.8999999999992401</v>
      </c>
      <c r="W26" s="45">
        <f t="shared" si="15"/>
        <v>-5.00000000052125E-2</v>
      </c>
      <c r="X26" s="29">
        <v>12.0351</v>
      </c>
      <c r="Y26" s="43">
        <f t="shared" si="16"/>
        <v>9.99999999997669E-2</v>
      </c>
      <c r="Z26" s="44">
        <f t="shared" si="17"/>
        <v>-2.3999999999997401</v>
      </c>
      <c r="AA26" s="45">
        <f t="shared" si="18"/>
        <v>4.9999999999883499E-2</v>
      </c>
      <c r="AB26" s="49">
        <v>9.0442</v>
      </c>
      <c r="AC26" s="43">
        <f t="shared" si="19"/>
        <v>-0.19999999999953399</v>
      </c>
      <c r="AD26" s="44">
        <f t="shared" si="20"/>
        <v>-4.4000000000004</v>
      </c>
      <c r="AE26" s="45">
        <f t="shared" si="21"/>
        <v>-9.99999999997669E-2</v>
      </c>
      <c r="AF26" s="50">
        <v>80150</v>
      </c>
      <c r="AG26" s="58">
        <f t="shared" si="22"/>
        <v>121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F26-F13</f>
        <v>-1.8000000000029099</v>
      </c>
      <c r="F27" s="33">
        <f>K26-K13</f>
        <v>-2.6000000000294698</v>
      </c>
      <c r="G27" s="33">
        <f>P26-P13</f>
        <v>-2.2999999999910901</v>
      </c>
      <c r="H27" s="33">
        <f>F26</f>
        <v>-3.1999999999925399</v>
      </c>
      <c r="I27" s="66">
        <f>K26</f>
        <v>-4.099999999994</v>
      </c>
      <c r="J27" s="65">
        <f>P26</f>
        <v>-4.4000000000323798</v>
      </c>
      <c r="K27" s="33">
        <f>(P26-P13)/19</f>
        <v>-0.121052631578478</v>
      </c>
      <c r="L27" s="26"/>
      <c r="N27" s="35"/>
      <c r="O27" s="24"/>
      <c r="P27" s="25"/>
      <c r="Q27" s="26"/>
      <c r="R27" s="41"/>
      <c r="S27" s="21"/>
      <c r="T27" s="42"/>
      <c r="U27" s="65">
        <f>V26-V13</f>
        <v>-3.4999999999989502</v>
      </c>
      <c r="V27" s="33">
        <f>Z26-Z13</f>
        <v>-1.3000000000005201</v>
      </c>
      <c r="W27" s="33">
        <f>AD26-AD13</f>
        <v>-2.59999999999927</v>
      </c>
      <c r="X27" s="33">
        <f>V26</f>
        <v>-4.8999999999992401</v>
      </c>
      <c r="Y27" s="65">
        <f>Z26</f>
        <v>-2.3999999999997401</v>
      </c>
      <c r="Z27" s="33">
        <f>AD26</f>
        <v>-4.4000000000004</v>
      </c>
      <c r="AA27" s="33">
        <f>(V26-V13)/19</f>
        <v>-0.18421052631573401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P1" workbookViewId="0">
      <selection activeCell="AV16" sqref="AV16:AV2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44766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44766</v>
      </c>
      <c r="B6" s="22">
        <v>791.80629999999996</v>
      </c>
      <c r="C6" s="27">
        <v>5.5572999999999997</v>
      </c>
      <c r="D6" s="23">
        <f t="shared" ref="D6:D24" si="0">C6+B6</f>
        <v>797.36360000000002</v>
      </c>
      <c r="E6" s="24">
        <v>0</v>
      </c>
      <c r="F6" s="25">
        <v>0</v>
      </c>
      <c r="G6" s="26">
        <v>0</v>
      </c>
      <c r="H6" s="6">
        <v>7.4736000000000002</v>
      </c>
      <c r="I6" s="35">
        <f t="shared" ref="I6:I24" si="1">H6+B6</f>
        <v>799.2799</v>
      </c>
      <c r="J6" s="24">
        <v>0</v>
      </c>
      <c r="K6" s="25">
        <v>0</v>
      </c>
      <c r="L6" s="26">
        <v>0</v>
      </c>
      <c r="M6" s="6">
        <v>5.282</v>
      </c>
      <c r="N6" s="35">
        <f t="shared" ref="N6:N24" si="2">M6+B6</f>
        <v>797.0883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44766</v>
      </c>
      <c r="T6" s="42">
        <v>9.2449999999999992</v>
      </c>
      <c r="U6" s="43">
        <v>0</v>
      </c>
      <c r="V6" s="44">
        <v>0</v>
      </c>
      <c r="W6" s="45">
        <f>U6/(S6-S11)</f>
        <v>0</v>
      </c>
      <c r="X6" s="29">
        <v>11.8499</v>
      </c>
      <c r="Y6" s="43">
        <v>0</v>
      </c>
      <c r="Z6" s="44">
        <v>0</v>
      </c>
      <c r="AA6" s="45">
        <v>0</v>
      </c>
      <c r="AB6" s="49">
        <v>9.0486000000000004</v>
      </c>
      <c r="AC6" s="43">
        <v>0</v>
      </c>
      <c r="AD6" s="44">
        <v>0</v>
      </c>
      <c r="AE6" s="45">
        <v>0</v>
      </c>
      <c r="AF6" s="50">
        <v>80070</v>
      </c>
      <c r="AG6" s="58">
        <f>AF6-80060</f>
        <v>10</v>
      </c>
      <c r="AH6" s="59"/>
      <c r="AI6" s="60"/>
      <c r="AJ6" s="61"/>
      <c r="AK6" s="62"/>
      <c r="AL6" s="52"/>
      <c r="AM6" s="52"/>
    </row>
    <row r="7" spans="1:48">
      <c r="A7" s="21">
        <v>44767</v>
      </c>
      <c r="B7" s="22">
        <v>791.80629999999996</v>
      </c>
      <c r="C7" s="27">
        <v>5.5571000000000002</v>
      </c>
      <c r="D7" s="23">
        <f t="shared" si="0"/>
        <v>797.36339999999996</v>
      </c>
      <c r="E7" s="24">
        <f t="shared" ref="E7:E24" si="4">(D7-D6)*1000</f>
        <v>-0.20000000006348301</v>
      </c>
      <c r="F7" s="25">
        <f t="shared" ref="F7:F24" si="5">F6+E7</f>
        <v>-0.20000000006348301</v>
      </c>
      <c r="G7" s="26">
        <f t="shared" ref="G7:G24" si="6">E7/(A7-A6)</f>
        <v>-0.20000000006348301</v>
      </c>
      <c r="H7" s="6">
        <v>7.4733000000000001</v>
      </c>
      <c r="I7" s="35">
        <f t="shared" si="1"/>
        <v>799.27959999999996</v>
      </c>
      <c r="J7" s="24">
        <f t="shared" ref="J7:J24" si="7">(I7-I6)*1000</f>
        <v>-0.30000000003838101</v>
      </c>
      <c r="K7" s="25">
        <f t="shared" ref="K7:K24" si="8">K6+J7</f>
        <v>-0.30000000003838101</v>
      </c>
      <c r="L7" s="26">
        <f t="shared" ref="L7:L24" si="9">J7/(A7-A6)</f>
        <v>-0.30000000003838101</v>
      </c>
      <c r="M7" s="6">
        <v>5.2820999999999998</v>
      </c>
      <c r="N7" s="35">
        <f t="shared" si="2"/>
        <v>797.08839999999998</v>
      </c>
      <c r="O7" s="24">
        <f t="shared" ref="O7:O24" si="10">(N7-N6)*1000</f>
        <v>9.9999999974897905E-2</v>
      </c>
      <c r="P7" s="25">
        <f t="shared" ref="P7:P24" si="11">P6+O7</f>
        <v>9.9999999974897905E-2</v>
      </c>
      <c r="Q7" s="26">
        <f t="shared" ref="Q7:Q24" si="12">O7/(A7-A6)</f>
        <v>9.9999999974897905E-2</v>
      </c>
      <c r="R7" s="41"/>
      <c r="S7" s="21">
        <f t="shared" si="3"/>
        <v>44767</v>
      </c>
      <c r="T7" s="42">
        <v>9.2451000000000008</v>
      </c>
      <c r="U7" s="43">
        <f t="shared" ref="U7:U24" si="13">(T7-T6)*1000</f>
        <v>0.10000000000154299</v>
      </c>
      <c r="V7" s="44">
        <f t="shared" ref="V7:V24" si="14">V6+U7</f>
        <v>0.10000000000154299</v>
      </c>
      <c r="W7" s="45">
        <f t="shared" ref="W7:W24" si="15">U7/(S6-S7)</f>
        <v>-0.10000000000154299</v>
      </c>
      <c r="X7" s="29">
        <v>11.849500000000001</v>
      </c>
      <c r="Y7" s="43">
        <f t="shared" ref="Y7:Y24" si="16">(X7-X6)*1000</f>
        <v>-0.39999999999906799</v>
      </c>
      <c r="Z7" s="44">
        <f t="shared" ref="Z7:Z24" si="17">Z6+Y7</f>
        <v>-0.39999999999906799</v>
      </c>
      <c r="AA7" s="45">
        <f t="shared" ref="AA7:AA24" si="18">Y7/(S7-S6)</f>
        <v>-0.39999999999906799</v>
      </c>
      <c r="AB7" s="49">
        <v>9.0486000000000004</v>
      </c>
      <c r="AC7" s="43">
        <f t="shared" ref="AC7:AC24" si="19">(AB7-AB6)*1000</f>
        <v>0</v>
      </c>
      <c r="AD7" s="44">
        <f t="shared" ref="AD7:AD24" si="20">AD6+AC7</f>
        <v>0</v>
      </c>
      <c r="AE7" s="45">
        <f t="shared" ref="AE7:AE24" si="21">AC7/(S7-S6)</f>
        <v>0</v>
      </c>
      <c r="AF7" s="50">
        <v>80073</v>
      </c>
      <c r="AG7" s="58">
        <f t="shared" ref="AG7:AG24" si="22">AF7-80060</f>
        <v>13</v>
      </c>
      <c r="AH7" s="59"/>
      <c r="AI7" s="60"/>
      <c r="AJ7" s="61"/>
      <c r="AK7" s="62"/>
      <c r="AL7" s="52"/>
      <c r="AM7" s="52"/>
    </row>
    <row r="8" spans="1:48">
      <c r="A8" s="21">
        <v>44768</v>
      </c>
      <c r="B8" s="22">
        <v>791.80629999999996</v>
      </c>
      <c r="C8" s="27">
        <v>5.5568</v>
      </c>
      <c r="D8" s="23">
        <f t="shared" si="0"/>
        <v>797.36310000000003</v>
      </c>
      <c r="E8" s="24">
        <f t="shared" si="4"/>
        <v>-0.30000000003838101</v>
      </c>
      <c r="F8" s="25">
        <f t="shared" si="5"/>
        <v>-0.50000000010186296</v>
      </c>
      <c r="G8" s="26">
        <f t="shared" si="6"/>
        <v>-0.30000000003838101</v>
      </c>
      <c r="H8" s="6">
        <v>7.4733999999999998</v>
      </c>
      <c r="I8" s="35">
        <f t="shared" si="1"/>
        <v>799.27970000000005</v>
      </c>
      <c r="J8" s="24">
        <f t="shared" si="7"/>
        <v>9.9999999974897905E-2</v>
      </c>
      <c r="K8" s="25">
        <f t="shared" si="8"/>
        <v>-0.20000000006348301</v>
      </c>
      <c r="L8" s="26">
        <f t="shared" si="9"/>
        <v>9.9999999974897905E-2</v>
      </c>
      <c r="M8" s="6">
        <v>5.2819000000000003</v>
      </c>
      <c r="N8" s="35">
        <f t="shared" si="2"/>
        <v>797.08820000000003</v>
      </c>
      <c r="O8" s="24">
        <f t="shared" si="10"/>
        <v>-0.20000000006348301</v>
      </c>
      <c r="P8" s="25">
        <f t="shared" si="11"/>
        <v>-0.10000000008858501</v>
      </c>
      <c r="Q8" s="26">
        <f t="shared" si="12"/>
        <v>-0.20000000006348301</v>
      </c>
      <c r="R8" s="41"/>
      <c r="S8" s="21">
        <f t="shared" si="3"/>
        <v>44768</v>
      </c>
      <c r="T8" s="42">
        <v>9.2447999999999997</v>
      </c>
      <c r="U8" s="43">
        <f t="shared" si="13"/>
        <v>-0.30000000000107702</v>
      </c>
      <c r="V8" s="44">
        <f t="shared" si="14"/>
        <v>-0.19999999999953399</v>
      </c>
      <c r="W8" s="45">
        <f t="shared" si="15"/>
        <v>0.30000000000107702</v>
      </c>
      <c r="X8" s="29">
        <v>11.849299999999999</v>
      </c>
      <c r="Y8" s="43">
        <f t="shared" si="16"/>
        <v>-0.20000000000130999</v>
      </c>
      <c r="Z8" s="44">
        <f t="shared" si="17"/>
        <v>-0.60000000000037801</v>
      </c>
      <c r="AA8" s="45">
        <f t="shared" si="18"/>
        <v>-0.20000000000130999</v>
      </c>
      <c r="AB8" s="49">
        <v>9.048</v>
      </c>
      <c r="AC8" s="43">
        <f t="shared" si="19"/>
        <v>-0.60000000000037801</v>
      </c>
      <c r="AD8" s="44">
        <f t="shared" si="20"/>
        <v>-0.60000000000037801</v>
      </c>
      <c r="AE8" s="45">
        <f t="shared" si="21"/>
        <v>-0.60000000000037801</v>
      </c>
      <c r="AF8" s="50">
        <v>80076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44769</v>
      </c>
      <c r="B9" s="22">
        <v>791.80629999999996</v>
      </c>
      <c r="C9" s="27">
        <v>5.5567000000000002</v>
      </c>
      <c r="D9" s="23">
        <f t="shared" si="0"/>
        <v>797.36300000000006</v>
      </c>
      <c r="E9" s="24">
        <f t="shared" si="4"/>
        <v>-9.9999999974897905E-2</v>
      </c>
      <c r="F9" s="25">
        <f t="shared" si="5"/>
        <v>-0.60000000007676102</v>
      </c>
      <c r="G9" s="26">
        <f t="shared" si="6"/>
        <v>-9.9999999974897905E-2</v>
      </c>
      <c r="H9" s="6">
        <v>7.4729999999999999</v>
      </c>
      <c r="I9" s="35">
        <f t="shared" si="1"/>
        <v>799.27930000000003</v>
      </c>
      <c r="J9" s="24">
        <f t="shared" si="7"/>
        <v>-0.40000000001327901</v>
      </c>
      <c r="K9" s="25">
        <f t="shared" si="8"/>
        <v>-0.60000000007676102</v>
      </c>
      <c r="L9" s="26">
        <f t="shared" si="9"/>
        <v>-0.40000000001327901</v>
      </c>
      <c r="M9" s="6">
        <v>5.2816999999999998</v>
      </c>
      <c r="N9" s="35">
        <f t="shared" si="2"/>
        <v>797.08799999999997</v>
      </c>
      <c r="O9" s="24">
        <f t="shared" si="10"/>
        <v>-0.199999999949796</v>
      </c>
      <c r="P9" s="25">
        <f t="shared" si="11"/>
        <v>-0.30000000003838101</v>
      </c>
      <c r="Q9" s="26">
        <f t="shared" si="12"/>
        <v>-0.199999999949796</v>
      </c>
      <c r="R9" s="41"/>
      <c r="S9" s="21">
        <f t="shared" si="3"/>
        <v>44769</v>
      </c>
      <c r="T9" s="42">
        <v>9.2445000000000004</v>
      </c>
      <c r="U9" s="43">
        <f t="shared" si="13"/>
        <v>-0.29999999999930099</v>
      </c>
      <c r="V9" s="44">
        <f t="shared" si="14"/>
        <v>-0.49999999999883499</v>
      </c>
      <c r="W9" s="45">
        <f t="shared" si="15"/>
        <v>0.29999999999930099</v>
      </c>
      <c r="X9" s="29">
        <v>11.8491</v>
      </c>
      <c r="Y9" s="43">
        <f t="shared" si="16"/>
        <v>-0.19999999999953399</v>
      </c>
      <c r="Z9" s="44">
        <f t="shared" si="17"/>
        <v>-0.799999999999912</v>
      </c>
      <c r="AA9" s="45">
        <f t="shared" si="18"/>
        <v>-0.19999999999953399</v>
      </c>
      <c r="AB9" s="49">
        <v>9.0478000000000005</v>
      </c>
      <c r="AC9" s="43">
        <f t="shared" si="19"/>
        <v>-0.19999999999953399</v>
      </c>
      <c r="AD9" s="44">
        <f t="shared" si="20"/>
        <v>-0.799999999999912</v>
      </c>
      <c r="AE9" s="45">
        <f t="shared" si="21"/>
        <v>-0.19999999999953399</v>
      </c>
      <c r="AF9" s="50">
        <v>80079</v>
      </c>
      <c r="AG9" s="58">
        <f t="shared" si="22"/>
        <v>19</v>
      </c>
      <c r="AH9" s="61"/>
      <c r="AI9" s="60"/>
      <c r="AJ9"/>
      <c r="AK9"/>
      <c r="AL9"/>
      <c r="AM9"/>
    </row>
    <row r="10" spans="1:48">
      <c r="A10" s="21">
        <v>44770</v>
      </c>
      <c r="B10" s="22">
        <v>791.80629999999996</v>
      </c>
      <c r="C10" s="27">
        <v>5.5564999999999998</v>
      </c>
      <c r="D10" s="23">
        <f t="shared" si="0"/>
        <v>797.36279999999999</v>
      </c>
      <c r="E10" s="24">
        <f t="shared" si="4"/>
        <v>-0.199999999949796</v>
      </c>
      <c r="F10" s="25">
        <f t="shared" si="5"/>
        <v>-0.80000000002655702</v>
      </c>
      <c r="G10" s="26">
        <f t="shared" si="6"/>
        <v>-0.199999999949796</v>
      </c>
      <c r="H10" s="6">
        <v>7.4728000000000003</v>
      </c>
      <c r="I10" s="35">
        <f t="shared" si="1"/>
        <v>799.27909999999997</v>
      </c>
      <c r="J10" s="24">
        <f t="shared" si="7"/>
        <v>-0.199999999949796</v>
      </c>
      <c r="K10" s="25">
        <f t="shared" si="8"/>
        <v>-0.80000000002655702</v>
      </c>
      <c r="L10" s="26">
        <f t="shared" si="9"/>
        <v>-0.199999999949796</v>
      </c>
      <c r="M10" s="6">
        <v>5.2815000000000003</v>
      </c>
      <c r="N10" s="35">
        <f t="shared" si="2"/>
        <v>797.08780000000002</v>
      </c>
      <c r="O10" s="24">
        <f t="shared" si="10"/>
        <v>-0.199999999949796</v>
      </c>
      <c r="P10" s="25">
        <f t="shared" si="11"/>
        <v>-0.49999999998817701</v>
      </c>
      <c r="Q10" s="26">
        <f t="shared" si="12"/>
        <v>-0.199999999949796</v>
      </c>
      <c r="R10" s="41"/>
      <c r="S10" s="21">
        <f t="shared" si="3"/>
        <v>44770</v>
      </c>
      <c r="T10" s="42">
        <v>9.2440999999999995</v>
      </c>
      <c r="U10" s="43">
        <f t="shared" si="13"/>
        <v>-0.40000000000084401</v>
      </c>
      <c r="V10" s="44">
        <f t="shared" si="14"/>
        <v>-0.89999999999967895</v>
      </c>
      <c r="W10" s="45">
        <f t="shared" si="15"/>
        <v>0.40000000000084401</v>
      </c>
      <c r="X10" s="29">
        <v>11.849500000000001</v>
      </c>
      <c r="Y10" s="43">
        <f t="shared" si="16"/>
        <v>0.40000000000084401</v>
      </c>
      <c r="Z10" s="44">
        <f t="shared" si="17"/>
        <v>-0.39999999999906799</v>
      </c>
      <c r="AA10" s="45">
        <f t="shared" si="18"/>
        <v>0.40000000000084401</v>
      </c>
      <c r="AB10" s="49">
        <v>9.0475999999999992</v>
      </c>
      <c r="AC10" s="43">
        <f t="shared" si="19"/>
        <v>-0.20000000000130999</v>
      </c>
      <c r="AD10" s="44">
        <f t="shared" si="20"/>
        <v>-1.0000000000012199</v>
      </c>
      <c r="AE10" s="45">
        <f t="shared" si="21"/>
        <v>-0.20000000000130999</v>
      </c>
      <c r="AF10" s="50">
        <v>80082</v>
      </c>
      <c r="AG10" s="58">
        <f t="shared" si="22"/>
        <v>22</v>
      </c>
      <c r="AH10" s="59"/>
      <c r="AI10" s="60"/>
      <c r="AJ10" s="61"/>
      <c r="AK10" s="62"/>
      <c r="AL10" s="52"/>
      <c r="AM10" s="52"/>
    </row>
    <row r="11" spans="1:48">
      <c r="A11" s="21">
        <v>44771</v>
      </c>
      <c r="B11" s="22">
        <v>791.80629999999996</v>
      </c>
      <c r="C11" s="27">
        <v>5.5564999999999998</v>
      </c>
      <c r="D11" s="23">
        <f t="shared" si="0"/>
        <v>797.36279999999999</v>
      </c>
      <c r="E11" s="24">
        <f t="shared" si="4"/>
        <v>0</v>
      </c>
      <c r="F11" s="25">
        <f t="shared" si="5"/>
        <v>-0.80000000002655702</v>
      </c>
      <c r="G11" s="26">
        <f t="shared" si="6"/>
        <v>0</v>
      </c>
      <c r="H11" s="6">
        <v>7.4725999999999999</v>
      </c>
      <c r="I11" s="35">
        <f t="shared" si="1"/>
        <v>799.27890000000002</v>
      </c>
      <c r="J11" s="24">
        <f t="shared" si="7"/>
        <v>-0.199999999949796</v>
      </c>
      <c r="K11" s="25">
        <f t="shared" si="8"/>
        <v>-0.99999999997635303</v>
      </c>
      <c r="L11" s="26">
        <f t="shared" si="9"/>
        <v>-0.199999999949796</v>
      </c>
      <c r="M11" s="6">
        <v>5.2813999999999997</v>
      </c>
      <c r="N11" s="35">
        <f t="shared" si="2"/>
        <v>797.08770000000004</v>
      </c>
      <c r="O11" s="24">
        <f t="shared" si="10"/>
        <v>-0.10000000008858501</v>
      </c>
      <c r="P11" s="25">
        <f t="shared" si="11"/>
        <v>-0.60000000007676102</v>
      </c>
      <c r="Q11" s="26">
        <f t="shared" si="12"/>
        <v>-0.10000000008858501</v>
      </c>
      <c r="R11" s="41"/>
      <c r="S11" s="21">
        <f t="shared" si="3"/>
        <v>44771</v>
      </c>
      <c r="T11" s="42">
        <v>9.2439</v>
      </c>
      <c r="U11" s="43">
        <f t="shared" si="13"/>
        <v>-0.19999999999953399</v>
      </c>
      <c r="V11" s="44">
        <f t="shared" si="14"/>
        <v>-1.0999999999992101</v>
      </c>
      <c r="W11" s="45">
        <f t="shared" si="15"/>
        <v>0.19999999999953399</v>
      </c>
      <c r="X11" s="29">
        <v>11.848699999999999</v>
      </c>
      <c r="Y11" s="43">
        <f t="shared" si="16"/>
        <v>-0.80000000000168803</v>
      </c>
      <c r="Z11" s="44">
        <f t="shared" si="17"/>
        <v>-1.20000000000076</v>
      </c>
      <c r="AA11" s="45">
        <f t="shared" si="18"/>
        <v>-0.80000000000168803</v>
      </c>
      <c r="AB11" s="49">
        <v>9.0472999999999999</v>
      </c>
      <c r="AC11" s="43">
        <f t="shared" si="19"/>
        <v>-0.29999999999930099</v>
      </c>
      <c r="AD11" s="44">
        <f t="shared" si="20"/>
        <v>-1.3000000000005201</v>
      </c>
      <c r="AE11" s="45">
        <f t="shared" si="21"/>
        <v>-0.29999999999930099</v>
      </c>
      <c r="AF11" s="50">
        <v>80085</v>
      </c>
      <c r="AG11" s="58">
        <f t="shared" si="22"/>
        <v>25</v>
      </c>
      <c r="AH11" s="61"/>
      <c r="AI11" s="60"/>
      <c r="AJ11"/>
      <c r="AK11"/>
      <c r="AL11"/>
      <c r="AM11"/>
    </row>
    <row r="12" spans="1:48">
      <c r="A12" s="21">
        <v>44772</v>
      </c>
      <c r="B12" s="22">
        <v>791.80629999999996</v>
      </c>
      <c r="C12" s="27">
        <v>5.5560999999999998</v>
      </c>
      <c r="D12" s="23">
        <f t="shared" si="0"/>
        <v>797.36239999999998</v>
      </c>
      <c r="E12" s="24">
        <f t="shared" si="4"/>
        <v>-0.40000000001327901</v>
      </c>
      <c r="F12" s="25">
        <f t="shared" si="5"/>
        <v>-1.2000000000398401</v>
      </c>
      <c r="G12" s="26">
        <f t="shared" si="6"/>
        <v>-0.40000000001327901</v>
      </c>
      <c r="H12" s="6">
        <v>7.4725000000000001</v>
      </c>
      <c r="I12" s="35">
        <f t="shared" si="1"/>
        <v>799.27880000000005</v>
      </c>
      <c r="J12" s="24">
        <f t="shared" si="7"/>
        <v>-0.10000000008858501</v>
      </c>
      <c r="K12" s="25">
        <f t="shared" si="8"/>
        <v>-1.1000000000649399</v>
      </c>
      <c r="L12" s="26">
        <f t="shared" si="9"/>
        <v>-0.10000000008858501</v>
      </c>
      <c r="M12" s="6">
        <v>5.2811000000000003</v>
      </c>
      <c r="N12" s="35">
        <f t="shared" si="2"/>
        <v>797.0874</v>
      </c>
      <c r="O12" s="24">
        <f t="shared" si="10"/>
        <v>-0.29999999992469401</v>
      </c>
      <c r="P12" s="25">
        <f t="shared" si="11"/>
        <v>-0.90000000000145497</v>
      </c>
      <c r="Q12" s="26">
        <f t="shared" si="12"/>
        <v>-0.29999999992469401</v>
      </c>
      <c r="R12" s="41"/>
      <c r="S12" s="21">
        <f t="shared" si="3"/>
        <v>44772</v>
      </c>
      <c r="T12" s="42">
        <v>9.2436000000000007</v>
      </c>
      <c r="U12" s="43">
        <f t="shared" si="13"/>
        <v>-0.29999999999930099</v>
      </c>
      <c r="V12" s="44">
        <f t="shared" si="14"/>
        <v>-1.39999999999851</v>
      </c>
      <c r="W12" s="45">
        <f t="shared" si="15"/>
        <v>0.29999999999930099</v>
      </c>
      <c r="X12" s="29">
        <v>11.8485</v>
      </c>
      <c r="Y12" s="43">
        <f t="shared" si="16"/>
        <v>-0.19999999999953399</v>
      </c>
      <c r="Z12" s="44">
        <f t="shared" si="17"/>
        <v>-1.4000000000002899</v>
      </c>
      <c r="AA12" s="45">
        <f t="shared" si="18"/>
        <v>-0.19999999999953399</v>
      </c>
      <c r="AB12" s="49">
        <v>9.0470000000000006</v>
      </c>
      <c r="AC12" s="43">
        <f t="shared" si="19"/>
        <v>-0.29999999999930099</v>
      </c>
      <c r="AD12" s="44">
        <f t="shared" si="20"/>
        <v>-1.59999999999982</v>
      </c>
      <c r="AE12" s="45">
        <f t="shared" si="21"/>
        <v>-0.29999999999930099</v>
      </c>
      <c r="AF12" s="50">
        <v>80088</v>
      </c>
      <c r="AG12" s="58">
        <f t="shared" si="22"/>
        <v>28</v>
      </c>
      <c r="AH12" s="59"/>
      <c r="AI12" s="60"/>
      <c r="AJ12"/>
      <c r="AK12"/>
      <c r="AL12"/>
      <c r="AM12"/>
    </row>
    <row r="13" spans="1:48">
      <c r="A13" s="21">
        <v>44773</v>
      </c>
      <c r="B13" s="22">
        <v>791.80629999999996</v>
      </c>
      <c r="C13" s="27">
        <v>5.5559000000000003</v>
      </c>
      <c r="D13" s="23">
        <f t="shared" si="0"/>
        <v>797.36220000000003</v>
      </c>
      <c r="E13" s="24">
        <f t="shared" si="4"/>
        <v>-0.20000000006348301</v>
      </c>
      <c r="F13" s="25">
        <f t="shared" si="5"/>
        <v>-1.4000000001033199</v>
      </c>
      <c r="G13" s="26">
        <f t="shared" si="6"/>
        <v>-0.20000000006348301</v>
      </c>
      <c r="H13" s="6">
        <v>7.4722</v>
      </c>
      <c r="I13" s="35">
        <f t="shared" si="1"/>
        <v>799.27850000000001</v>
      </c>
      <c r="J13" s="24">
        <f t="shared" si="7"/>
        <v>-0.29999999992469401</v>
      </c>
      <c r="K13" s="25">
        <f t="shared" si="8"/>
        <v>-1.39999999998963</v>
      </c>
      <c r="L13" s="26">
        <f t="shared" si="9"/>
        <v>-0.29999999992469401</v>
      </c>
      <c r="M13" s="6">
        <v>5.2808999999999999</v>
      </c>
      <c r="N13" s="35">
        <f t="shared" si="2"/>
        <v>797.08720000000005</v>
      </c>
      <c r="O13" s="24">
        <f t="shared" si="10"/>
        <v>-0.20000000006348301</v>
      </c>
      <c r="P13" s="25">
        <f t="shared" si="11"/>
        <v>-1.1000000000649399</v>
      </c>
      <c r="Q13" s="26">
        <f t="shared" si="12"/>
        <v>-0.20000000006348301</v>
      </c>
      <c r="R13" s="41"/>
      <c r="S13" s="21">
        <f t="shared" si="3"/>
        <v>44773</v>
      </c>
      <c r="T13" s="42">
        <v>9.2434999999999992</v>
      </c>
      <c r="U13" s="43">
        <f t="shared" si="13"/>
        <v>-0.10000000000154299</v>
      </c>
      <c r="V13" s="44">
        <f t="shared" si="14"/>
        <v>-1.50000000000006</v>
      </c>
      <c r="W13" s="45">
        <f t="shared" si="15"/>
        <v>0.10000000000154299</v>
      </c>
      <c r="X13" s="29">
        <v>11.848800000000001</v>
      </c>
      <c r="Y13" s="43">
        <f t="shared" si="16"/>
        <v>0.30000000000107702</v>
      </c>
      <c r="Z13" s="44">
        <f t="shared" si="17"/>
        <v>-1.0999999999992101</v>
      </c>
      <c r="AA13" s="45">
        <f t="shared" si="18"/>
        <v>0.30000000000107702</v>
      </c>
      <c r="AB13" s="49">
        <v>9.0467999999999993</v>
      </c>
      <c r="AC13" s="43">
        <f t="shared" si="19"/>
        <v>-0.20000000000130999</v>
      </c>
      <c r="AD13" s="44">
        <f t="shared" si="20"/>
        <v>-1.80000000000113</v>
      </c>
      <c r="AE13" s="45">
        <f t="shared" si="21"/>
        <v>-0.20000000000130999</v>
      </c>
      <c r="AF13" s="50">
        <v>80091</v>
      </c>
      <c r="AG13" s="58">
        <f t="shared" si="22"/>
        <v>31</v>
      </c>
      <c r="AH13" s="61"/>
      <c r="AI13" s="60"/>
      <c r="AJ13"/>
      <c r="AK13"/>
      <c r="AL13"/>
      <c r="AM13"/>
    </row>
    <row r="14" spans="1:48">
      <c r="A14" s="21">
        <v>44774</v>
      </c>
      <c r="B14" s="22">
        <v>791.80629999999996</v>
      </c>
      <c r="C14" s="27">
        <v>5.556</v>
      </c>
      <c r="D14" s="23">
        <f t="shared" si="0"/>
        <v>797.3623</v>
      </c>
      <c r="E14" s="24">
        <f t="shared" si="4"/>
        <v>0.10000000008858501</v>
      </c>
      <c r="F14" s="25">
        <f t="shared" si="5"/>
        <v>-1.30000000001473</v>
      </c>
      <c r="G14" s="26">
        <f t="shared" si="6"/>
        <v>0.10000000008858501</v>
      </c>
      <c r="H14" s="6">
        <v>7.4720000000000004</v>
      </c>
      <c r="I14" s="35">
        <f t="shared" si="1"/>
        <v>799.27829999999994</v>
      </c>
      <c r="J14" s="24">
        <f t="shared" si="7"/>
        <v>-0.20000000006348301</v>
      </c>
      <c r="K14" s="25">
        <f t="shared" si="8"/>
        <v>-1.60000000005311</v>
      </c>
      <c r="L14" s="26">
        <f t="shared" si="9"/>
        <v>-0.20000000006348301</v>
      </c>
      <c r="M14" s="6">
        <v>5.2808000000000002</v>
      </c>
      <c r="N14" s="35">
        <f t="shared" si="2"/>
        <v>797.08709999999996</v>
      </c>
      <c r="O14" s="24">
        <f t="shared" si="10"/>
        <v>-9.9999999974897905E-2</v>
      </c>
      <c r="P14" s="25">
        <f t="shared" si="11"/>
        <v>-1.2000000000398401</v>
      </c>
      <c r="Q14" s="26">
        <f t="shared" si="12"/>
        <v>-9.9999999974897905E-2</v>
      </c>
      <c r="R14" s="41"/>
      <c r="S14" s="21">
        <f t="shared" si="3"/>
        <v>44774</v>
      </c>
      <c r="T14" s="42">
        <v>9.2429999999999897</v>
      </c>
      <c r="U14" s="43">
        <f t="shared" si="13"/>
        <v>-0.50000000000949296</v>
      </c>
      <c r="V14" s="44">
        <f t="shared" si="14"/>
        <v>-2.0000000000095501</v>
      </c>
      <c r="W14" s="45">
        <f t="shared" si="15"/>
        <v>0.50000000000949296</v>
      </c>
      <c r="X14" s="29">
        <v>11.848100000000001</v>
      </c>
      <c r="Y14" s="43">
        <f t="shared" si="16"/>
        <v>-0.70000000000014495</v>
      </c>
      <c r="Z14" s="44">
        <f t="shared" si="17"/>
        <v>-1.7999999999993599</v>
      </c>
      <c r="AA14" s="45">
        <f t="shared" si="18"/>
        <v>-0.70000000000014495</v>
      </c>
      <c r="AB14" s="49">
        <v>9.0465</v>
      </c>
      <c r="AC14" s="43">
        <f t="shared" si="19"/>
        <v>-0.29999999999930099</v>
      </c>
      <c r="AD14" s="44">
        <f t="shared" si="20"/>
        <v>-2.10000000000043</v>
      </c>
      <c r="AE14" s="45">
        <f t="shared" si="21"/>
        <v>-0.29999999999930099</v>
      </c>
      <c r="AF14" s="50">
        <v>80094</v>
      </c>
      <c r="AG14" s="58">
        <f t="shared" si="22"/>
        <v>34</v>
      </c>
      <c r="AH14" s="59"/>
      <c r="AI14" s="60"/>
      <c r="AJ14"/>
      <c r="AK14"/>
      <c r="AL14"/>
      <c r="AM14"/>
    </row>
    <row r="15" spans="1:48">
      <c r="A15" s="21">
        <v>44775</v>
      </c>
      <c r="B15" s="22">
        <v>791.80629999999996</v>
      </c>
      <c r="C15" s="27">
        <v>5.5555000000000003</v>
      </c>
      <c r="D15" s="23">
        <f t="shared" si="0"/>
        <v>797.36180000000002</v>
      </c>
      <c r="E15" s="24">
        <f t="shared" si="4"/>
        <v>-0.49999999998817701</v>
      </c>
      <c r="F15" s="25">
        <f t="shared" si="5"/>
        <v>-1.8000000000029099</v>
      </c>
      <c r="G15" s="26">
        <f t="shared" si="6"/>
        <v>-0.49999999998817701</v>
      </c>
      <c r="H15" s="6">
        <v>7.4721000000000002</v>
      </c>
      <c r="I15" s="35">
        <f t="shared" si="1"/>
        <v>799.27840000000003</v>
      </c>
      <c r="J15" s="24">
        <f t="shared" si="7"/>
        <v>9.9999999974897905E-2</v>
      </c>
      <c r="K15" s="25">
        <f t="shared" si="8"/>
        <v>-1.5000000000782201</v>
      </c>
      <c r="L15" s="26">
        <f t="shared" si="9"/>
        <v>9.9999999974897905E-2</v>
      </c>
      <c r="M15" s="6">
        <v>5.2805</v>
      </c>
      <c r="N15" s="35">
        <f t="shared" si="2"/>
        <v>797.08680000000004</v>
      </c>
      <c r="O15" s="24">
        <f t="shared" si="10"/>
        <v>-0.30000000003838101</v>
      </c>
      <c r="P15" s="25">
        <f t="shared" si="11"/>
        <v>-1.5000000000782201</v>
      </c>
      <c r="Q15" s="26">
        <f t="shared" si="12"/>
        <v>-0.30000000003838101</v>
      </c>
      <c r="R15" s="41"/>
      <c r="S15" s="21">
        <f t="shared" si="3"/>
        <v>44775</v>
      </c>
      <c r="T15" s="42">
        <v>9.2426999999999904</v>
      </c>
      <c r="U15" s="43">
        <f t="shared" si="13"/>
        <v>-0.29999999999930099</v>
      </c>
      <c r="V15" s="44">
        <f t="shared" si="14"/>
        <v>-2.3000000000088501</v>
      </c>
      <c r="W15" s="45">
        <f t="shared" si="15"/>
        <v>0.29999999999930099</v>
      </c>
      <c r="X15" s="29">
        <v>11.847899999999999</v>
      </c>
      <c r="Y15" s="43">
        <f t="shared" si="16"/>
        <v>-0.20000000000130999</v>
      </c>
      <c r="Z15" s="44">
        <f t="shared" si="17"/>
        <v>-2.0000000000006701</v>
      </c>
      <c r="AA15" s="45">
        <f t="shared" si="18"/>
        <v>-0.20000000000130999</v>
      </c>
      <c r="AB15" s="49">
        <v>9.0464000000000002</v>
      </c>
      <c r="AC15" s="43">
        <f t="shared" si="19"/>
        <v>-9.99999999997669E-2</v>
      </c>
      <c r="AD15" s="44">
        <f t="shared" si="20"/>
        <v>-2.2000000000002</v>
      </c>
      <c r="AE15" s="45">
        <f t="shared" si="21"/>
        <v>-9.99999999997669E-2</v>
      </c>
      <c r="AF15" s="50">
        <v>80097</v>
      </c>
      <c r="AG15" s="58">
        <f t="shared" si="22"/>
        <v>37</v>
      </c>
      <c r="AH15" s="61"/>
      <c r="AI15" s="60"/>
      <c r="AJ15"/>
      <c r="AK15"/>
      <c r="AL15"/>
      <c r="AM15"/>
    </row>
    <row r="16" spans="1:48">
      <c r="A16" s="21">
        <v>44776</v>
      </c>
      <c r="B16" s="22">
        <v>791.80629999999996</v>
      </c>
      <c r="C16" s="27">
        <v>5.5552999999999999</v>
      </c>
      <c r="D16" s="23">
        <f t="shared" si="0"/>
        <v>797.36159999999995</v>
      </c>
      <c r="E16" s="24">
        <f t="shared" si="4"/>
        <v>-0.20000000006348301</v>
      </c>
      <c r="F16" s="25">
        <f t="shared" si="5"/>
        <v>-2.00000000006639</v>
      </c>
      <c r="G16" s="26">
        <f t="shared" si="6"/>
        <v>-0.20000000006348301</v>
      </c>
      <c r="H16" s="6">
        <v>7.4715999999999996</v>
      </c>
      <c r="I16" s="35">
        <f t="shared" si="1"/>
        <v>799.27790000000005</v>
      </c>
      <c r="J16" s="24">
        <f t="shared" si="7"/>
        <v>-0.49999999998817701</v>
      </c>
      <c r="K16" s="25">
        <f t="shared" si="8"/>
        <v>-2.00000000006639</v>
      </c>
      <c r="L16" s="26">
        <f t="shared" si="9"/>
        <v>-0.49999999998817701</v>
      </c>
      <c r="M16" s="6">
        <v>5.2803000000000004</v>
      </c>
      <c r="N16" s="35">
        <f t="shared" si="2"/>
        <v>797.08659999999998</v>
      </c>
      <c r="O16" s="24">
        <f t="shared" si="10"/>
        <v>-0.199999999949796</v>
      </c>
      <c r="P16" s="25">
        <f t="shared" si="11"/>
        <v>-1.70000000002801</v>
      </c>
      <c r="Q16" s="26">
        <f t="shared" si="12"/>
        <v>-0.199999999949796</v>
      </c>
      <c r="R16" s="41"/>
      <c r="S16" s="21">
        <f t="shared" si="3"/>
        <v>44776</v>
      </c>
      <c r="T16" s="42">
        <v>9.2425999999999995</v>
      </c>
      <c r="U16" s="43">
        <f t="shared" si="13"/>
        <v>-9.9999999990885199E-2</v>
      </c>
      <c r="V16" s="44">
        <f t="shared" si="14"/>
        <v>-2.3999999999997401</v>
      </c>
      <c r="W16" s="45">
        <f t="shared" si="15"/>
        <v>9.9999999990885199E-2</v>
      </c>
      <c r="X16" s="29">
        <v>11.8475</v>
      </c>
      <c r="Y16" s="43">
        <f t="shared" si="16"/>
        <v>-0.39999999999906799</v>
      </c>
      <c r="Z16" s="44">
        <f t="shared" si="17"/>
        <v>-2.3999999999997401</v>
      </c>
      <c r="AA16" s="45">
        <f t="shared" si="18"/>
        <v>-0.39999999999906799</v>
      </c>
      <c r="AB16" s="49">
        <v>9.0462000000000007</v>
      </c>
      <c r="AC16" s="43">
        <f t="shared" si="19"/>
        <v>-0.19999999999953399</v>
      </c>
      <c r="AD16" s="44">
        <f t="shared" si="20"/>
        <v>-2.3999999999997401</v>
      </c>
      <c r="AE16" s="45">
        <f t="shared" si="21"/>
        <v>-0.19999999999953399</v>
      </c>
      <c r="AF16" s="50">
        <v>80100</v>
      </c>
      <c r="AG16" s="58">
        <f t="shared" si="22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44777</v>
      </c>
      <c r="B17" s="22">
        <v>791.80629999999996</v>
      </c>
      <c r="C17" s="27">
        <v>5.5552000000000001</v>
      </c>
      <c r="D17" s="23">
        <f t="shared" si="0"/>
        <v>797.36149999999998</v>
      </c>
      <c r="E17" s="24">
        <f t="shared" si="4"/>
        <v>-9.9999999974897905E-2</v>
      </c>
      <c r="F17" s="25">
        <f t="shared" si="5"/>
        <v>-2.1000000000412902</v>
      </c>
      <c r="G17" s="26">
        <f t="shared" si="6"/>
        <v>-9.9999999974897905E-2</v>
      </c>
      <c r="H17" s="6">
        <v>7.4714</v>
      </c>
      <c r="I17" s="35">
        <f t="shared" si="1"/>
        <v>799.27769999999998</v>
      </c>
      <c r="J17" s="24">
        <f t="shared" si="7"/>
        <v>-0.199999999949796</v>
      </c>
      <c r="K17" s="25">
        <f t="shared" si="8"/>
        <v>-2.2000000000161899</v>
      </c>
      <c r="L17" s="26">
        <f t="shared" si="9"/>
        <v>-0.199999999949796</v>
      </c>
      <c r="M17" s="6">
        <v>5.2804000000000002</v>
      </c>
      <c r="N17" s="35">
        <f t="shared" si="2"/>
        <v>797.08669999999995</v>
      </c>
      <c r="O17" s="24">
        <f t="shared" si="10"/>
        <v>9.9999999974897905E-2</v>
      </c>
      <c r="P17" s="25">
        <f t="shared" si="11"/>
        <v>-1.60000000005311</v>
      </c>
      <c r="Q17" s="26">
        <f t="shared" si="12"/>
        <v>9.9999999974897905E-2</v>
      </c>
      <c r="R17" s="41"/>
      <c r="S17" s="21">
        <f t="shared" si="3"/>
        <v>44777</v>
      </c>
      <c r="T17" s="42">
        <v>9.2423999999999999</v>
      </c>
      <c r="U17" s="43">
        <f t="shared" si="13"/>
        <v>-0.19999999999953399</v>
      </c>
      <c r="V17" s="44">
        <f t="shared" si="14"/>
        <v>-2.59999999999927</v>
      </c>
      <c r="W17" s="45">
        <f t="shared" si="15"/>
        <v>0.19999999999953399</v>
      </c>
      <c r="X17" s="29">
        <v>11.8475</v>
      </c>
      <c r="Y17" s="43">
        <f t="shared" si="16"/>
        <v>0</v>
      </c>
      <c r="Z17" s="44">
        <f t="shared" si="17"/>
        <v>-2.3999999999997401</v>
      </c>
      <c r="AA17" s="45">
        <f t="shared" si="18"/>
        <v>0</v>
      </c>
      <c r="AB17" s="49">
        <v>9.0459999999999905</v>
      </c>
      <c r="AC17" s="43">
        <f t="shared" si="19"/>
        <v>-0.200000000010192</v>
      </c>
      <c r="AD17" s="44">
        <f t="shared" si="20"/>
        <v>-2.6000000000099299</v>
      </c>
      <c r="AE17" s="45">
        <f t="shared" si="21"/>
        <v>-0.200000000010192</v>
      </c>
      <c r="AF17" s="50">
        <v>80103</v>
      </c>
      <c r="AG17" s="58">
        <f t="shared" si="22"/>
        <v>43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44778</v>
      </c>
      <c r="B18" s="22">
        <v>791.80629999999996</v>
      </c>
      <c r="C18" s="27">
        <v>5.5549000000000097</v>
      </c>
      <c r="D18" s="23">
        <f t="shared" si="0"/>
        <v>797.36120000000005</v>
      </c>
      <c r="E18" s="24">
        <f t="shared" si="4"/>
        <v>-0.30000000003838101</v>
      </c>
      <c r="F18" s="25">
        <f t="shared" si="5"/>
        <v>-2.40000000007967</v>
      </c>
      <c r="G18" s="26">
        <f t="shared" si="6"/>
        <v>-0.30000000003838101</v>
      </c>
      <c r="H18" s="6">
        <v>7.4714999999999998</v>
      </c>
      <c r="I18" s="35">
        <f t="shared" si="1"/>
        <v>799.27779999999996</v>
      </c>
      <c r="J18" s="24">
        <f t="shared" si="7"/>
        <v>9.9999999974897905E-2</v>
      </c>
      <c r="K18" s="25">
        <f t="shared" si="8"/>
        <v>-2.1000000000412902</v>
      </c>
      <c r="L18" s="26">
        <f t="shared" si="9"/>
        <v>9.9999999974897905E-2</v>
      </c>
      <c r="M18" s="6">
        <v>5.2805</v>
      </c>
      <c r="N18" s="35">
        <f t="shared" si="2"/>
        <v>797.08680000000004</v>
      </c>
      <c r="O18" s="24">
        <f t="shared" si="10"/>
        <v>9.9999999974897905E-2</v>
      </c>
      <c r="P18" s="25">
        <f t="shared" si="11"/>
        <v>-1.5000000000782201</v>
      </c>
      <c r="Q18" s="26">
        <f t="shared" si="12"/>
        <v>9.9999999974897905E-2</v>
      </c>
      <c r="R18" s="41"/>
      <c r="S18" s="21">
        <f t="shared" si="3"/>
        <v>44778</v>
      </c>
      <c r="T18" s="42">
        <v>9.2422000000000004</v>
      </c>
      <c r="U18" s="43">
        <f t="shared" si="13"/>
        <v>-0.19999999999953399</v>
      </c>
      <c r="V18" s="44">
        <f t="shared" si="14"/>
        <v>-2.7999999999987999</v>
      </c>
      <c r="W18" s="45">
        <f t="shared" si="15"/>
        <v>0.19999999999953399</v>
      </c>
      <c r="X18" s="29">
        <v>11.847300000000001</v>
      </c>
      <c r="Y18" s="43">
        <f t="shared" si="16"/>
        <v>-0.19999999999953399</v>
      </c>
      <c r="Z18" s="44">
        <f t="shared" si="17"/>
        <v>-2.59999999999927</v>
      </c>
      <c r="AA18" s="45">
        <f t="shared" si="18"/>
        <v>-0.19999999999953399</v>
      </c>
      <c r="AB18" s="49">
        <v>9.0460999999999991</v>
      </c>
      <c r="AC18" s="43">
        <f t="shared" si="19"/>
        <v>0.100000000008649</v>
      </c>
      <c r="AD18" s="44">
        <f t="shared" si="20"/>
        <v>-2.5000000000012799</v>
      </c>
      <c r="AE18" s="45">
        <f t="shared" si="21"/>
        <v>0.100000000008649</v>
      </c>
      <c r="AF18" s="50">
        <v>80106</v>
      </c>
      <c r="AG18" s="58">
        <f t="shared" si="22"/>
        <v>46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44779</v>
      </c>
      <c r="B19" s="22">
        <v>791.80629999999996</v>
      </c>
      <c r="C19" s="27">
        <v>5.5547000000000102</v>
      </c>
      <c r="D19" s="23">
        <f t="shared" si="0"/>
        <v>797.36099999999999</v>
      </c>
      <c r="E19" s="24">
        <f t="shared" si="4"/>
        <v>-0.199999999949796</v>
      </c>
      <c r="F19" s="25">
        <f t="shared" si="5"/>
        <v>-2.6000000000294698</v>
      </c>
      <c r="G19" s="26">
        <f t="shared" si="6"/>
        <v>-0.199999999949796</v>
      </c>
      <c r="H19" s="6">
        <v>7.4710000000000001</v>
      </c>
      <c r="I19" s="35">
        <f t="shared" si="1"/>
        <v>799.27729999999997</v>
      </c>
      <c r="J19" s="24">
        <f t="shared" si="7"/>
        <v>-0.49999999998817701</v>
      </c>
      <c r="K19" s="25">
        <f t="shared" si="8"/>
        <v>-2.6000000000294698</v>
      </c>
      <c r="L19" s="26">
        <f t="shared" si="9"/>
        <v>-0.49999999998817701</v>
      </c>
      <c r="M19" s="6">
        <v>5.2804000000000002</v>
      </c>
      <c r="N19" s="35">
        <f t="shared" si="2"/>
        <v>797.08669999999995</v>
      </c>
      <c r="O19" s="24">
        <f t="shared" si="10"/>
        <v>-9.9999999974897905E-2</v>
      </c>
      <c r="P19" s="25">
        <f t="shared" si="11"/>
        <v>-1.60000000005311</v>
      </c>
      <c r="Q19" s="26">
        <f t="shared" si="12"/>
        <v>-9.9999999974897905E-2</v>
      </c>
      <c r="R19" s="41"/>
      <c r="S19" s="21">
        <f t="shared" si="3"/>
        <v>44779</v>
      </c>
      <c r="T19" s="42">
        <v>9.2421000000000006</v>
      </c>
      <c r="U19" s="43">
        <f t="shared" si="13"/>
        <v>-9.99999999997669E-2</v>
      </c>
      <c r="V19" s="44">
        <f t="shared" si="14"/>
        <v>-2.8999999999985699</v>
      </c>
      <c r="W19" s="45">
        <f t="shared" si="15"/>
        <v>9.99999999997669E-2</v>
      </c>
      <c r="X19" s="29">
        <v>11.847</v>
      </c>
      <c r="Y19" s="43">
        <f t="shared" si="16"/>
        <v>-0.30000000000107702</v>
      </c>
      <c r="Z19" s="44">
        <f t="shared" si="17"/>
        <v>-2.9000000000003499</v>
      </c>
      <c r="AA19" s="45">
        <f t="shared" si="18"/>
        <v>-0.30000000000107702</v>
      </c>
      <c r="AB19" s="49">
        <v>9.0455999999999896</v>
      </c>
      <c r="AC19" s="43">
        <f t="shared" si="19"/>
        <v>-0.50000000000949296</v>
      </c>
      <c r="AD19" s="44">
        <f t="shared" si="20"/>
        <v>-3.0000000000107701</v>
      </c>
      <c r="AE19" s="45">
        <f t="shared" si="21"/>
        <v>-0.50000000000949296</v>
      </c>
      <c r="AF19" s="50">
        <v>80109</v>
      </c>
      <c r="AG19" s="58">
        <f t="shared" si="22"/>
        <v>49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44780</v>
      </c>
      <c r="B20" s="22">
        <v>791.80629999999996</v>
      </c>
      <c r="C20" s="27">
        <v>5.5548000000000002</v>
      </c>
      <c r="D20" s="23">
        <f t="shared" si="0"/>
        <v>797.36109999999996</v>
      </c>
      <c r="E20" s="24">
        <f t="shared" si="4"/>
        <v>9.9999999974897905E-2</v>
      </c>
      <c r="F20" s="25">
        <f t="shared" si="5"/>
        <v>-2.5000000000545701</v>
      </c>
      <c r="G20" s="26">
        <f t="shared" si="6"/>
        <v>9.9999999974897905E-2</v>
      </c>
      <c r="H20" s="6">
        <v>7.4707999999999997</v>
      </c>
      <c r="I20" s="35">
        <f t="shared" si="1"/>
        <v>799.27710000000002</v>
      </c>
      <c r="J20" s="24">
        <f t="shared" si="7"/>
        <v>-0.199999999949796</v>
      </c>
      <c r="K20" s="25">
        <f t="shared" si="8"/>
        <v>-2.79999999997926</v>
      </c>
      <c r="L20" s="26">
        <f t="shared" si="9"/>
        <v>-0.199999999949796</v>
      </c>
      <c r="M20" s="6">
        <v>5.2807000000000004</v>
      </c>
      <c r="N20" s="35">
        <f t="shared" si="2"/>
        <v>797.08699999999999</v>
      </c>
      <c r="O20" s="24">
        <f t="shared" si="10"/>
        <v>0.30000000003838101</v>
      </c>
      <c r="P20" s="25">
        <f t="shared" si="11"/>
        <v>-1.30000000001473</v>
      </c>
      <c r="Q20" s="26">
        <f t="shared" si="12"/>
        <v>0.30000000003838101</v>
      </c>
      <c r="R20" s="41"/>
      <c r="S20" s="21">
        <f t="shared" si="3"/>
        <v>44780</v>
      </c>
      <c r="T20" s="42">
        <v>9.2417999999999996</v>
      </c>
      <c r="U20" s="43">
        <f t="shared" si="13"/>
        <v>-0.30000000000107702</v>
      </c>
      <c r="V20" s="44">
        <f t="shared" si="14"/>
        <v>-3.1999999999996498</v>
      </c>
      <c r="W20" s="45">
        <f t="shared" si="15"/>
        <v>0.30000000000107702</v>
      </c>
      <c r="X20" s="29">
        <v>11.8469</v>
      </c>
      <c r="Y20" s="43">
        <f t="shared" si="16"/>
        <v>-9.99999999997669E-2</v>
      </c>
      <c r="Z20" s="44">
        <f t="shared" si="17"/>
        <v>-3.0000000000001101</v>
      </c>
      <c r="AA20" s="45">
        <f t="shared" si="18"/>
        <v>-9.99999999997669E-2</v>
      </c>
      <c r="AB20" s="49">
        <v>9.0453999999999901</v>
      </c>
      <c r="AC20" s="43">
        <f t="shared" si="19"/>
        <v>-0.19999999999953399</v>
      </c>
      <c r="AD20" s="44">
        <f t="shared" si="20"/>
        <v>-3.2000000000103102</v>
      </c>
      <c r="AE20" s="45">
        <f t="shared" si="21"/>
        <v>-0.19999999999953399</v>
      </c>
      <c r="AF20" s="50">
        <v>80112</v>
      </c>
      <c r="AG20" s="58">
        <f t="shared" si="22"/>
        <v>52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44782</v>
      </c>
      <c r="B21" s="22">
        <v>791.80629999999996</v>
      </c>
      <c r="C21" s="27">
        <v>5.5543000000000102</v>
      </c>
      <c r="D21" s="23">
        <f t="shared" si="0"/>
        <v>797.36059999999998</v>
      </c>
      <c r="E21" s="24">
        <f t="shared" si="4"/>
        <v>-0.49999999998817701</v>
      </c>
      <c r="F21" s="25">
        <f t="shared" si="5"/>
        <v>-3.0000000000427498</v>
      </c>
      <c r="G21" s="26">
        <f t="shared" si="6"/>
        <v>-0.24999999999408801</v>
      </c>
      <c r="H21" s="6">
        <v>7.4710999999999999</v>
      </c>
      <c r="I21" s="35">
        <f t="shared" si="1"/>
        <v>799.27739999999994</v>
      </c>
      <c r="J21" s="24">
        <f t="shared" si="7"/>
        <v>0.29999999992469401</v>
      </c>
      <c r="K21" s="25">
        <f t="shared" si="8"/>
        <v>-2.5000000000545701</v>
      </c>
      <c r="L21" s="26">
        <f t="shared" si="9"/>
        <v>0.149999999962347</v>
      </c>
      <c r="M21" s="6">
        <v>5.2808000000000002</v>
      </c>
      <c r="N21" s="35">
        <f t="shared" si="2"/>
        <v>797.08709999999996</v>
      </c>
      <c r="O21" s="24">
        <f t="shared" si="10"/>
        <v>9.9999999974897905E-2</v>
      </c>
      <c r="P21" s="25">
        <f t="shared" si="11"/>
        <v>-1.2000000000398401</v>
      </c>
      <c r="Q21" s="26">
        <f t="shared" si="12"/>
        <v>4.9999999987449001E-2</v>
      </c>
      <c r="R21" s="41"/>
      <c r="S21" s="21">
        <f t="shared" si="3"/>
        <v>44782</v>
      </c>
      <c r="T21" s="42">
        <v>9.2416</v>
      </c>
      <c r="U21" s="43">
        <f t="shared" si="13"/>
        <v>-0.19999999999953399</v>
      </c>
      <c r="V21" s="44">
        <f t="shared" si="14"/>
        <v>-3.3999999999991801</v>
      </c>
      <c r="W21" s="45">
        <f t="shared" si="15"/>
        <v>9.99999999997669E-2</v>
      </c>
      <c r="X21" s="29">
        <v>11.8467</v>
      </c>
      <c r="Y21" s="43">
        <f t="shared" si="16"/>
        <v>-0.19999999999953399</v>
      </c>
      <c r="Z21" s="44">
        <f t="shared" si="17"/>
        <v>-3.1999999999996498</v>
      </c>
      <c r="AA21" s="45">
        <f t="shared" si="18"/>
        <v>-9.99999999997669E-2</v>
      </c>
      <c r="AB21" s="49">
        <v>9.0455000000000005</v>
      </c>
      <c r="AC21" s="43">
        <f t="shared" si="19"/>
        <v>0.100000000010425</v>
      </c>
      <c r="AD21" s="44">
        <f t="shared" si="20"/>
        <v>-3.0999999999998802</v>
      </c>
      <c r="AE21" s="45">
        <f t="shared" si="21"/>
        <v>5.00000000052125E-2</v>
      </c>
      <c r="AF21" s="50">
        <v>80115</v>
      </c>
      <c r="AG21" s="58">
        <f t="shared" si="22"/>
        <v>55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44784</v>
      </c>
      <c r="B22" s="22">
        <v>791.80629999999996</v>
      </c>
      <c r="C22" s="27">
        <v>5.5541000000000098</v>
      </c>
      <c r="D22" s="23">
        <f t="shared" si="0"/>
        <v>797.36040000000003</v>
      </c>
      <c r="E22" s="24">
        <f t="shared" si="4"/>
        <v>-0.199999999949796</v>
      </c>
      <c r="F22" s="25">
        <f t="shared" si="5"/>
        <v>-3.1999999999925399</v>
      </c>
      <c r="G22" s="26">
        <f t="shared" si="6"/>
        <v>-9.9999999974897905E-2</v>
      </c>
      <c r="H22" s="6">
        <v>7.4704000000000104</v>
      </c>
      <c r="I22" s="35">
        <f t="shared" si="1"/>
        <v>799.27670000000001</v>
      </c>
      <c r="J22" s="24">
        <f t="shared" si="7"/>
        <v>-0.69999999993797202</v>
      </c>
      <c r="K22" s="25">
        <f t="shared" si="8"/>
        <v>-3.1999999999925399</v>
      </c>
      <c r="L22" s="26">
        <f t="shared" si="9"/>
        <v>-0.34999999996898601</v>
      </c>
      <c r="M22" s="6">
        <v>5.2803000000000004</v>
      </c>
      <c r="N22" s="35">
        <f t="shared" si="2"/>
        <v>797.08659999999998</v>
      </c>
      <c r="O22" s="24">
        <f t="shared" si="10"/>
        <v>-0.49999999998817701</v>
      </c>
      <c r="P22" s="25">
        <f t="shared" si="11"/>
        <v>-1.70000000002801</v>
      </c>
      <c r="Q22" s="26">
        <f t="shared" si="12"/>
        <v>-0.24999999999408801</v>
      </c>
      <c r="R22" s="41"/>
      <c r="S22" s="21">
        <f t="shared" si="3"/>
        <v>44784</v>
      </c>
      <c r="T22" s="42">
        <v>9.2415000000000003</v>
      </c>
      <c r="U22" s="43">
        <f t="shared" si="13"/>
        <v>-9.99999999997669E-2</v>
      </c>
      <c r="V22" s="44">
        <f t="shared" si="14"/>
        <v>-3.4999999999989502</v>
      </c>
      <c r="W22" s="45">
        <f t="shared" si="15"/>
        <v>4.9999999999883499E-2</v>
      </c>
      <c r="X22" s="29">
        <v>11.846500000000001</v>
      </c>
      <c r="Y22" s="43">
        <f t="shared" si="16"/>
        <v>-0.19999999999953399</v>
      </c>
      <c r="Z22" s="44">
        <f t="shared" si="17"/>
        <v>-3.3999999999991801</v>
      </c>
      <c r="AA22" s="45">
        <f t="shared" si="18"/>
        <v>-9.99999999997669E-2</v>
      </c>
      <c r="AB22" s="49">
        <v>9.0449999999999893</v>
      </c>
      <c r="AC22" s="43">
        <f t="shared" si="19"/>
        <v>-0.50000000001126899</v>
      </c>
      <c r="AD22" s="44">
        <f t="shared" si="20"/>
        <v>-3.6000000000111498</v>
      </c>
      <c r="AE22" s="45">
        <f t="shared" si="21"/>
        <v>-0.25000000000563499</v>
      </c>
      <c r="AF22" s="50">
        <v>80118</v>
      </c>
      <c r="AG22" s="58">
        <f t="shared" si="22"/>
        <v>58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44786</v>
      </c>
      <c r="B23" s="22">
        <v>791.80629999999996</v>
      </c>
      <c r="C23" s="27">
        <v>5.5541999999999998</v>
      </c>
      <c r="D23" s="23">
        <f t="shared" si="0"/>
        <v>797.3605</v>
      </c>
      <c r="E23" s="24">
        <f t="shared" si="4"/>
        <v>9.9999999974897905E-2</v>
      </c>
      <c r="F23" s="25">
        <f t="shared" si="5"/>
        <v>-3.1000000000176402</v>
      </c>
      <c r="G23" s="26">
        <f t="shared" si="6"/>
        <v>4.9999999987449001E-2</v>
      </c>
      <c r="H23" s="6">
        <v>7.4702000000000099</v>
      </c>
      <c r="I23" s="35">
        <f t="shared" si="1"/>
        <v>799.27650000000006</v>
      </c>
      <c r="J23" s="24">
        <f t="shared" si="7"/>
        <v>-0.20000000006348301</v>
      </c>
      <c r="K23" s="25">
        <f t="shared" si="8"/>
        <v>-3.40000000005602</v>
      </c>
      <c r="L23" s="26">
        <f t="shared" si="9"/>
        <v>-0.100000000031741</v>
      </c>
      <c r="M23" s="6">
        <v>5.2801</v>
      </c>
      <c r="N23" s="35">
        <f t="shared" si="2"/>
        <v>797.08640000000003</v>
      </c>
      <c r="O23" s="24">
        <f t="shared" si="10"/>
        <v>-0.20000000006348301</v>
      </c>
      <c r="P23" s="25">
        <f t="shared" si="11"/>
        <v>-1.9000000000915001</v>
      </c>
      <c r="Q23" s="26">
        <f t="shared" si="12"/>
        <v>-0.100000000031741</v>
      </c>
      <c r="R23" s="41"/>
      <c r="S23" s="21">
        <f t="shared" si="3"/>
        <v>44786</v>
      </c>
      <c r="T23" s="42">
        <v>9.2411999999999992</v>
      </c>
      <c r="U23" s="43">
        <f t="shared" si="13"/>
        <v>-0.30000000000107702</v>
      </c>
      <c r="V23" s="44">
        <f t="shared" si="14"/>
        <v>-3.80000000000003</v>
      </c>
      <c r="W23" s="45">
        <f t="shared" si="15"/>
        <v>0.15000000000053901</v>
      </c>
      <c r="X23" s="29">
        <v>11.846299999999999</v>
      </c>
      <c r="Y23" s="43">
        <f t="shared" si="16"/>
        <v>-0.20000000000130999</v>
      </c>
      <c r="Z23" s="44">
        <f t="shared" si="17"/>
        <v>-3.6000000000004899</v>
      </c>
      <c r="AA23" s="45">
        <f t="shared" si="18"/>
        <v>-0.100000000000655</v>
      </c>
      <c r="AB23" s="49">
        <v>9.0447999999999897</v>
      </c>
      <c r="AC23" s="43">
        <f t="shared" si="19"/>
        <v>-0.19999999999953399</v>
      </c>
      <c r="AD23" s="44">
        <f t="shared" si="20"/>
        <v>-3.8000000000106802</v>
      </c>
      <c r="AE23" s="45">
        <f t="shared" si="21"/>
        <v>-9.99999999997669E-2</v>
      </c>
      <c r="AF23" s="50">
        <v>80121</v>
      </c>
      <c r="AG23" s="58">
        <f t="shared" si="22"/>
        <v>61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44788</v>
      </c>
      <c r="B24" s="22">
        <v>791.80629999999996</v>
      </c>
      <c r="C24" s="27">
        <v>5.5542999999999996</v>
      </c>
      <c r="D24" s="23">
        <f t="shared" si="0"/>
        <v>797.36059999999998</v>
      </c>
      <c r="E24" s="24">
        <f t="shared" si="4"/>
        <v>9.9999999974897905E-2</v>
      </c>
      <c r="F24" s="25">
        <f t="shared" si="5"/>
        <v>-3.0000000000427498</v>
      </c>
      <c r="G24" s="26">
        <f t="shared" si="6"/>
        <v>4.9999999987449001E-2</v>
      </c>
      <c r="H24" s="6">
        <v>7.4702999999999999</v>
      </c>
      <c r="I24" s="35">
        <f t="shared" si="1"/>
        <v>799.27660000000003</v>
      </c>
      <c r="J24" s="24">
        <f t="shared" si="7"/>
        <v>9.9999999974897905E-2</v>
      </c>
      <c r="K24" s="25">
        <f t="shared" si="8"/>
        <v>-3.30000000008113</v>
      </c>
      <c r="L24" s="26">
        <f t="shared" si="9"/>
        <v>4.9999999987449001E-2</v>
      </c>
      <c r="M24" s="6">
        <v>5.2801</v>
      </c>
      <c r="N24" s="35">
        <f t="shared" si="2"/>
        <v>797.08640000000003</v>
      </c>
      <c r="O24" s="24">
        <f t="shared" si="10"/>
        <v>0</v>
      </c>
      <c r="P24" s="25">
        <f t="shared" si="11"/>
        <v>-1.9000000000915001</v>
      </c>
      <c r="Q24" s="26">
        <f t="shared" si="12"/>
        <v>0</v>
      </c>
      <c r="R24" s="41"/>
      <c r="S24" s="21">
        <f t="shared" si="3"/>
        <v>44788</v>
      </c>
      <c r="T24" s="42">
        <v>9.2409999999999997</v>
      </c>
      <c r="U24" s="43">
        <f t="shared" si="13"/>
        <v>-0.19999999999953399</v>
      </c>
      <c r="V24" s="44">
        <f t="shared" si="14"/>
        <v>-3.9999999999995599</v>
      </c>
      <c r="W24" s="45">
        <f t="shared" si="15"/>
        <v>9.99999999997669E-2</v>
      </c>
      <c r="X24" s="29">
        <v>11.8461</v>
      </c>
      <c r="Y24" s="43">
        <f t="shared" si="16"/>
        <v>-0.19999999999953399</v>
      </c>
      <c r="Z24" s="44">
        <f t="shared" si="17"/>
        <v>-3.80000000000003</v>
      </c>
      <c r="AA24" s="45">
        <f t="shared" si="18"/>
        <v>-9.99999999997669E-2</v>
      </c>
      <c r="AB24" s="49">
        <v>9.0444999999999993</v>
      </c>
      <c r="AC24" s="43">
        <f t="shared" si="19"/>
        <v>-0.29999999999041899</v>
      </c>
      <c r="AD24" s="44">
        <f t="shared" si="20"/>
        <v>-4.1000000000011001</v>
      </c>
      <c r="AE24" s="45">
        <f t="shared" si="21"/>
        <v>-0.14999999999520999</v>
      </c>
      <c r="AF24" s="50">
        <v>80124</v>
      </c>
      <c r="AG24" s="58">
        <f t="shared" si="22"/>
        <v>64</v>
      </c>
      <c r="AH24" s="59"/>
      <c r="AI24" s="60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F24-F11</f>
        <v>-2.2000000000161899</v>
      </c>
      <c r="F25" s="33">
        <f>K24-K11</f>
        <v>-2.3000000001047698</v>
      </c>
      <c r="G25" s="33">
        <f>P24-P11</f>
        <v>-1.30000000001473</v>
      </c>
      <c r="H25" s="33">
        <f>F24</f>
        <v>-3.0000000000427498</v>
      </c>
      <c r="I25" s="66">
        <f>K24</f>
        <v>-3.30000000008113</v>
      </c>
      <c r="J25" s="65">
        <f>P24</f>
        <v>-1.9000000000915001</v>
      </c>
      <c r="K25" s="33">
        <f>(P24-P11)/19</f>
        <v>-6.8421052632354401E-2</v>
      </c>
      <c r="L25" s="26"/>
      <c r="N25" s="35"/>
      <c r="O25" s="24"/>
      <c r="P25" s="25"/>
      <c r="Q25" s="26"/>
      <c r="R25" s="41"/>
      <c r="S25" s="21"/>
      <c r="T25" s="42"/>
      <c r="U25" s="65">
        <f>V24-V11</f>
        <v>-2.9000000000003499</v>
      </c>
      <c r="V25" s="33">
        <f>Z24-Z11</f>
        <v>-2.59999999999927</v>
      </c>
      <c r="W25" s="33">
        <f>AD24-AD11</f>
        <v>-2.8000000000005798</v>
      </c>
      <c r="X25" s="33">
        <f>V24</f>
        <v>-3.9999999999995599</v>
      </c>
      <c r="Y25" s="65">
        <f>Z24</f>
        <v>-3.80000000000003</v>
      </c>
      <c r="Z25" s="33">
        <f>AD24</f>
        <v>-4.1000000000011001</v>
      </c>
      <c r="AA25" s="33">
        <f>(V24-V11)/19</f>
        <v>-0.15263157894738699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R15" workbookViewId="0">
      <selection activeCell="R25" sqref="A25:XFD25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44770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44770</v>
      </c>
      <c r="B6" s="22">
        <v>791.80629999999996</v>
      </c>
      <c r="C6" s="27">
        <v>6.1074999999999999</v>
      </c>
      <c r="D6" s="23">
        <f t="shared" ref="D6:D24" si="0">C6+B6</f>
        <v>797.91380000000004</v>
      </c>
      <c r="E6" s="24">
        <v>0</v>
      </c>
      <c r="F6" s="25">
        <v>0</v>
      </c>
      <c r="G6" s="26">
        <v>0</v>
      </c>
      <c r="H6" s="6">
        <v>7.0236999999999998</v>
      </c>
      <c r="I6" s="35">
        <f t="shared" ref="I6:I24" si="1">H6+B6</f>
        <v>798.83</v>
      </c>
      <c r="J6" s="24">
        <v>0</v>
      </c>
      <c r="K6" s="25">
        <v>0</v>
      </c>
      <c r="L6" s="26">
        <v>0</v>
      </c>
      <c r="M6" s="6">
        <v>6.2916999999999996</v>
      </c>
      <c r="N6" s="35">
        <f t="shared" ref="N6:N24" si="2">M6+B6</f>
        <v>798.09799999999996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44770</v>
      </c>
      <c r="T6" s="42">
        <v>8.6685999999999996</v>
      </c>
      <c r="U6" s="43">
        <v>0</v>
      </c>
      <c r="V6" s="44">
        <v>0</v>
      </c>
      <c r="W6" s="45">
        <f>U6/(S6-S11)</f>
        <v>0</v>
      </c>
      <c r="X6" s="29">
        <v>11.845499999999999</v>
      </c>
      <c r="Y6" s="43">
        <v>0</v>
      </c>
      <c r="Z6" s="44">
        <v>0</v>
      </c>
      <c r="AA6" s="45">
        <v>0</v>
      </c>
      <c r="AB6" s="49">
        <v>8.5701999999999998</v>
      </c>
      <c r="AC6" s="43">
        <v>0</v>
      </c>
      <c r="AD6" s="44">
        <v>0</v>
      </c>
      <c r="AE6" s="45">
        <v>0</v>
      </c>
      <c r="AF6" s="50">
        <v>80105</v>
      </c>
      <c r="AG6" s="58">
        <f>AF6-80096</f>
        <v>9</v>
      </c>
      <c r="AH6" s="59"/>
      <c r="AI6" s="60"/>
      <c r="AJ6" s="61"/>
      <c r="AK6" s="62"/>
      <c r="AL6" s="52"/>
      <c r="AM6" s="52"/>
    </row>
    <row r="7" spans="1:48">
      <c r="A7" s="21">
        <v>44771</v>
      </c>
      <c r="B7" s="22">
        <v>791.80629999999996</v>
      </c>
      <c r="C7" s="27">
        <v>6.1074000000000002</v>
      </c>
      <c r="D7" s="23">
        <f t="shared" si="0"/>
        <v>797.91369999999995</v>
      </c>
      <c r="E7" s="24">
        <f t="shared" ref="E7:E24" si="4">(D7-D6)*1000</f>
        <v>-9.9999999974897905E-2</v>
      </c>
      <c r="F7" s="25">
        <f t="shared" ref="F7:F24" si="5">F6+E7</f>
        <v>-9.9999999974897905E-2</v>
      </c>
      <c r="G7" s="26">
        <f t="shared" ref="G7:G24" si="6">E7/(A7-A6)</f>
        <v>-9.9999999974897905E-2</v>
      </c>
      <c r="H7" s="6">
        <v>7.0235000000000003</v>
      </c>
      <c r="I7" s="35">
        <f t="shared" si="1"/>
        <v>798.82979999999998</v>
      </c>
      <c r="J7" s="24">
        <f t="shared" ref="J7:J24" si="7">(I7-I6)*1000</f>
        <v>-0.199999999949796</v>
      </c>
      <c r="K7" s="25">
        <f t="shared" ref="K7:K24" si="8">K6+J7</f>
        <v>-0.199999999949796</v>
      </c>
      <c r="L7" s="26">
        <f t="shared" ref="L7:L24" si="9">J7/(A7-A6)</f>
        <v>-0.199999999949796</v>
      </c>
      <c r="M7" s="6">
        <v>6.2915000000000001</v>
      </c>
      <c r="N7" s="35">
        <f t="shared" si="2"/>
        <v>798.09780000000001</v>
      </c>
      <c r="O7" s="24">
        <f t="shared" ref="O7:O24" si="10">(N7-N6)*1000</f>
        <v>-0.199999999949796</v>
      </c>
      <c r="P7" s="25">
        <f t="shared" ref="P7:P24" si="11">P6+O7</f>
        <v>-0.199999999949796</v>
      </c>
      <c r="Q7" s="26">
        <f t="shared" ref="Q7:Q24" si="12">O7/(A7-A6)</f>
        <v>-0.199999999949796</v>
      </c>
      <c r="R7" s="41"/>
      <c r="S7" s="21">
        <f t="shared" si="3"/>
        <v>44771</v>
      </c>
      <c r="T7" s="42">
        <v>8.6684000000000001</v>
      </c>
      <c r="U7" s="43">
        <f t="shared" ref="U7:U24" si="13">(T7-T6)*1000</f>
        <v>-0.19999999999953399</v>
      </c>
      <c r="V7" s="44">
        <f t="shared" ref="V7:V24" si="14">V6+U7</f>
        <v>-0.19999999999953399</v>
      </c>
      <c r="W7" s="45">
        <f t="shared" ref="W7:W24" si="15">U7/(S6-S7)</f>
        <v>0.19999999999953399</v>
      </c>
      <c r="X7" s="29">
        <v>11.8452</v>
      </c>
      <c r="Y7" s="43">
        <f t="shared" ref="Y7:Y24" si="16">(X7-X6)*1000</f>
        <v>-0.29999999999930099</v>
      </c>
      <c r="Z7" s="44">
        <f t="shared" ref="Z7:Z24" si="17">Z6+Y7</f>
        <v>-0.29999999999930099</v>
      </c>
      <c r="AA7" s="45">
        <f t="shared" ref="AA7:AA24" si="18">Y7/(S7-S6)</f>
        <v>-0.29999999999930099</v>
      </c>
      <c r="AB7" s="49">
        <v>8.57</v>
      </c>
      <c r="AC7" s="43">
        <f t="shared" ref="AC7:AC24" si="19">(AB7-AB6)*1000</f>
        <v>-0.19999999999953399</v>
      </c>
      <c r="AD7" s="44">
        <f t="shared" ref="AD7:AD24" si="20">AD6+AC7</f>
        <v>-0.19999999999953399</v>
      </c>
      <c r="AE7" s="45">
        <f t="shared" ref="AE7:AE24" si="21">AC7/(S7-S6)</f>
        <v>-0.19999999999953399</v>
      </c>
      <c r="AF7" s="50">
        <v>80113</v>
      </c>
      <c r="AG7" s="58">
        <f t="shared" ref="AG7:AG24" si="22">AF7-80096</f>
        <v>17</v>
      </c>
      <c r="AH7" s="59"/>
      <c r="AI7" s="60"/>
      <c r="AJ7" s="61"/>
      <c r="AK7" s="62"/>
      <c r="AL7" s="52"/>
      <c r="AM7" s="52"/>
    </row>
    <row r="8" spans="1:48">
      <c r="A8" s="21">
        <v>44772</v>
      </c>
      <c r="B8" s="22">
        <v>791.80629999999996</v>
      </c>
      <c r="C8" s="27">
        <v>6.1071999999999997</v>
      </c>
      <c r="D8" s="23">
        <f t="shared" si="0"/>
        <v>797.9135</v>
      </c>
      <c r="E8" s="24">
        <f t="shared" si="4"/>
        <v>-0.199999999949796</v>
      </c>
      <c r="F8" s="25">
        <f t="shared" si="5"/>
        <v>-0.29999999992469401</v>
      </c>
      <c r="G8" s="26">
        <f t="shared" si="6"/>
        <v>-0.199999999949796</v>
      </c>
      <c r="H8" s="6">
        <v>7.0232999999999999</v>
      </c>
      <c r="I8" s="35">
        <f t="shared" si="1"/>
        <v>798.82960000000003</v>
      </c>
      <c r="J8" s="24">
        <f t="shared" si="7"/>
        <v>-0.20000000006348301</v>
      </c>
      <c r="K8" s="25">
        <f t="shared" si="8"/>
        <v>-0.40000000001327901</v>
      </c>
      <c r="L8" s="26">
        <f t="shared" si="9"/>
        <v>-0.20000000006348301</v>
      </c>
      <c r="M8" s="6">
        <v>6.2910000000000004</v>
      </c>
      <c r="N8" s="35">
        <f t="shared" si="2"/>
        <v>798.09730000000002</v>
      </c>
      <c r="O8" s="24">
        <f t="shared" si="10"/>
        <v>-0.49999999998817701</v>
      </c>
      <c r="P8" s="25">
        <f t="shared" si="11"/>
        <v>-0.69999999993797202</v>
      </c>
      <c r="Q8" s="26">
        <f t="shared" si="12"/>
        <v>-0.49999999998817701</v>
      </c>
      <c r="R8" s="41"/>
      <c r="S8" s="21">
        <f t="shared" si="3"/>
        <v>44772</v>
      </c>
      <c r="T8" s="42">
        <v>8.6685999999999996</v>
      </c>
      <c r="U8" s="43">
        <f t="shared" si="13"/>
        <v>0.19999999999953399</v>
      </c>
      <c r="V8" s="44">
        <f t="shared" si="14"/>
        <v>0</v>
      </c>
      <c r="W8" s="45">
        <f t="shared" si="15"/>
        <v>-0.19999999999953399</v>
      </c>
      <c r="X8" s="29">
        <v>11.8453</v>
      </c>
      <c r="Y8" s="43">
        <f t="shared" si="16"/>
        <v>9.99999999997669E-2</v>
      </c>
      <c r="Z8" s="44">
        <f t="shared" si="17"/>
        <v>-0.19999999999953399</v>
      </c>
      <c r="AA8" s="45">
        <f t="shared" si="18"/>
        <v>9.99999999997669E-2</v>
      </c>
      <c r="AB8" s="49">
        <v>8.5698000000000008</v>
      </c>
      <c r="AC8" s="43">
        <f t="shared" si="19"/>
        <v>-0.19999999999953399</v>
      </c>
      <c r="AD8" s="44">
        <f t="shared" si="20"/>
        <v>-0.39999999999906799</v>
      </c>
      <c r="AE8" s="45">
        <f t="shared" si="21"/>
        <v>-0.19999999999953399</v>
      </c>
      <c r="AF8" s="50">
        <v>80121</v>
      </c>
      <c r="AG8" s="58">
        <f t="shared" si="22"/>
        <v>25</v>
      </c>
      <c r="AH8" s="59"/>
      <c r="AI8" s="60"/>
      <c r="AJ8" s="61"/>
      <c r="AK8" s="62"/>
      <c r="AL8" s="52"/>
      <c r="AM8" s="52"/>
    </row>
    <row r="9" spans="1:48">
      <c r="A9" s="21">
        <v>44773</v>
      </c>
      <c r="B9" s="22">
        <v>791.80629999999996</v>
      </c>
      <c r="C9" s="27">
        <v>6.1074999999999999</v>
      </c>
      <c r="D9" s="23">
        <f t="shared" si="0"/>
        <v>797.91380000000004</v>
      </c>
      <c r="E9" s="24">
        <f t="shared" si="4"/>
        <v>0.29999999992469401</v>
      </c>
      <c r="F9" s="25">
        <f t="shared" si="5"/>
        <v>0</v>
      </c>
      <c r="G9" s="26">
        <f t="shared" si="6"/>
        <v>0.29999999992469401</v>
      </c>
      <c r="H9" s="6">
        <v>7.0233999999999996</v>
      </c>
      <c r="I9" s="35">
        <f t="shared" si="1"/>
        <v>798.8297</v>
      </c>
      <c r="J9" s="24">
        <f t="shared" si="7"/>
        <v>0.10000000008858501</v>
      </c>
      <c r="K9" s="25">
        <f t="shared" si="8"/>
        <v>-0.29999999992469401</v>
      </c>
      <c r="L9" s="26">
        <f t="shared" si="9"/>
        <v>0.10000000008858501</v>
      </c>
      <c r="M9" s="6">
        <v>6.2907999999999999</v>
      </c>
      <c r="N9" s="35">
        <f t="shared" si="2"/>
        <v>798.09709999999995</v>
      </c>
      <c r="O9" s="24">
        <f t="shared" si="10"/>
        <v>-0.20000000006348301</v>
      </c>
      <c r="P9" s="25">
        <f t="shared" si="11"/>
        <v>-0.90000000000145497</v>
      </c>
      <c r="Q9" s="26">
        <f t="shared" si="12"/>
        <v>-0.20000000006348301</v>
      </c>
      <c r="R9" s="41"/>
      <c r="S9" s="21">
        <f t="shared" si="3"/>
        <v>44773</v>
      </c>
      <c r="T9" s="42">
        <v>8.6679999999999993</v>
      </c>
      <c r="U9" s="43">
        <f t="shared" si="13"/>
        <v>-0.60000000000037801</v>
      </c>
      <c r="V9" s="44">
        <f t="shared" si="14"/>
        <v>-0.60000000000037801</v>
      </c>
      <c r="W9" s="45">
        <f t="shared" si="15"/>
        <v>0.60000000000037801</v>
      </c>
      <c r="X9" s="29">
        <v>11.844900000000001</v>
      </c>
      <c r="Y9" s="43">
        <f t="shared" si="16"/>
        <v>-0.39999999999906799</v>
      </c>
      <c r="Z9" s="44">
        <f t="shared" si="17"/>
        <v>-0.59999999999860198</v>
      </c>
      <c r="AA9" s="45">
        <f t="shared" si="18"/>
        <v>-0.39999999999906799</v>
      </c>
      <c r="AB9" s="49">
        <v>8.5692000000000004</v>
      </c>
      <c r="AC9" s="43">
        <f t="shared" si="19"/>
        <v>-0.60000000000037801</v>
      </c>
      <c r="AD9" s="44">
        <f t="shared" si="20"/>
        <v>-0.999999999999446</v>
      </c>
      <c r="AE9" s="45">
        <f t="shared" si="21"/>
        <v>-0.60000000000037801</v>
      </c>
      <c r="AF9" s="50">
        <v>80129</v>
      </c>
      <c r="AG9" s="58">
        <f t="shared" si="22"/>
        <v>33</v>
      </c>
      <c r="AH9" s="61"/>
      <c r="AI9" s="60"/>
      <c r="AJ9"/>
      <c r="AK9"/>
      <c r="AL9"/>
      <c r="AM9"/>
    </row>
    <row r="10" spans="1:48">
      <c r="A10" s="21">
        <v>44774</v>
      </c>
      <c r="B10" s="22">
        <v>791.80629999999996</v>
      </c>
      <c r="C10" s="27">
        <v>6.1067999999999998</v>
      </c>
      <c r="D10" s="23">
        <f t="shared" si="0"/>
        <v>797.91309999999999</v>
      </c>
      <c r="E10" s="24">
        <f t="shared" si="4"/>
        <v>-0.69999999993797202</v>
      </c>
      <c r="F10" s="25">
        <f t="shared" si="5"/>
        <v>-0.69999999993797202</v>
      </c>
      <c r="G10" s="26">
        <f t="shared" si="6"/>
        <v>-0.69999999993797202</v>
      </c>
      <c r="H10" s="6">
        <v>7.0228999999999999</v>
      </c>
      <c r="I10" s="35">
        <f t="shared" si="1"/>
        <v>798.82920000000001</v>
      </c>
      <c r="J10" s="24">
        <f t="shared" si="7"/>
        <v>-0.49999999998817701</v>
      </c>
      <c r="K10" s="25">
        <f t="shared" si="8"/>
        <v>-0.79999999991286996</v>
      </c>
      <c r="L10" s="26">
        <f t="shared" si="9"/>
        <v>-0.49999999998817701</v>
      </c>
      <c r="M10" s="6">
        <v>6.2908999999999997</v>
      </c>
      <c r="N10" s="35">
        <f t="shared" si="2"/>
        <v>798.09720000000004</v>
      </c>
      <c r="O10" s="24">
        <f t="shared" si="10"/>
        <v>9.9999999974897905E-2</v>
      </c>
      <c r="P10" s="25">
        <f t="shared" si="11"/>
        <v>-0.80000000002655702</v>
      </c>
      <c r="Q10" s="26">
        <f t="shared" si="12"/>
        <v>9.9999999974897905E-2</v>
      </c>
      <c r="R10" s="41"/>
      <c r="S10" s="21">
        <f t="shared" si="3"/>
        <v>44774</v>
      </c>
      <c r="T10" s="42">
        <v>8.6677999999999997</v>
      </c>
      <c r="U10" s="43">
        <f t="shared" si="13"/>
        <v>-0.19999999999953399</v>
      </c>
      <c r="V10" s="44">
        <f t="shared" si="14"/>
        <v>-0.799999999999912</v>
      </c>
      <c r="W10" s="45">
        <f t="shared" si="15"/>
        <v>0.19999999999953399</v>
      </c>
      <c r="X10" s="29">
        <v>11.8447</v>
      </c>
      <c r="Y10" s="43">
        <f t="shared" si="16"/>
        <v>-0.20000000000130999</v>
      </c>
      <c r="Z10" s="44">
        <f t="shared" si="17"/>
        <v>-0.799999999999912</v>
      </c>
      <c r="AA10" s="45">
        <f t="shared" si="18"/>
        <v>-0.20000000000130999</v>
      </c>
      <c r="AB10" s="49">
        <v>8.5693999999999999</v>
      </c>
      <c r="AC10" s="43">
        <f t="shared" si="19"/>
        <v>0.19999999999953399</v>
      </c>
      <c r="AD10" s="44">
        <f t="shared" si="20"/>
        <v>-0.799999999999912</v>
      </c>
      <c r="AE10" s="45">
        <f t="shared" si="21"/>
        <v>0.19999999999953399</v>
      </c>
      <c r="AF10" s="50">
        <v>80137</v>
      </c>
      <c r="AG10" s="58">
        <f t="shared" si="22"/>
        <v>41</v>
      </c>
      <c r="AH10" s="59"/>
      <c r="AI10" s="60"/>
      <c r="AJ10" s="61"/>
      <c r="AK10" s="62"/>
      <c r="AL10" s="52"/>
      <c r="AM10" s="52"/>
    </row>
    <row r="11" spans="1:48">
      <c r="A11" s="21">
        <v>44775</v>
      </c>
      <c r="B11" s="22">
        <v>791.80629999999996</v>
      </c>
      <c r="C11" s="27">
        <v>6.1066000000000003</v>
      </c>
      <c r="D11" s="23">
        <f t="shared" si="0"/>
        <v>797.91290000000004</v>
      </c>
      <c r="E11" s="24">
        <f t="shared" si="4"/>
        <v>-0.20000000006348301</v>
      </c>
      <c r="F11" s="25">
        <f t="shared" si="5"/>
        <v>-0.90000000000145497</v>
      </c>
      <c r="G11" s="26">
        <f t="shared" si="6"/>
        <v>-0.20000000006348301</v>
      </c>
      <c r="H11" s="6">
        <v>7.0227000000000004</v>
      </c>
      <c r="I11" s="35">
        <f t="shared" si="1"/>
        <v>798.82899999999995</v>
      </c>
      <c r="J11" s="24">
        <f t="shared" si="7"/>
        <v>-0.20000000006348301</v>
      </c>
      <c r="K11" s="25">
        <f t="shared" si="8"/>
        <v>-0.99999999997635303</v>
      </c>
      <c r="L11" s="26">
        <f t="shared" si="9"/>
        <v>-0.20000000006348301</v>
      </c>
      <c r="M11" s="6">
        <v>6.2904</v>
      </c>
      <c r="N11" s="35">
        <f t="shared" si="2"/>
        <v>798.09670000000006</v>
      </c>
      <c r="O11" s="24">
        <f t="shared" si="10"/>
        <v>-0.49999999998817701</v>
      </c>
      <c r="P11" s="25">
        <f t="shared" si="11"/>
        <v>-1.30000000001473</v>
      </c>
      <c r="Q11" s="26">
        <f t="shared" si="12"/>
        <v>-0.49999999998817701</v>
      </c>
      <c r="R11" s="41"/>
      <c r="S11" s="21">
        <f t="shared" si="3"/>
        <v>44775</v>
      </c>
      <c r="T11" s="42">
        <v>8.6676000000000002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11.8453</v>
      </c>
      <c r="Y11" s="43">
        <f t="shared" si="16"/>
        <v>0.60000000000037801</v>
      </c>
      <c r="Z11" s="44">
        <f t="shared" si="17"/>
        <v>-0.19999999999953399</v>
      </c>
      <c r="AA11" s="45">
        <f t="shared" si="18"/>
        <v>0.60000000000037801</v>
      </c>
      <c r="AB11" s="49">
        <v>8.5692000000000004</v>
      </c>
      <c r="AC11" s="43">
        <f t="shared" si="19"/>
        <v>-0.19999999999953399</v>
      </c>
      <c r="AD11" s="44">
        <f t="shared" si="20"/>
        <v>-0.999999999999446</v>
      </c>
      <c r="AE11" s="45">
        <f t="shared" si="21"/>
        <v>-0.19999999999953399</v>
      </c>
      <c r="AF11" s="50">
        <v>80137</v>
      </c>
      <c r="AG11" s="58">
        <f t="shared" si="22"/>
        <v>41</v>
      </c>
      <c r="AH11" s="61"/>
      <c r="AI11" s="60"/>
      <c r="AJ11"/>
      <c r="AK11"/>
      <c r="AL11"/>
      <c r="AM11"/>
    </row>
    <row r="12" spans="1:48">
      <c r="A12" s="21">
        <v>44776</v>
      </c>
      <c r="B12" s="22">
        <v>791.80629999999996</v>
      </c>
      <c r="C12" s="27">
        <v>6.1062000000000003</v>
      </c>
      <c r="D12" s="23">
        <f t="shared" si="0"/>
        <v>797.91250000000002</v>
      </c>
      <c r="E12" s="24">
        <f t="shared" si="4"/>
        <v>-0.40000000001327901</v>
      </c>
      <c r="F12" s="25">
        <f t="shared" si="5"/>
        <v>-1.30000000001473</v>
      </c>
      <c r="G12" s="26">
        <f t="shared" si="6"/>
        <v>-0.40000000001327901</v>
      </c>
      <c r="H12" s="6">
        <v>7.0224000000000002</v>
      </c>
      <c r="I12" s="35">
        <f t="shared" si="1"/>
        <v>798.82870000000003</v>
      </c>
      <c r="J12" s="24">
        <f t="shared" si="7"/>
        <v>-0.30000000003838101</v>
      </c>
      <c r="K12" s="25">
        <f t="shared" si="8"/>
        <v>-1.30000000001473</v>
      </c>
      <c r="L12" s="26">
        <f t="shared" si="9"/>
        <v>-0.30000000003838101</v>
      </c>
      <c r="M12" s="6">
        <v>6.2901999999999996</v>
      </c>
      <c r="N12" s="35">
        <f t="shared" si="2"/>
        <v>798.09649999999999</v>
      </c>
      <c r="O12" s="24">
        <f t="shared" si="10"/>
        <v>-0.199999999949796</v>
      </c>
      <c r="P12" s="25">
        <f t="shared" si="11"/>
        <v>-1.4999999999645299</v>
      </c>
      <c r="Q12" s="26">
        <f t="shared" si="12"/>
        <v>-0.199999999949796</v>
      </c>
      <c r="R12" s="41"/>
      <c r="S12" s="21">
        <f t="shared" si="3"/>
        <v>44776</v>
      </c>
      <c r="T12" s="42">
        <v>8.6675000000000004</v>
      </c>
      <c r="U12" s="43">
        <f t="shared" si="13"/>
        <v>-9.99999999997669E-2</v>
      </c>
      <c r="V12" s="44">
        <f t="shared" si="14"/>
        <v>-1.0999999999992101</v>
      </c>
      <c r="W12" s="45">
        <f t="shared" si="15"/>
        <v>9.99999999997669E-2</v>
      </c>
      <c r="X12" s="29">
        <v>11.8443</v>
      </c>
      <c r="Y12" s="43">
        <f t="shared" si="16"/>
        <v>-0.999999999999446</v>
      </c>
      <c r="Z12" s="44">
        <f t="shared" si="17"/>
        <v>-1.1999999999989801</v>
      </c>
      <c r="AA12" s="45">
        <f t="shared" si="18"/>
        <v>-0.999999999999446</v>
      </c>
      <c r="AB12" s="49">
        <v>8.5693000000000001</v>
      </c>
      <c r="AC12" s="43">
        <f t="shared" si="19"/>
        <v>9.99999999997669E-2</v>
      </c>
      <c r="AD12" s="44">
        <f t="shared" si="20"/>
        <v>-0.89999999999967895</v>
      </c>
      <c r="AE12" s="45">
        <f t="shared" si="21"/>
        <v>9.99999999997669E-2</v>
      </c>
      <c r="AF12" s="50">
        <v>80137</v>
      </c>
      <c r="AG12" s="58">
        <f t="shared" si="22"/>
        <v>41</v>
      </c>
      <c r="AH12" s="59"/>
      <c r="AI12" s="60"/>
      <c r="AJ12"/>
      <c r="AK12"/>
      <c r="AL12"/>
      <c r="AM12"/>
    </row>
    <row r="13" spans="1:48">
      <c r="A13" s="21">
        <v>44777</v>
      </c>
      <c r="B13" s="22">
        <v>791.80629999999996</v>
      </c>
      <c r="C13" s="27">
        <v>6.1062000000000003</v>
      </c>
      <c r="D13" s="23">
        <f t="shared" si="0"/>
        <v>797.91250000000002</v>
      </c>
      <c r="E13" s="24">
        <f t="shared" si="4"/>
        <v>0</v>
      </c>
      <c r="F13" s="25">
        <f t="shared" si="5"/>
        <v>-1.30000000001473</v>
      </c>
      <c r="G13" s="26">
        <f t="shared" si="6"/>
        <v>0</v>
      </c>
      <c r="H13" s="6">
        <v>7.0223000000000004</v>
      </c>
      <c r="I13" s="35">
        <f t="shared" si="1"/>
        <v>798.82860000000005</v>
      </c>
      <c r="J13" s="24">
        <f t="shared" si="7"/>
        <v>-9.9999999974897905E-2</v>
      </c>
      <c r="K13" s="25">
        <f t="shared" si="8"/>
        <v>-1.39999999998963</v>
      </c>
      <c r="L13" s="26">
        <f t="shared" si="9"/>
        <v>-9.9999999974897905E-2</v>
      </c>
      <c r="M13" s="6">
        <v>6.2903000000000002</v>
      </c>
      <c r="N13" s="35">
        <f t="shared" si="2"/>
        <v>798.09659999999997</v>
      </c>
      <c r="O13" s="24">
        <f t="shared" si="10"/>
        <v>9.9999999974897905E-2</v>
      </c>
      <c r="P13" s="25">
        <f t="shared" si="11"/>
        <v>-1.39999999998963</v>
      </c>
      <c r="Q13" s="26">
        <f t="shared" si="12"/>
        <v>9.9999999974897905E-2</v>
      </c>
      <c r="R13" s="41"/>
      <c r="S13" s="21">
        <f t="shared" si="3"/>
        <v>44777</v>
      </c>
      <c r="T13" s="42">
        <v>8.6671999999999993</v>
      </c>
      <c r="U13" s="43">
        <f t="shared" si="13"/>
        <v>-0.30000000000107702</v>
      </c>
      <c r="V13" s="44">
        <f t="shared" si="14"/>
        <v>-1.4000000000002899</v>
      </c>
      <c r="W13" s="45">
        <f t="shared" si="15"/>
        <v>0.30000000000107702</v>
      </c>
      <c r="X13" s="29">
        <v>11.844099999999999</v>
      </c>
      <c r="Y13" s="43">
        <f t="shared" si="16"/>
        <v>-0.20000000000130999</v>
      </c>
      <c r="Z13" s="44">
        <f t="shared" si="17"/>
        <v>-1.4000000000002899</v>
      </c>
      <c r="AA13" s="45">
        <f t="shared" si="18"/>
        <v>-0.20000000000130999</v>
      </c>
      <c r="AB13" s="49">
        <v>8.5687999999999995</v>
      </c>
      <c r="AC13" s="43">
        <f t="shared" si="19"/>
        <v>-0.50000000000061096</v>
      </c>
      <c r="AD13" s="44">
        <f t="shared" si="20"/>
        <v>-1.4000000000002899</v>
      </c>
      <c r="AE13" s="45">
        <f t="shared" si="21"/>
        <v>-0.50000000000061096</v>
      </c>
      <c r="AF13" s="50">
        <v>80143</v>
      </c>
      <c r="AG13" s="58">
        <f t="shared" si="22"/>
        <v>47</v>
      </c>
      <c r="AH13" s="61"/>
      <c r="AI13" s="60"/>
      <c r="AJ13"/>
      <c r="AK13"/>
      <c r="AL13"/>
      <c r="AM13"/>
    </row>
    <row r="14" spans="1:48">
      <c r="A14" s="21">
        <v>44778</v>
      </c>
      <c r="B14" s="22">
        <v>791.80629999999996</v>
      </c>
      <c r="C14" s="27">
        <v>6.1059999999999999</v>
      </c>
      <c r="D14" s="23">
        <f t="shared" si="0"/>
        <v>797.91229999999996</v>
      </c>
      <c r="E14" s="24">
        <f t="shared" si="4"/>
        <v>-0.199999999949796</v>
      </c>
      <c r="F14" s="25">
        <f t="shared" si="5"/>
        <v>-1.4999999999645299</v>
      </c>
      <c r="G14" s="26">
        <f t="shared" si="6"/>
        <v>-0.199999999949796</v>
      </c>
      <c r="H14" s="6">
        <v>7.0221</v>
      </c>
      <c r="I14" s="35">
        <f t="shared" si="1"/>
        <v>798.82839999999999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6.2897999999999996</v>
      </c>
      <c r="N14" s="35">
        <f t="shared" si="2"/>
        <v>798.09609999999998</v>
      </c>
      <c r="O14" s="24">
        <f t="shared" si="10"/>
        <v>-0.49999999998817701</v>
      </c>
      <c r="P14" s="25">
        <f t="shared" si="11"/>
        <v>-1.8999999999778101</v>
      </c>
      <c r="Q14" s="26">
        <f t="shared" si="12"/>
        <v>-0.49999999998817701</v>
      </c>
      <c r="R14" s="41"/>
      <c r="S14" s="21">
        <f t="shared" si="3"/>
        <v>44778</v>
      </c>
      <c r="T14" s="42">
        <v>8.6669999999999998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11.843999999999999</v>
      </c>
      <c r="Y14" s="43">
        <f t="shared" si="16"/>
        <v>-9.99999999997669E-2</v>
      </c>
      <c r="Z14" s="44">
        <f t="shared" si="17"/>
        <v>-1.50000000000006</v>
      </c>
      <c r="AA14" s="45">
        <f t="shared" si="18"/>
        <v>-9.99999999997669E-2</v>
      </c>
      <c r="AB14" s="49">
        <v>8.5686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80149</v>
      </c>
      <c r="AG14" s="58">
        <f t="shared" si="22"/>
        <v>53</v>
      </c>
      <c r="AH14" s="59"/>
      <c r="AI14" s="60"/>
      <c r="AJ14"/>
      <c r="AK14"/>
      <c r="AL14"/>
      <c r="AM14"/>
    </row>
    <row r="15" spans="1:48">
      <c r="A15" s="21">
        <v>44779</v>
      </c>
      <c r="B15" s="22">
        <v>791.80629999999996</v>
      </c>
      <c r="C15" s="27">
        <v>6.1060999999999996</v>
      </c>
      <c r="D15" s="23">
        <f t="shared" si="0"/>
        <v>797.91240000000005</v>
      </c>
      <c r="E15" s="24">
        <f t="shared" si="4"/>
        <v>9.9999999974897905E-2</v>
      </c>
      <c r="F15" s="25">
        <f t="shared" si="5"/>
        <v>-1.39999999998963</v>
      </c>
      <c r="G15" s="26">
        <f t="shared" si="6"/>
        <v>9.9999999974897905E-2</v>
      </c>
      <c r="H15" s="6">
        <v>7.0217999999999998</v>
      </c>
      <c r="I15" s="35">
        <f t="shared" si="1"/>
        <v>798.82809999999995</v>
      </c>
      <c r="J15" s="24">
        <f t="shared" si="7"/>
        <v>-0.30000000003838101</v>
      </c>
      <c r="K15" s="25">
        <f t="shared" si="8"/>
        <v>-1.8999999999778101</v>
      </c>
      <c r="L15" s="26">
        <f t="shared" si="9"/>
        <v>-0.30000000003838101</v>
      </c>
      <c r="M15" s="6">
        <v>6.2896000000000001</v>
      </c>
      <c r="N15" s="35">
        <f t="shared" si="2"/>
        <v>798.09590000000003</v>
      </c>
      <c r="O15" s="24">
        <f t="shared" si="10"/>
        <v>-0.20000000006348301</v>
      </c>
      <c r="P15" s="25">
        <f t="shared" si="11"/>
        <v>-2.1000000000412902</v>
      </c>
      <c r="Q15" s="26">
        <f t="shared" si="12"/>
        <v>-0.20000000006348301</v>
      </c>
      <c r="R15" s="41"/>
      <c r="S15" s="21">
        <f t="shared" si="3"/>
        <v>44779</v>
      </c>
      <c r="T15" s="42">
        <v>8.6671999999999993</v>
      </c>
      <c r="U15" s="43">
        <f t="shared" si="13"/>
        <v>0.19999999999953399</v>
      </c>
      <c r="V15" s="44">
        <f t="shared" si="14"/>
        <v>-1.4000000000002899</v>
      </c>
      <c r="W15" s="45">
        <f t="shared" si="15"/>
        <v>-0.19999999999953399</v>
      </c>
      <c r="X15" s="29">
        <v>11.8437</v>
      </c>
      <c r="Y15" s="43">
        <f t="shared" si="16"/>
        <v>-0.29999999999930099</v>
      </c>
      <c r="Z15" s="44">
        <f t="shared" si="17"/>
        <v>-1.7999999999993599</v>
      </c>
      <c r="AA15" s="45">
        <f t="shared" si="18"/>
        <v>-0.29999999999930099</v>
      </c>
      <c r="AB15" s="49">
        <v>8.5681999999999992</v>
      </c>
      <c r="AC15" s="43">
        <f t="shared" si="19"/>
        <v>-0.40000000000084401</v>
      </c>
      <c r="AD15" s="44">
        <f t="shared" si="20"/>
        <v>-2.0000000000006701</v>
      </c>
      <c r="AE15" s="45">
        <f t="shared" si="21"/>
        <v>-0.40000000000084401</v>
      </c>
      <c r="AF15" s="50">
        <v>80155</v>
      </c>
      <c r="AG15" s="58">
        <f t="shared" si="22"/>
        <v>59</v>
      </c>
      <c r="AH15" s="61"/>
      <c r="AI15" s="60"/>
      <c r="AJ15"/>
      <c r="AK15"/>
      <c r="AL15"/>
      <c r="AM15"/>
    </row>
    <row r="16" spans="1:48">
      <c r="A16" s="21">
        <v>44780</v>
      </c>
      <c r="B16" s="22">
        <v>791.80629999999996</v>
      </c>
      <c r="C16" s="27">
        <v>6.1055999999999999</v>
      </c>
      <c r="D16" s="23">
        <f t="shared" si="0"/>
        <v>797.91189999999995</v>
      </c>
      <c r="E16" s="24">
        <f t="shared" si="4"/>
        <v>-0.49999999998817701</v>
      </c>
      <c r="F16" s="25">
        <f t="shared" si="5"/>
        <v>-1.8999999999778101</v>
      </c>
      <c r="G16" s="26">
        <f t="shared" si="6"/>
        <v>-0.49999999998817701</v>
      </c>
      <c r="H16" s="6">
        <v>7.0217000000000001</v>
      </c>
      <c r="I16" s="35">
        <f t="shared" si="1"/>
        <v>798.82799999999997</v>
      </c>
      <c r="J16" s="24">
        <f t="shared" si="7"/>
        <v>-9.9999999974897905E-2</v>
      </c>
      <c r="K16" s="25">
        <f t="shared" si="8"/>
        <v>-1.9999999999527101</v>
      </c>
      <c r="L16" s="26">
        <f t="shared" si="9"/>
        <v>-9.9999999974897905E-2</v>
      </c>
      <c r="M16" s="6">
        <v>6.2895000000000003</v>
      </c>
      <c r="N16" s="35">
        <f t="shared" si="2"/>
        <v>798.09580000000005</v>
      </c>
      <c r="O16" s="24">
        <f t="shared" si="10"/>
        <v>-9.9999999974897905E-2</v>
      </c>
      <c r="P16" s="25">
        <f t="shared" si="11"/>
        <v>-2.2000000000161899</v>
      </c>
      <c r="Q16" s="26">
        <f t="shared" si="12"/>
        <v>-9.9999999974897905E-2</v>
      </c>
      <c r="R16" s="41"/>
      <c r="S16" s="21">
        <f t="shared" si="3"/>
        <v>44780</v>
      </c>
      <c r="T16" s="42">
        <v>8.6666000000000007</v>
      </c>
      <c r="U16" s="43">
        <f t="shared" si="13"/>
        <v>-0.59999999999860198</v>
      </c>
      <c r="V16" s="44">
        <f t="shared" si="14"/>
        <v>-1.99999999999889</v>
      </c>
      <c r="W16" s="45">
        <f t="shared" si="15"/>
        <v>0.59999999999860198</v>
      </c>
      <c r="X16" s="29">
        <v>11.843500000000001</v>
      </c>
      <c r="Y16" s="43">
        <f t="shared" si="16"/>
        <v>-0.19999999999953399</v>
      </c>
      <c r="Z16" s="44">
        <f t="shared" si="17"/>
        <v>-1.99999999999889</v>
      </c>
      <c r="AA16" s="45">
        <f t="shared" si="18"/>
        <v>-0.19999999999953399</v>
      </c>
      <c r="AB16" s="49">
        <v>8.5681999999999992</v>
      </c>
      <c r="AC16" s="43">
        <f t="shared" si="19"/>
        <v>0</v>
      </c>
      <c r="AD16" s="44">
        <f t="shared" si="20"/>
        <v>-2.0000000000006701</v>
      </c>
      <c r="AE16" s="45">
        <f t="shared" si="21"/>
        <v>0</v>
      </c>
      <c r="AF16" s="50">
        <v>80161</v>
      </c>
      <c r="AG16" s="58">
        <f t="shared" si="22"/>
        <v>65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44781</v>
      </c>
      <c r="B17" s="22">
        <v>791.80629999999996</v>
      </c>
      <c r="C17" s="27">
        <v>6.1055000000000001</v>
      </c>
      <c r="D17" s="23">
        <f t="shared" si="0"/>
        <v>797.91179999999997</v>
      </c>
      <c r="E17" s="24">
        <f t="shared" si="4"/>
        <v>-9.9999999974897905E-2</v>
      </c>
      <c r="F17" s="25">
        <f t="shared" si="5"/>
        <v>-1.9999999999527101</v>
      </c>
      <c r="G17" s="26">
        <f t="shared" si="6"/>
        <v>-9.9999999974897905E-2</v>
      </c>
      <c r="H17" s="6">
        <v>7.0214999999999996</v>
      </c>
      <c r="I17" s="35">
        <f t="shared" si="1"/>
        <v>798.82780000000002</v>
      </c>
      <c r="J17" s="24">
        <f t="shared" si="7"/>
        <v>-0.20000000006348301</v>
      </c>
      <c r="K17" s="25">
        <f t="shared" si="8"/>
        <v>-2.2000000000161899</v>
      </c>
      <c r="L17" s="26">
        <f t="shared" si="9"/>
        <v>-0.20000000006348301</v>
      </c>
      <c r="M17" s="6">
        <v>6.2892000000000001</v>
      </c>
      <c r="N17" s="35">
        <f t="shared" si="2"/>
        <v>798.09550000000002</v>
      </c>
      <c r="O17" s="24">
        <f t="shared" si="10"/>
        <v>-0.29999999992469401</v>
      </c>
      <c r="P17" s="25">
        <f t="shared" si="11"/>
        <v>-2.4999999999408802</v>
      </c>
      <c r="Q17" s="26">
        <f t="shared" si="12"/>
        <v>-0.29999999992469401</v>
      </c>
      <c r="R17" s="41"/>
      <c r="S17" s="21">
        <f t="shared" si="3"/>
        <v>44781</v>
      </c>
      <c r="T17" s="42">
        <v>8.6663999999999994</v>
      </c>
      <c r="U17" s="43">
        <f t="shared" si="13"/>
        <v>-0.20000000000130999</v>
      </c>
      <c r="V17" s="44">
        <f t="shared" si="14"/>
        <v>-2.2000000000002</v>
      </c>
      <c r="W17" s="45">
        <f t="shared" si="15"/>
        <v>0.20000000000130999</v>
      </c>
      <c r="X17" s="29">
        <v>11.8436</v>
      </c>
      <c r="Y17" s="43">
        <f t="shared" si="16"/>
        <v>9.99999999997669E-2</v>
      </c>
      <c r="Z17" s="44">
        <f t="shared" si="17"/>
        <v>-1.8999999999991199</v>
      </c>
      <c r="AA17" s="45">
        <f t="shared" si="18"/>
        <v>9.99999999997669E-2</v>
      </c>
      <c r="AB17" s="49">
        <v>8.5679999999999996</v>
      </c>
      <c r="AC17" s="43">
        <f t="shared" si="19"/>
        <v>-0.19999999999953399</v>
      </c>
      <c r="AD17" s="44">
        <f t="shared" si="20"/>
        <v>-2.2000000000002</v>
      </c>
      <c r="AE17" s="45">
        <f t="shared" si="21"/>
        <v>-0.19999999999953399</v>
      </c>
      <c r="AF17" s="50">
        <v>80167</v>
      </c>
      <c r="AG17" s="58">
        <f t="shared" si="22"/>
        <v>71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44782</v>
      </c>
      <c r="B18" s="22">
        <v>791.80629999999996</v>
      </c>
      <c r="C18" s="27">
        <v>6.1052</v>
      </c>
      <c r="D18" s="23">
        <f t="shared" si="0"/>
        <v>797.91150000000005</v>
      </c>
      <c r="E18" s="24">
        <f t="shared" si="4"/>
        <v>-0.30000000003838101</v>
      </c>
      <c r="F18" s="25">
        <f t="shared" si="5"/>
        <v>-2.2999999999910901</v>
      </c>
      <c r="G18" s="26">
        <f t="shared" si="6"/>
        <v>-0.30000000003838101</v>
      </c>
      <c r="H18" s="6">
        <v>7.0216000000000003</v>
      </c>
      <c r="I18" s="35">
        <f t="shared" si="1"/>
        <v>798.8279</v>
      </c>
      <c r="J18" s="24">
        <f t="shared" si="7"/>
        <v>0.10000000008858501</v>
      </c>
      <c r="K18" s="25">
        <f t="shared" si="8"/>
        <v>-2.0999999999275998</v>
      </c>
      <c r="L18" s="26">
        <f t="shared" si="9"/>
        <v>0.10000000008858501</v>
      </c>
      <c r="M18" s="6">
        <v>6.2889999999999997</v>
      </c>
      <c r="N18" s="35">
        <f t="shared" si="2"/>
        <v>798.09529999999995</v>
      </c>
      <c r="O18" s="24">
        <f t="shared" si="10"/>
        <v>-0.20000000006348301</v>
      </c>
      <c r="P18" s="25">
        <f t="shared" si="11"/>
        <v>-2.70000000000437</v>
      </c>
      <c r="Q18" s="26">
        <f t="shared" si="12"/>
        <v>-0.20000000006348301</v>
      </c>
      <c r="R18" s="41"/>
      <c r="S18" s="21">
        <f t="shared" si="3"/>
        <v>44782</v>
      </c>
      <c r="T18" s="42">
        <v>8.6661999999999999</v>
      </c>
      <c r="U18" s="43">
        <f t="shared" si="13"/>
        <v>-0.19999999999953399</v>
      </c>
      <c r="V18" s="44">
        <f t="shared" si="14"/>
        <v>-2.3999999999997401</v>
      </c>
      <c r="W18" s="45">
        <f t="shared" si="15"/>
        <v>0.19999999999953399</v>
      </c>
      <c r="X18" s="29">
        <v>11.8431</v>
      </c>
      <c r="Y18" s="43">
        <f t="shared" si="16"/>
        <v>-0.50000000000061096</v>
      </c>
      <c r="Z18" s="44">
        <f t="shared" si="17"/>
        <v>-2.3999999999997401</v>
      </c>
      <c r="AA18" s="45">
        <f t="shared" si="18"/>
        <v>-0.50000000000061096</v>
      </c>
      <c r="AB18" s="49">
        <v>8.5680999999999994</v>
      </c>
      <c r="AC18" s="43">
        <f t="shared" si="19"/>
        <v>9.99999999997669E-2</v>
      </c>
      <c r="AD18" s="44">
        <f t="shared" si="20"/>
        <v>-2.10000000000043</v>
      </c>
      <c r="AE18" s="45">
        <f t="shared" si="21"/>
        <v>9.99999999997669E-2</v>
      </c>
      <c r="AF18" s="50">
        <v>80167</v>
      </c>
      <c r="AG18" s="58">
        <f t="shared" si="22"/>
        <v>71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44783</v>
      </c>
      <c r="B19" s="22">
        <v>791.80629999999996</v>
      </c>
      <c r="C19" s="27">
        <v>6.1050000000000004</v>
      </c>
      <c r="D19" s="23">
        <f t="shared" si="0"/>
        <v>797.91129999999998</v>
      </c>
      <c r="E19" s="24">
        <f t="shared" si="4"/>
        <v>-0.199999999949796</v>
      </c>
      <c r="F19" s="25">
        <f t="shared" si="5"/>
        <v>-2.4999999999408802</v>
      </c>
      <c r="G19" s="26">
        <f t="shared" si="6"/>
        <v>-0.199999999949796</v>
      </c>
      <c r="H19" s="6">
        <v>7.0211000000000103</v>
      </c>
      <c r="I19" s="35">
        <f t="shared" si="1"/>
        <v>798.82740000000001</v>
      </c>
      <c r="J19" s="24">
        <f t="shared" si="7"/>
        <v>-0.49999999998817701</v>
      </c>
      <c r="K19" s="25">
        <f t="shared" si="8"/>
        <v>-2.5999999999157799</v>
      </c>
      <c r="L19" s="26">
        <f t="shared" si="9"/>
        <v>-0.49999999998817701</v>
      </c>
      <c r="M19" s="6">
        <v>6.2891000000000004</v>
      </c>
      <c r="N19" s="35">
        <f t="shared" si="2"/>
        <v>798.09540000000004</v>
      </c>
      <c r="O19" s="24">
        <f t="shared" si="10"/>
        <v>9.9999999974897905E-2</v>
      </c>
      <c r="P19" s="25">
        <f t="shared" si="11"/>
        <v>-2.6000000000294698</v>
      </c>
      <c r="Q19" s="26">
        <f t="shared" si="12"/>
        <v>9.9999999974897905E-2</v>
      </c>
      <c r="R19" s="41"/>
      <c r="S19" s="21">
        <f t="shared" si="3"/>
        <v>44783</v>
      </c>
      <c r="T19" s="42">
        <v>8.6662999999999997</v>
      </c>
      <c r="U19" s="43">
        <f t="shared" si="13"/>
        <v>9.99999999997669E-2</v>
      </c>
      <c r="V19" s="44">
        <f t="shared" si="14"/>
        <v>-2.2999999999999701</v>
      </c>
      <c r="W19" s="45">
        <f t="shared" si="15"/>
        <v>-9.99999999997669E-2</v>
      </c>
      <c r="X19" s="29">
        <v>11.8429</v>
      </c>
      <c r="Y19" s="43">
        <f t="shared" si="16"/>
        <v>-0.19999999999953399</v>
      </c>
      <c r="Z19" s="44">
        <f t="shared" si="17"/>
        <v>-2.59999999999927</v>
      </c>
      <c r="AA19" s="45">
        <f t="shared" si="18"/>
        <v>-0.19999999999953399</v>
      </c>
      <c r="AB19" s="49">
        <v>8.5676000000000094</v>
      </c>
      <c r="AC19" s="43">
        <f t="shared" si="19"/>
        <v>-0.49999999998995298</v>
      </c>
      <c r="AD19" s="44">
        <f t="shared" si="20"/>
        <v>-2.59999999999039</v>
      </c>
      <c r="AE19" s="45">
        <f t="shared" si="21"/>
        <v>-0.49999999998995298</v>
      </c>
      <c r="AF19" s="50">
        <v>80173</v>
      </c>
      <c r="AG19" s="58">
        <f t="shared" si="22"/>
        <v>77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>
        <v>0.7</v>
      </c>
    </row>
    <row r="20" spans="1:48">
      <c r="A20" s="21">
        <v>44784</v>
      </c>
      <c r="B20" s="22">
        <v>791.80629999999996</v>
      </c>
      <c r="C20" s="27">
        <v>6.1044999999999998</v>
      </c>
      <c r="D20" s="23">
        <f t="shared" si="0"/>
        <v>797.91079999999999</v>
      </c>
      <c r="E20" s="24">
        <f t="shared" si="4"/>
        <v>-0.49999999998817701</v>
      </c>
      <c r="F20" s="25">
        <f t="shared" si="5"/>
        <v>-2.9999999999290599</v>
      </c>
      <c r="G20" s="26">
        <f t="shared" si="6"/>
        <v>-0.49999999998817701</v>
      </c>
      <c r="H20" s="6">
        <v>7.0209000000000099</v>
      </c>
      <c r="I20" s="35">
        <f t="shared" si="1"/>
        <v>798.82719999999995</v>
      </c>
      <c r="J20" s="24">
        <f t="shared" si="7"/>
        <v>-0.20000000006348301</v>
      </c>
      <c r="K20" s="25">
        <f t="shared" si="8"/>
        <v>-2.79999999997926</v>
      </c>
      <c r="L20" s="26">
        <f t="shared" si="9"/>
        <v>-0.20000000006348301</v>
      </c>
      <c r="M20" s="6">
        <v>6.2885999999999997</v>
      </c>
      <c r="N20" s="35">
        <f t="shared" si="2"/>
        <v>798.09490000000005</v>
      </c>
      <c r="O20" s="24">
        <f t="shared" si="10"/>
        <v>-0.49999999998817701</v>
      </c>
      <c r="P20" s="25">
        <f t="shared" si="11"/>
        <v>-3.1000000000176402</v>
      </c>
      <c r="Q20" s="26">
        <f t="shared" si="12"/>
        <v>-0.49999999998817701</v>
      </c>
      <c r="R20" s="41"/>
      <c r="S20" s="21">
        <f t="shared" si="3"/>
        <v>44784</v>
      </c>
      <c r="T20" s="42">
        <v>8.6658000000000008</v>
      </c>
      <c r="U20" s="43">
        <f t="shared" si="13"/>
        <v>-0.49999999999883499</v>
      </c>
      <c r="V20" s="44">
        <f t="shared" si="14"/>
        <v>-2.7999999999987999</v>
      </c>
      <c r="W20" s="45">
        <f t="shared" si="15"/>
        <v>0.49999999999883499</v>
      </c>
      <c r="X20" s="29">
        <v>11.842499999999999</v>
      </c>
      <c r="Y20" s="43">
        <f t="shared" si="16"/>
        <v>-0.40000000000084401</v>
      </c>
      <c r="Z20" s="44">
        <f t="shared" si="17"/>
        <v>-3.0000000000001101</v>
      </c>
      <c r="AA20" s="45">
        <f t="shared" si="18"/>
        <v>-0.40000000000084401</v>
      </c>
      <c r="AB20" s="49">
        <v>8.5675000000000008</v>
      </c>
      <c r="AC20" s="43">
        <f t="shared" si="19"/>
        <v>-0.100000000008649</v>
      </c>
      <c r="AD20" s="44">
        <f t="shared" si="20"/>
        <v>-2.6999999999990401</v>
      </c>
      <c r="AE20" s="45">
        <f t="shared" si="21"/>
        <v>-0.100000000008649</v>
      </c>
      <c r="AF20" s="50">
        <v>80179</v>
      </c>
      <c r="AG20" s="58">
        <f t="shared" si="22"/>
        <v>83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>
        <v>0.7</v>
      </c>
    </row>
    <row r="21" spans="1:48">
      <c r="A21" s="21">
        <v>44786</v>
      </c>
      <c r="B21" s="22">
        <v>791.80629999999996</v>
      </c>
      <c r="C21" s="27">
        <v>6.1045999999999898</v>
      </c>
      <c r="D21" s="23">
        <f t="shared" si="0"/>
        <v>797.91089999999997</v>
      </c>
      <c r="E21" s="24">
        <f t="shared" si="4"/>
        <v>9.9999999974897905E-2</v>
      </c>
      <c r="F21" s="25">
        <f t="shared" si="5"/>
        <v>-2.8999999999541601</v>
      </c>
      <c r="G21" s="26">
        <f t="shared" si="6"/>
        <v>4.9999999987449001E-2</v>
      </c>
      <c r="H21" s="6">
        <v>7.0208000000000004</v>
      </c>
      <c r="I21" s="35">
        <f t="shared" si="1"/>
        <v>798.82709999999997</v>
      </c>
      <c r="J21" s="24">
        <f t="shared" si="7"/>
        <v>-9.9999999974897905E-2</v>
      </c>
      <c r="K21" s="25">
        <f t="shared" si="8"/>
        <v>-2.8999999999541601</v>
      </c>
      <c r="L21" s="26">
        <f t="shared" si="9"/>
        <v>-4.9999999987449001E-2</v>
      </c>
      <c r="M21" s="6">
        <v>6.2883999999999904</v>
      </c>
      <c r="N21" s="35">
        <f t="shared" si="2"/>
        <v>798.09469999999999</v>
      </c>
      <c r="O21" s="24">
        <f t="shared" si="10"/>
        <v>-0.199999999949796</v>
      </c>
      <c r="P21" s="25">
        <f t="shared" si="11"/>
        <v>-3.2999999999674401</v>
      </c>
      <c r="Q21" s="26">
        <f t="shared" si="12"/>
        <v>-9.9999999974897905E-2</v>
      </c>
      <c r="R21" s="41"/>
      <c r="S21" s="21">
        <f t="shared" si="3"/>
        <v>44786</v>
      </c>
      <c r="T21" s="42">
        <v>8.6655999999999995</v>
      </c>
      <c r="U21" s="43">
        <f t="shared" si="13"/>
        <v>-0.20000000000130999</v>
      </c>
      <c r="V21" s="44">
        <f t="shared" si="14"/>
        <v>-3.0000000000001101</v>
      </c>
      <c r="W21" s="45">
        <f t="shared" si="15"/>
        <v>0.100000000000655</v>
      </c>
      <c r="X21" s="29">
        <v>11.842499999999999</v>
      </c>
      <c r="Y21" s="43">
        <f t="shared" si="16"/>
        <v>0</v>
      </c>
      <c r="Z21" s="44">
        <f t="shared" si="17"/>
        <v>-3.0000000000001101</v>
      </c>
      <c r="AA21" s="45">
        <f t="shared" si="18"/>
        <v>0</v>
      </c>
      <c r="AB21" s="49">
        <v>8.5672000000000104</v>
      </c>
      <c r="AC21" s="43">
        <f t="shared" si="19"/>
        <v>-0.29999999999041899</v>
      </c>
      <c r="AD21" s="44">
        <f t="shared" si="20"/>
        <v>-2.99999999998946</v>
      </c>
      <c r="AE21" s="45">
        <f t="shared" si="21"/>
        <v>-0.14999999999520999</v>
      </c>
      <c r="AF21" s="50">
        <v>80185</v>
      </c>
      <c r="AG21" s="58">
        <f t="shared" si="22"/>
        <v>89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>
        <v>0.7</v>
      </c>
    </row>
    <row r="22" spans="1:48">
      <c r="A22" s="21">
        <v>44788</v>
      </c>
      <c r="B22" s="22">
        <v>791.80629999999996</v>
      </c>
      <c r="C22" s="27">
        <v>6.1043999999999903</v>
      </c>
      <c r="D22" s="23">
        <f t="shared" si="0"/>
        <v>797.91070000000002</v>
      </c>
      <c r="E22" s="24">
        <f t="shared" si="4"/>
        <v>-0.20000000006348301</v>
      </c>
      <c r="F22" s="25">
        <f t="shared" si="5"/>
        <v>-3.1000000000176402</v>
      </c>
      <c r="G22" s="26">
        <f t="shared" si="6"/>
        <v>-0.100000000031741</v>
      </c>
      <c r="H22" s="6">
        <v>7.02050000000001</v>
      </c>
      <c r="I22" s="35">
        <f t="shared" si="1"/>
        <v>798.82680000000005</v>
      </c>
      <c r="J22" s="24">
        <f t="shared" si="7"/>
        <v>-0.30000000003838101</v>
      </c>
      <c r="K22" s="25">
        <f t="shared" si="8"/>
        <v>-3.1999999999925399</v>
      </c>
      <c r="L22" s="26">
        <f t="shared" si="9"/>
        <v>-0.15000000001919001</v>
      </c>
      <c r="M22" s="6">
        <v>6.2885</v>
      </c>
      <c r="N22" s="35">
        <f t="shared" si="2"/>
        <v>798.09479999999996</v>
      </c>
      <c r="O22" s="24">
        <f t="shared" si="10"/>
        <v>9.9999999974897905E-2</v>
      </c>
      <c r="P22" s="25">
        <f t="shared" si="11"/>
        <v>-3.1999999999925399</v>
      </c>
      <c r="Q22" s="26">
        <f t="shared" si="12"/>
        <v>4.9999999987449001E-2</v>
      </c>
      <c r="R22" s="41"/>
      <c r="S22" s="21">
        <f t="shared" si="3"/>
        <v>44788</v>
      </c>
      <c r="T22" s="42">
        <v>8.6654000000000106</v>
      </c>
      <c r="U22" s="43">
        <f t="shared" si="13"/>
        <v>-0.19999999998887599</v>
      </c>
      <c r="V22" s="44">
        <f t="shared" si="14"/>
        <v>-3.1999999999889899</v>
      </c>
      <c r="W22" s="45">
        <f t="shared" si="15"/>
        <v>9.9999999994437899E-2</v>
      </c>
      <c r="X22" s="29">
        <v>11.8423</v>
      </c>
      <c r="Y22" s="43">
        <f t="shared" si="16"/>
        <v>-0.19999999999953399</v>
      </c>
      <c r="Z22" s="44">
        <f t="shared" si="17"/>
        <v>-3.1999999999996498</v>
      </c>
      <c r="AA22" s="45">
        <f t="shared" si="18"/>
        <v>-9.99999999997669E-2</v>
      </c>
      <c r="AB22" s="49">
        <v>8.5670000000000108</v>
      </c>
      <c r="AC22" s="43">
        <f t="shared" si="19"/>
        <v>-0.19999999999953399</v>
      </c>
      <c r="AD22" s="44">
        <f t="shared" si="20"/>
        <v>-3.1999999999889899</v>
      </c>
      <c r="AE22" s="45">
        <f t="shared" si="21"/>
        <v>-9.99999999997669E-2</v>
      </c>
      <c r="AF22" s="50">
        <v>80191</v>
      </c>
      <c r="AG22" s="58">
        <f t="shared" si="22"/>
        <v>95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>
        <v>0.7</v>
      </c>
    </row>
    <row r="23" spans="1:48">
      <c r="A23" s="21">
        <v>44790</v>
      </c>
      <c r="B23" s="22">
        <v>791.80629999999996</v>
      </c>
      <c r="C23" s="27">
        <v>6.1041999999999996</v>
      </c>
      <c r="D23" s="23">
        <f t="shared" si="0"/>
        <v>797.91049999999996</v>
      </c>
      <c r="E23" s="24">
        <f t="shared" si="4"/>
        <v>-0.199999999949796</v>
      </c>
      <c r="F23" s="25">
        <f t="shared" si="5"/>
        <v>-3.2999999999674401</v>
      </c>
      <c r="G23" s="26">
        <f t="shared" si="6"/>
        <v>-9.9999999974897905E-2</v>
      </c>
      <c r="H23" s="6">
        <v>7.0203000000000104</v>
      </c>
      <c r="I23" s="35">
        <f t="shared" si="1"/>
        <v>798.82659999999998</v>
      </c>
      <c r="J23" s="24">
        <f t="shared" si="7"/>
        <v>-0.199999999949796</v>
      </c>
      <c r="K23" s="25">
        <f t="shared" si="8"/>
        <v>-3.3999999999423398</v>
      </c>
      <c r="L23" s="26">
        <f t="shared" si="9"/>
        <v>-9.9999999974897905E-2</v>
      </c>
      <c r="M23" s="6">
        <v>6.2879999999999896</v>
      </c>
      <c r="N23" s="35">
        <f t="shared" si="2"/>
        <v>798.09429999999998</v>
      </c>
      <c r="O23" s="24">
        <f t="shared" si="10"/>
        <v>-0.49999999998817701</v>
      </c>
      <c r="P23" s="25">
        <f t="shared" si="11"/>
        <v>-3.69999999998072</v>
      </c>
      <c r="Q23" s="26">
        <f t="shared" si="12"/>
        <v>-0.24999999999408801</v>
      </c>
      <c r="R23" s="41"/>
      <c r="S23" s="21">
        <f t="shared" si="3"/>
        <v>44790</v>
      </c>
      <c r="T23" s="42">
        <v>8.6654999999999998</v>
      </c>
      <c r="U23" s="43">
        <f t="shared" si="13"/>
        <v>9.9999999989108801E-2</v>
      </c>
      <c r="V23" s="44">
        <f t="shared" si="14"/>
        <v>-3.0999999999998802</v>
      </c>
      <c r="W23" s="45">
        <f t="shared" si="15"/>
        <v>-4.99999999945544E-2</v>
      </c>
      <c r="X23" s="29">
        <v>11.8421</v>
      </c>
      <c r="Y23" s="43">
        <f t="shared" si="16"/>
        <v>-0.19999999999953399</v>
      </c>
      <c r="Z23" s="44">
        <f t="shared" si="17"/>
        <v>-3.3999999999991801</v>
      </c>
      <c r="AA23" s="45">
        <f t="shared" si="18"/>
        <v>-9.99999999997669E-2</v>
      </c>
      <c r="AB23" s="49">
        <v>8.5670999999999999</v>
      </c>
      <c r="AC23" s="43">
        <f t="shared" si="19"/>
        <v>9.9999999989108801E-2</v>
      </c>
      <c r="AD23" s="44">
        <f t="shared" si="20"/>
        <v>-3.0999999999998802</v>
      </c>
      <c r="AE23" s="45">
        <f t="shared" si="21"/>
        <v>4.99999999945544E-2</v>
      </c>
      <c r="AF23" s="50">
        <v>80197</v>
      </c>
      <c r="AG23" s="58">
        <f t="shared" si="22"/>
        <v>101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>
        <v>0.7</v>
      </c>
    </row>
    <row r="24" spans="1:48">
      <c r="A24" s="21">
        <v>44792</v>
      </c>
      <c r="B24" s="22">
        <v>791.80629999999996</v>
      </c>
      <c r="C24" s="27">
        <v>6.1039999999999903</v>
      </c>
      <c r="D24" s="23">
        <f t="shared" si="0"/>
        <v>797.91030000000001</v>
      </c>
      <c r="E24" s="24">
        <f t="shared" si="4"/>
        <v>-0.199999999949796</v>
      </c>
      <c r="F24" s="25">
        <f t="shared" si="5"/>
        <v>-3.49999999991724</v>
      </c>
      <c r="G24" s="26">
        <f t="shared" si="6"/>
        <v>-9.9999999974897905E-2</v>
      </c>
      <c r="H24" s="6">
        <v>7.0204000000000004</v>
      </c>
      <c r="I24" s="35">
        <f t="shared" si="1"/>
        <v>798.82669999999996</v>
      </c>
      <c r="J24" s="24">
        <f t="shared" si="7"/>
        <v>9.9999999974897905E-2</v>
      </c>
      <c r="K24" s="25">
        <f t="shared" si="8"/>
        <v>-3.2999999999674401</v>
      </c>
      <c r="L24" s="26">
        <f t="shared" si="9"/>
        <v>4.9999999987449001E-2</v>
      </c>
      <c r="M24" s="6">
        <v>6.2881</v>
      </c>
      <c r="N24" s="35">
        <f t="shared" si="2"/>
        <v>798.09439999999995</v>
      </c>
      <c r="O24" s="24">
        <f t="shared" si="10"/>
        <v>9.9999999974897905E-2</v>
      </c>
      <c r="P24" s="25">
        <f t="shared" si="11"/>
        <v>-3.6000000000058199</v>
      </c>
      <c r="Q24" s="26">
        <f t="shared" si="12"/>
        <v>4.9999999987449001E-2</v>
      </c>
      <c r="R24" s="41"/>
      <c r="S24" s="21">
        <f t="shared" si="3"/>
        <v>44792</v>
      </c>
      <c r="T24" s="42">
        <v>8.6653000000000002</v>
      </c>
      <c r="U24" s="43">
        <f t="shared" si="13"/>
        <v>-0.19999999999953399</v>
      </c>
      <c r="V24" s="44">
        <f t="shared" si="14"/>
        <v>-3.2999999999994101</v>
      </c>
      <c r="W24" s="45">
        <f t="shared" si="15"/>
        <v>9.99999999997669E-2</v>
      </c>
      <c r="X24" s="29">
        <v>11.842000000000001</v>
      </c>
      <c r="Y24" s="43">
        <f t="shared" si="16"/>
        <v>-9.99999999997669E-2</v>
      </c>
      <c r="Z24" s="44">
        <f t="shared" si="17"/>
        <v>-3.4999999999989502</v>
      </c>
      <c r="AA24" s="45">
        <f t="shared" si="18"/>
        <v>-4.9999999999883499E-2</v>
      </c>
      <c r="AB24" s="49">
        <v>8.56660000000001</v>
      </c>
      <c r="AC24" s="43">
        <f t="shared" si="19"/>
        <v>-0.49999999998995298</v>
      </c>
      <c r="AD24" s="44">
        <f t="shared" si="20"/>
        <v>-3.59999999998983</v>
      </c>
      <c r="AE24" s="45">
        <f t="shared" si="21"/>
        <v>-0.24999999999497599</v>
      </c>
      <c r="AF24" s="50">
        <v>80203</v>
      </c>
      <c r="AG24" s="58">
        <f t="shared" si="22"/>
        <v>107</v>
      </c>
      <c r="AH24" s="59"/>
      <c r="AI24" s="60"/>
      <c r="AJ24" s="52"/>
      <c r="AK24" s="52"/>
      <c r="AL24" s="52"/>
      <c r="AM24" s="52"/>
    </row>
    <row r="25" spans="1:48">
      <c r="A25" s="21"/>
      <c r="B25" s="22"/>
      <c r="C25" s="27"/>
      <c r="D25" s="23"/>
      <c r="E25" s="65">
        <f>F24-F6</f>
        <v>-3.49999999991724</v>
      </c>
      <c r="F25" s="33">
        <f>K24-K6</f>
        <v>-3.2999999999674401</v>
      </c>
      <c r="G25" s="33">
        <f>P24-P6</f>
        <v>-3.6000000000058199</v>
      </c>
      <c r="H25" s="33">
        <f>F24</f>
        <v>-3.49999999991724</v>
      </c>
      <c r="I25" s="66">
        <f>K24</f>
        <v>-3.2999999999674401</v>
      </c>
      <c r="J25" s="65">
        <f>P24</f>
        <v>-3.6000000000058199</v>
      </c>
      <c r="K25" s="33">
        <f>(P24-P6)/24</f>
        <v>-0.15000000000024299</v>
      </c>
      <c r="L25" s="26"/>
      <c r="N25" s="35"/>
      <c r="O25" s="24"/>
      <c r="P25" s="25"/>
      <c r="Q25" s="26"/>
      <c r="R25" s="41"/>
      <c r="S25" s="21"/>
      <c r="T25" s="42"/>
      <c r="U25" s="65">
        <f>V24-V6</f>
        <v>-3.2999999999994101</v>
      </c>
      <c r="V25" s="33">
        <f>Z24-Z6</f>
        <v>-3.4999999999989502</v>
      </c>
      <c r="W25" s="33">
        <f>AD24-AD6</f>
        <v>-3.59999999998983</v>
      </c>
      <c r="X25" s="33">
        <f>V24</f>
        <v>-3.2999999999994101</v>
      </c>
      <c r="Y25" s="65">
        <f>Z24</f>
        <v>-3.4999999999989502</v>
      </c>
      <c r="Z25" s="33">
        <f>AD24</f>
        <v>-3.59999999998983</v>
      </c>
      <c r="AA25" s="33">
        <f>(AD24-AD6)/24</f>
        <v>-0.149999999999576</v>
      </c>
      <c r="AB25" s="49"/>
      <c r="AC25" s="43"/>
      <c r="AD25" s="44"/>
      <c r="AE25" s="45"/>
      <c r="AF25" s="50"/>
      <c r="AG25" s="58"/>
      <c r="AH25" s="61"/>
      <c r="AI25" s="60"/>
      <c r="AJ25"/>
      <c r="AK25"/>
      <c r="AL25"/>
      <c r="AM25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4"/>
  <sheetViews>
    <sheetView topLeftCell="Q31" workbookViewId="0">
      <selection activeCell="U28" sqref="U28:AA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44781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44781</v>
      </c>
      <c r="B6" s="22">
        <v>791.80629999999996</v>
      </c>
      <c r="C6" s="27">
        <v>5.1692999999999998</v>
      </c>
      <c r="D6" s="23">
        <f t="shared" ref="D6:D20" si="0">C6+B6</f>
        <v>796.97559999999999</v>
      </c>
      <c r="E6" s="24">
        <v>0</v>
      </c>
      <c r="F6" s="25">
        <v>0</v>
      </c>
      <c r="G6" s="26">
        <v>0</v>
      </c>
      <c r="H6" s="6">
        <v>6.5457000000000001</v>
      </c>
      <c r="I6" s="35">
        <f t="shared" ref="I6:I20" si="1">H6+B6</f>
        <v>798.35199999999998</v>
      </c>
      <c r="J6" s="24">
        <v>0</v>
      </c>
      <c r="K6" s="25">
        <v>0</v>
      </c>
      <c r="L6" s="26">
        <v>0</v>
      </c>
      <c r="M6" s="6">
        <v>5.0382999999999996</v>
      </c>
      <c r="N6" s="35">
        <f t="shared" ref="N6:N20" si="2">M6+B6</f>
        <v>796.84460000000001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44781</v>
      </c>
      <c r="T6" s="42">
        <v>8.8087</v>
      </c>
      <c r="U6" s="43">
        <v>0</v>
      </c>
      <c r="V6" s="44">
        <v>0</v>
      </c>
      <c r="W6" s="45">
        <f>U6/(S6-S11)</f>
        <v>0</v>
      </c>
      <c r="X6" s="29">
        <v>11.885899999999999</v>
      </c>
      <c r="Y6" s="43">
        <v>0</v>
      </c>
      <c r="Z6" s="44">
        <v>0</v>
      </c>
      <c r="AA6" s="45">
        <v>0</v>
      </c>
      <c r="AB6" s="49">
        <v>8.2375000000000007</v>
      </c>
      <c r="AC6" s="43">
        <v>0</v>
      </c>
      <c r="AD6" s="44">
        <v>0</v>
      </c>
      <c r="AE6" s="45">
        <v>0</v>
      </c>
      <c r="AF6" s="50">
        <v>80142</v>
      </c>
      <c r="AG6" s="58">
        <f>AF6-80134</f>
        <v>8</v>
      </c>
      <c r="AH6" s="59"/>
      <c r="AI6" s="60"/>
      <c r="AJ6" s="61"/>
      <c r="AK6" s="62"/>
      <c r="AL6" s="52"/>
      <c r="AM6" s="52"/>
    </row>
    <row r="7" spans="1:48">
      <c r="A7" s="21">
        <v>44782</v>
      </c>
      <c r="B7" s="22">
        <v>791.80629999999996</v>
      </c>
      <c r="C7" s="27">
        <v>5.1689999999999996</v>
      </c>
      <c r="D7" s="23">
        <f t="shared" si="0"/>
        <v>796.97529999999995</v>
      </c>
      <c r="E7" s="24">
        <f t="shared" ref="E7:E20" si="4">(D7-D6)*1000</f>
        <v>-0.30000000003838101</v>
      </c>
      <c r="F7" s="25">
        <f t="shared" ref="F7:F20" si="5">F6+E7</f>
        <v>-0.30000000003838101</v>
      </c>
      <c r="G7" s="26">
        <f t="shared" ref="G7:G20" si="6">E7/(A7-A6)</f>
        <v>-0.30000000003838101</v>
      </c>
      <c r="H7" s="6">
        <v>6.5454999999999997</v>
      </c>
      <c r="I7" s="35">
        <f t="shared" si="1"/>
        <v>798.35180000000003</v>
      </c>
      <c r="J7" s="24">
        <f t="shared" ref="J7:J20" si="7">(I7-I6)*1000</f>
        <v>-0.20000000006348301</v>
      </c>
      <c r="K7" s="25">
        <f t="shared" ref="K7:K20" si="8">K6+J7</f>
        <v>-0.20000000006348301</v>
      </c>
      <c r="L7" s="26">
        <f t="shared" ref="L7:L20" si="9">J7/(A7-A6)</f>
        <v>-0.20000000006348301</v>
      </c>
      <c r="M7" s="6">
        <v>5.0381</v>
      </c>
      <c r="N7" s="35">
        <f t="shared" si="2"/>
        <v>796.84439999999995</v>
      </c>
      <c r="O7" s="24">
        <f t="shared" ref="O7:O20" si="10">(N7-N6)*1000</f>
        <v>-0.20000000006348301</v>
      </c>
      <c r="P7" s="25">
        <f t="shared" ref="P7:P20" si="11">P6+O7</f>
        <v>-0.20000000006348301</v>
      </c>
      <c r="Q7" s="26">
        <f t="shared" ref="Q7:Q20" si="12">O7/(A7-A6)</f>
        <v>-0.20000000006348301</v>
      </c>
      <c r="R7" s="41"/>
      <c r="S7" s="21">
        <f t="shared" si="3"/>
        <v>44782</v>
      </c>
      <c r="T7" s="42">
        <v>8.8085000000000004</v>
      </c>
      <c r="U7" s="43">
        <f t="shared" ref="U7:U18" si="13">(T7-T6)*1000</f>
        <v>-0.19999999999953399</v>
      </c>
      <c r="V7" s="44">
        <f t="shared" ref="V7:V18" si="14">V6+U7</f>
        <v>-0.19999999999953399</v>
      </c>
      <c r="W7" s="45">
        <f t="shared" ref="W7:W18" si="15">U7/(S6-S7)</f>
        <v>0.19999999999953399</v>
      </c>
      <c r="X7" s="29">
        <v>11.885300000000001</v>
      </c>
      <c r="Y7" s="43">
        <f t="shared" ref="Y7:Y18" si="16">(X7-X6)*1000</f>
        <v>-0.59999999999860198</v>
      </c>
      <c r="Z7" s="44">
        <f t="shared" ref="Z7:Z18" si="17">Z6+Y7</f>
        <v>-0.59999999999860198</v>
      </c>
      <c r="AA7" s="45">
        <f t="shared" ref="AA7:AA18" si="18">Y7/(S7-S6)</f>
        <v>-0.59999999999860198</v>
      </c>
      <c r="AB7" s="49">
        <v>8.2372999999999994</v>
      </c>
      <c r="AC7" s="43">
        <f t="shared" ref="AC7:AC18" si="19">(AB7-AB6)*1000</f>
        <v>-0.20000000000130999</v>
      </c>
      <c r="AD7" s="44">
        <f t="shared" ref="AD7:AD18" si="20">AD6+AC7</f>
        <v>-0.20000000000130999</v>
      </c>
      <c r="AE7" s="45">
        <f t="shared" ref="AE7:AE18" si="21">AC7/(S7-S6)</f>
        <v>-0.20000000000130999</v>
      </c>
      <c r="AF7" s="50">
        <v>80148</v>
      </c>
      <c r="AG7" s="58">
        <f t="shared" ref="AG7:AG18" si="22">AF7-80134</f>
        <v>14</v>
      </c>
      <c r="AH7" s="59"/>
      <c r="AI7" s="60"/>
      <c r="AJ7" s="61"/>
      <c r="AK7" s="62"/>
      <c r="AL7" s="52"/>
      <c r="AM7" s="52"/>
    </row>
    <row r="8" spans="1:48">
      <c r="A8" s="21">
        <v>44783</v>
      </c>
      <c r="B8" s="22">
        <v>791.80629999999996</v>
      </c>
      <c r="C8" s="27">
        <v>5.1688000000000001</v>
      </c>
      <c r="D8" s="23">
        <f t="shared" si="0"/>
        <v>796.9751</v>
      </c>
      <c r="E8" s="24">
        <f t="shared" si="4"/>
        <v>-0.199999999949796</v>
      </c>
      <c r="F8" s="25">
        <f t="shared" si="5"/>
        <v>-0.49999999998817701</v>
      </c>
      <c r="G8" s="26">
        <f t="shared" si="6"/>
        <v>-0.199999999949796</v>
      </c>
      <c r="H8" s="6">
        <v>6.5452000000000004</v>
      </c>
      <c r="I8" s="35">
        <f t="shared" si="1"/>
        <v>798.35149999999999</v>
      </c>
      <c r="J8" s="24">
        <f t="shared" si="7"/>
        <v>-0.29999999992469401</v>
      </c>
      <c r="K8" s="25">
        <f t="shared" si="8"/>
        <v>-0.49999999998817701</v>
      </c>
      <c r="L8" s="26">
        <f t="shared" si="9"/>
        <v>-0.29999999992469401</v>
      </c>
      <c r="M8" s="6">
        <v>5.0381999999999998</v>
      </c>
      <c r="N8" s="35">
        <f t="shared" si="2"/>
        <v>796.84450000000004</v>
      </c>
      <c r="O8" s="24">
        <f t="shared" si="10"/>
        <v>9.9999999974897905E-2</v>
      </c>
      <c r="P8" s="25">
        <f t="shared" si="11"/>
        <v>-0.10000000008858501</v>
      </c>
      <c r="Q8" s="26">
        <f t="shared" si="12"/>
        <v>9.9999999974897905E-2</v>
      </c>
      <c r="R8" s="41"/>
      <c r="S8" s="21">
        <f t="shared" si="3"/>
        <v>44783</v>
      </c>
      <c r="T8" s="42">
        <v>8.8081999999999994</v>
      </c>
      <c r="U8" s="43">
        <f t="shared" si="13"/>
        <v>-0.30000000000107702</v>
      </c>
      <c r="V8" s="44">
        <f t="shared" si="14"/>
        <v>-0.50000000000061096</v>
      </c>
      <c r="W8" s="45">
        <f t="shared" si="15"/>
        <v>0.30000000000107702</v>
      </c>
      <c r="X8" s="29">
        <v>11.8855</v>
      </c>
      <c r="Y8" s="43">
        <f t="shared" si="16"/>
        <v>0.19999999999953399</v>
      </c>
      <c r="Z8" s="44">
        <f t="shared" si="17"/>
        <v>-0.39999999999906799</v>
      </c>
      <c r="AA8" s="45">
        <f t="shared" si="18"/>
        <v>0.19999999999953399</v>
      </c>
      <c r="AB8" s="49">
        <v>8.2373999999999992</v>
      </c>
      <c r="AC8" s="43">
        <f t="shared" si="19"/>
        <v>9.99999999997669E-2</v>
      </c>
      <c r="AD8" s="44">
        <f t="shared" si="20"/>
        <v>-0.10000000000154299</v>
      </c>
      <c r="AE8" s="45">
        <f t="shared" si="21"/>
        <v>9.99999999997669E-2</v>
      </c>
      <c r="AF8" s="50">
        <v>80154</v>
      </c>
      <c r="AG8" s="58">
        <f t="shared" si="22"/>
        <v>20</v>
      </c>
      <c r="AH8" s="59"/>
      <c r="AI8" s="60"/>
      <c r="AJ8" s="61"/>
      <c r="AK8" s="62"/>
      <c r="AL8" s="52"/>
      <c r="AM8" s="52"/>
    </row>
    <row r="9" spans="1:48">
      <c r="A9" s="21">
        <v>44784</v>
      </c>
      <c r="B9" s="22">
        <v>791.80629999999996</v>
      </c>
      <c r="C9" s="27">
        <v>5.1684000000000001</v>
      </c>
      <c r="D9" s="23">
        <f t="shared" si="0"/>
        <v>796.97469999999998</v>
      </c>
      <c r="E9" s="24">
        <f t="shared" si="4"/>
        <v>-0.40000000001327901</v>
      </c>
      <c r="F9" s="25">
        <f t="shared" si="5"/>
        <v>-0.90000000000145497</v>
      </c>
      <c r="G9" s="26">
        <f t="shared" si="6"/>
        <v>-0.40000000001327901</v>
      </c>
      <c r="H9" s="6">
        <v>6.5450999999999997</v>
      </c>
      <c r="I9" s="35">
        <f t="shared" si="1"/>
        <v>798.35140000000001</v>
      </c>
      <c r="J9" s="24">
        <f t="shared" si="7"/>
        <v>-9.9999999974897905E-2</v>
      </c>
      <c r="K9" s="25">
        <f t="shared" si="8"/>
        <v>-0.59999999996307496</v>
      </c>
      <c r="L9" s="26">
        <f t="shared" si="9"/>
        <v>-9.9999999974897905E-2</v>
      </c>
      <c r="M9" s="6">
        <v>5.0380000000000003</v>
      </c>
      <c r="N9" s="35">
        <f t="shared" si="2"/>
        <v>796.84429999999998</v>
      </c>
      <c r="O9" s="24">
        <f t="shared" si="10"/>
        <v>-0.199999999949796</v>
      </c>
      <c r="P9" s="25">
        <f t="shared" si="11"/>
        <v>-0.30000000003838101</v>
      </c>
      <c r="Q9" s="26">
        <f t="shared" si="12"/>
        <v>-0.199999999949796</v>
      </c>
      <c r="R9" s="41"/>
      <c r="S9" s="21">
        <f t="shared" si="3"/>
        <v>44784</v>
      </c>
      <c r="T9" s="42">
        <v>8.8080999999999996</v>
      </c>
      <c r="U9" s="43">
        <f t="shared" si="13"/>
        <v>-9.99999999997669E-2</v>
      </c>
      <c r="V9" s="44">
        <f t="shared" si="14"/>
        <v>-0.60000000000037801</v>
      </c>
      <c r="W9" s="45">
        <f t="shared" si="15"/>
        <v>9.99999999997669E-2</v>
      </c>
      <c r="X9" s="29">
        <v>11.885199999999999</v>
      </c>
      <c r="Y9" s="43">
        <f t="shared" si="16"/>
        <v>-0.30000000000107702</v>
      </c>
      <c r="Z9" s="44">
        <f t="shared" si="17"/>
        <v>-0.70000000000014495</v>
      </c>
      <c r="AA9" s="45">
        <f t="shared" si="18"/>
        <v>-0.30000000000107702</v>
      </c>
      <c r="AB9" s="49">
        <v>8.2371999999999996</v>
      </c>
      <c r="AC9" s="43">
        <f t="shared" si="19"/>
        <v>-0.19999999999953399</v>
      </c>
      <c r="AD9" s="44">
        <f t="shared" si="20"/>
        <v>-0.30000000000107702</v>
      </c>
      <c r="AE9" s="45">
        <f t="shared" si="21"/>
        <v>-0.19999999999953399</v>
      </c>
      <c r="AF9" s="50">
        <v>80160</v>
      </c>
      <c r="AG9" s="58">
        <f t="shared" si="22"/>
        <v>26</v>
      </c>
      <c r="AH9" s="61"/>
      <c r="AI9" s="60"/>
      <c r="AJ9"/>
      <c r="AK9"/>
      <c r="AL9"/>
      <c r="AM9"/>
    </row>
    <row r="10" spans="1:48">
      <c r="A10" s="21">
        <v>44785</v>
      </c>
      <c r="B10" s="22">
        <v>791.80629999999996</v>
      </c>
      <c r="C10" s="27">
        <v>5.1684999999999999</v>
      </c>
      <c r="D10" s="23">
        <f t="shared" si="0"/>
        <v>796.97479999999996</v>
      </c>
      <c r="E10" s="24">
        <f t="shared" si="4"/>
        <v>9.9999999974897905E-2</v>
      </c>
      <c r="F10" s="25">
        <f t="shared" si="5"/>
        <v>-0.80000000002655702</v>
      </c>
      <c r="G10" s="26">
        <f t="shared" si="6"/>
        <v>9.9999999974897905E-2</v>
      </c>
      <c r="H10" s="6">
        <v>6.5449000000000002</v>
      </c>
      <c r="I10" s="35">
        <f t="shared" si="1"/>
        <v>798.35119999999995</v>
      </c>
      <c r="J10" s="24">
        <f t="shared" si="7"/>
        <v>-0.20000000006348301</v>
      </c>
      <c r="K10" s="25">
        <f t="shared" si="8"/>
        <v>-0.80000000002655702</v>
      </c>
      <c r="L10" s="26">
        <f t="shared" si="9"/>
        <v>-0.20000000006348301</v>
      </c>
      <c r="M10" s="6">
        <v>5.0377999999999998</v>
      </c>
      <c r="N10" s="35">
        <f t="shared" si="2"/>
        <v>796.84410000000003</v>
      </c>
      <c r="O10" s="24">
        <f t="shared" si="10"/>
        <v>-0.20000000006348301</v>
      </c>
      <c r="P10" s="25">
        <f t="shared" si="11"/>
        <v>-0.50000000010186296</v>
      </c>
      <c r="Q10" s="26">
        <f t="shared" si="12"/>
        <v>-0.20000000006348301</v>
      </c>
      <c r="R10" s="41"/>
      <c r="S10" s="21">
        <f t="shared" si="3"/>
        <v>44785</v>
      </c>
      <c r="T10" s="42">
        <v>8.8079000000000001</v>
      </c>
      <c r="U10" s="43">
        <f t="shared" si="13"/>
        <v>-0.19999999999953399</v>
      </c>
      <c r="V10" s="44">
        <f t="shared" si="14"/>
        <v>-0.799999999999912</v>
      </c>
      <c r="W10" s="45">
        <f t="shared" si="15"/>
        <v>0.19999999999953399</v>
      </c>
      <c r="X10" s="29">
        <v>11.885</v>
      </c>
      <c r="Y10" s="43">
        <f t="shared" si="16"/>
        <v>-0.19999999999953399</v>
      </c>
      <c r="Z10" s="44">
        <f t="shared" si="17"/>
        <v>-0.89999999999967895</v>
      </c>
      <c r="AA10" s="45">
        <f t="shared" si="18"/>
        <v>-0.19999999999953399</v>
      </c>
      <c r="AB10" s="49">
        <v>8.2370000000000001</v>
      </c>
      <c r="AC10" s="43">
        <f t="shared" si="19"/>
        <v>-0.19999999999953399</v>
      </c>
      <c r="AD10" s="44">
        <f t="shared" si="20"/>
        <v>-0.50000000000061096</v>
      </c>
      <c r="AE10" s="45">
        <f t="shared" si="21"/>
        <v>-0.19999999999953399</v>
      </c>
      <c r="AF10" s="50">
        <v>80160</v>
      </c>
      <c r="AG10" s="58">
        <f t="shared" si="22"/>
        <v>26</v>
      </c>
      <c r="AH10" s="59"/>
      <c r="AI10" s="60"/>
      <c r="AJ10" s="61"/>
      <c r="AK10" s="62"/>
      <c r="AL10" s="52"/>
      <c r="AM10" s="52"/>
    </row>
    <row r="11" spans="1:48">
      <c r="A11" s="21">
        <v>44786</v>
      </c>
      <c r="B11" s="22">
        <v>791.80629999999996</v>
      </c>
      <c r="C11" s="27">
        <v>5.1683000000000003</v>
      </c>
      <c r="D11" s="23">
        <f t="shared" si="0"/>
        <v>796.97460000000001</v>
      </c>
      <c r="E11" s="24">
        <f t="shared" si="4"/>
        <v>-0.199999999949796</v>
      </c>
      <c r="F11" s="25">
        <f t="shared" si="5"/>
        <v>-0.99999999997635303</v>
      </c>
      <c r="G11" s="26">
        <f t="shared" si="6"/>
        <v>-0.199999999949796</v>
      </c>
      <c r="H11" s="6">
        <v>6.5449999999999999</v>
      </c>
      <c r="I11" s="35">
        <f t="shared" si="1"/>
        <v>798.35130000000004</v>
      </c>
      <c r="J11" s="24">
        <f t="shared" si="7"/>
        <v>9.9999999974897905E-2</v>
      </c>
      <c r="K11" s="25">
        <f t="shared" si="8"/>
        <v>-0.70000000005165897</v>
      </c>
      <c r="L11" s="26">
        <f t="shared" si="9"/>
        <v>9.9999999974897905E-2</v>
      </c>
      <c r="M11" s="6">
        <v>5.0377000000000001</v>
      </c>
      <c r="N11" s="35">
        <f t="shared" si="2"/>
        <v>796.84400000000005</v>
      </c>
      <c r="O11" s="24">
        <f t="shared" si="10"/>
        <v>-9.9999999974897905E-2</v>
      </c>
      <c r="P11" s="25">
        <f t="shared" si="11"/>
        <v>-0.60000000007676102</v>
      </c>
      <c r="Q11" s="26">
        <f t="shared" si="12"/>
        <v>-9.9999999974897905E-2</v>
      </c>
      <c r="R11" s="41"/>
      <c r="S11" s="21">
        <f t="shared" si="3"/>
        <v>44786</v>
      </c>
      <c r="T11" s="42">
        <v>8.8079999999999998</v>
      </c>
      <c r="U11" s="43">
        <f t="shared" si="13"/>
        <v>9.99999999997669E-2</v>
      </c>
      <c r="V11" s="44">
        <f t="shared" si="14"/>
        <v>-0.70000000000014495</v>
      </c>
      <c r="W11" s="45">
        <f t="shared" si="15"/>
        <v>-9.99999999997669E-2</v>
      </c>
      <c r="X11" s="29">
        <v>11.8848</v>
      </c>
      <c r="Y11" s="43">
        <f t="shared" si="16"/>
        <v>-0.19999999999953399</v>
      </c>
      <c r="Z11" s="44">
        <f t="shared" si="17"/>
        <v>-1.0999999999992101</v>
      </c>
      <c r="AA11" s="45">
        <f t="shared" si="18"/>
        <v>-0.19999999999953399</v>
      </c>
      <c r="AB11" s="49">
        <v>8.2370999999999999</v>
      </c>
      <c r="AC11" s="43">
        <f t="shared" si="19"/>
        <v>9.99999999997669E-2</v>
      </c>
      <c r="AD11" s="44">
        <f t="shared" si="20"/>
        <v>-0.40000000000084401</v>
      </c>
      <c r="AE11" s="45">
        <f t="shared" si="21"/>
        <v>9.99999999997669E-2</v>
      </c>
      <c r="AF11" s="50">
        <v>80165</v>
      </c>
      <c r="AG11" s="58">
        <f t="shared" si="22"/>
        <v>31</v>
      </c>
      <c r="AH11" s="61"/>
      <c r="AI11" s="60"/>
      <c r="AJ11"/>
      <c r="AK11"/>
      <c r="AL11"/>
      <c r="AM11"/>
    </row>
    <row r="12" spans="1:48">
      <c r="A12" s="21">
        <v>44787</v>
      </c>
      <c r="B12" s="22">
        <v>791.80629999999996</v>
      </c>
      <c r="C12" s="27">
        <v>5.1680000000000001</v>
      </c>
      <c r="D12" s="23">
        <f t="shared" si="0"/>
        <v>796.97429999999997</v>
      </c>
      <c r="E12" s="24">
        <f t="shared" si="4"/>
        <v>-0.30000000003838101</v>
      </c>
      <c r="F12" s="25">
        <f t="shared" si="5"/>
        <v>-1.30000000001473</v>
      </c>
      <c r="G12" s="26">
        <f t="shared" si="6"/>
        <v>-0.30000000003838101</v>
      </c>
      <c r="H12" s="6">
        <v>6.5450999999999997</v>
      </c>
      <c r="I12" s="35">
        <f t="shared" si="1"/>
        <v>798.35140000000001</v>
      </c>
      <c r="J12" s="24">
        <f t="shared" si="7"/>
        <v>0.10000000008858501</v>
      </c>
      <c r="K12" s="25">
        <f t="shared" si="8"/>
        <v>-0.59999999996307496</v>
      </c>
      <c r="L12" s="26">
        <f t="shared" si="9"/>
        <v>0.10000000008858501</v>
      </c>
      <c r="M12" s="6">
        <v>5.0373999999999999</v>
      </c>
      <c r="N12" s="35">
        <f t="shared" si="2"/>
        <v>796.84370000000001</v>
      </c>
      <c r="O12" s="24">
        <f t="shared" si="10"/>
        <v>-0.29999999992469401</v>
      </c>
      <c r="P12" s="25">
        <f t="shared" si="11"/>
        <v>-0.90000000000145497</v>
      </c>
      <c r="Q12" s="26">
        <f t="shared" si="12"/>
        <v>-0.29999999992469401</v>
      </c>
      <c r="R12" s="41"/>
      <c r="S12" s="21">
        <f t="shared" si="3"/>
        <v>44787</v>
      </c>
      <c r="T12" s="42">
        <v>8.8074999999999992</v>
      </c>
      <c r="U12" s="43">
        <f t="shared" si="13"/>
        <v>-0.50000000000061096</v>
      </c>
      <c r="V12" s="44">
        <f t="shared" si="14"/>
        <v>-1.20000000000076</v>
      </c>
      <c r="W12" s="45">
        <f t="shared" si="15"/>
        <v>0.50000000000061096</v>
      </c>
      <c r="X12" s="29">
        <v>11.8849</v>
      </c>
      <c r="Y12" s="43">
        <f t="shared" si="16"/>
        <v>9.99999999997669E-2</v>
      </c>
      <c r="Z12" s="44">
        <f t="shared" si="17"/>
        <v>-0.999999999999446</v>
      </c>
      <c r="AA12" s="45">
        <f t="shared" si="18"/>
        <v>9.99999999997669E-2</v>
      </c>
      <c r="AB12" s="49">
        <v>8.2365999999999993</v>
      </c>
      <c r="AC12" s="43">
        <f t="shared" si="19"/>
        <v>-0.50000000000061096</v>
      </c>
      <c r="AD12" s="44">
        <f t="shared" si="20"/>
        <v>-0.90000000000145497</v>
      </c>
      <c r="AE12" s="45">
        <f t="shared" si="21"/>
        <v>-0.50000000000061096</v>
      </c>
      <c r="AF12" s="50">
        <v>80171</v>
      </c>
      <c r="AG12" s="58">
        <f t="shared" si="22"/>
        <v>37</v>
      </c>
      <c r="AH12" s="59"/>
      <c r="AI12" s="60"/>
      <c r="AJ12"/>
      <c r="AK12"/>
      <c r="AL12"/>
      <c r="AM12"/>
    </row>
    <row r="13" spans="1:48">
      <c r="A13" s="21">
        <v>44788</v>
      </c>
      <c r="B13" s="22">
        <v>791.80629999999996</v>
      </c>
      <c r="C13" s="27">
        <v>5.1677999999999997</v>
      </c>
      <c r="D13" s="23">
        <f t="shared" si="0"/>
        <v>796.97410000000002</v>
      </c>
      <c r="E13" s="24">
        <f t="shared" si="4"/>
        <v>-0.20000000006348301</v>
      </c>
      <c r="F13" s="25">
        <f t="shared" si="5"/>
        <v>-1.5000000000782201</v>
      </c>
      <c r="G13" s="26">
        <f t="shared" si="6"/>
        <v>-0.20000000006348301</v>
      </c>
      <c r="H13" s="6">
        <v>6.5442999999999998</v>
      </c>
      <c r="I13" s="35">
        <f t="shared" si="1"/>
        <v>798.35059999999999</v>
      </c>
      <c r="J13" s="24">
        <f t="shared" si="7"/>
        <v>-0.80000000002655702</v>
      </c>
      <c r="K13" s="25">
        <f t="shared" si="8"/>
        <v>-1.39999999998963</v>
      </c>
      <c r="L13" s="26">
        <f t="shared" si="9"/>
        <v>-0.80000000002655702</v>
      </c>
      <c r="M13" s="6">
        <v>5.0372000000000003</v>
      </c>
      <c r="N13" s="35">
        <f t="shared" si="2"/>
        <v>796.84349999999995</v>
      </c>
      <c r="O13" s="24">
        <f t="shared" si="10"/>
        <v>-0.20000000006348301</v>
      </c>
      <c r="P13" s="25">
        <f t="shared" si="11"/>
        <v>-1.1000000000649399</v>
      </c>
      <c r="Q13" s="26">
        <f t="shared" si="12"/>
        <v>-0.20000000006348301</v>
      </c>
      <c r="R13" s="41"/>
      <c r="S13" s="21">
        <f t="shared" si="3"/>
        <v>44788</v>
      </c>
      <c r="T13" s="42">
        <v>8.8072999999999997</v>
      </c>
      <c r="U13" s="43">
        <f t="shared" si="13"/>
        <v>-0.19999999999953399</v>
      </c>
      <c r="V13" s="44">
        <f t="shared" si="14"/>
        <v>-1.4000000000002899</v>
      </c>
      <c r="W13" s="45">
        <f t="shared" si="15"/>
        <v>0.19999999999953399</v>
      </c>
      <c r="X13" s="29">
        <v>11.884399999999999</v>
      </c>
      <c r="Y13" s="43">
        <f t="shared" si="16"/>
        <v>-0.50000000000061096</v>
      </c>
      <c r="Z13" s="44">
        <f t="shared" si="17"/>
        <v>-1.50000000000006</v>
      </c>
      <c r="AA13" s="45">
        <f t="shared" si="18"/>
        <v>-0.50000000000061096</v>
      </c>
      <c r="AB13" s="49">
        <v>8.2363999999999997</v>
      </c>
      <c r="AC13" s="43">
        <f t="shared" si="19"/>
        <v>-0.19999999999953399</v>
      </c>
      <c r="AD13" s="44">
        <f t="shared" si="20"/>
        <v>-1.10000000000099</v>
      </c>
      <c r="AE13" s="45">
        <f t="shared" si="21"/>
        <v>-0.19999999999953399</v>
      </c>
      <c r="AF13" s="50">
        <v>80177</v>
      </c>
      <c r="AG13" s="58">
        <f t="shared" si="22"/>
        <v>43</v>
      </c>
      <c r="AH13" s="61"/>
      <c r="AI13" s="60"/>
      <c r="AJ13"/>
      <c r="AK13"/>
      <c r="AL13"/>
      <c r="AM13"/>
    </row>
    <row r="14" spans="1:48">
      <c r="A14" s="21">
        <v>44789</v>
      </c>
      <c r="B14" s="22">
        <v>791.80629999999996</v>
      </c>
      <c r="C14" s="27">
        <v>5.1677</v>
      </c>
      <c r="D14" s="23">
        <f t="shared" si="0"/>
        <v>796.97400000000005</v>
      </c>
      <c r="E14" s="24">
        <f t="shared" si="4"/>
        <v>-9.9999999974897905E-2</v>
      </c>
      <c r="F14" s="25">
        <f t="shared" si="5"/>
        <v>-1.60000000005311</v>
      </c>
      <c r="G14" s="26">
        <f t="shared" si="6"/>
        <v>-9.9999999974897905E-2</v>
      </c>
      <c r="H14" s="6">
        <v>6.5441000000000003</v>
      </c>
      <c r="I14" s="35">
        <f t="shared" si="1"/>
        <v>798.35040000000004</v>
      </c>
      <c r="J14" s="24">
        <f t="shared" si="7"/>
        <v>-0.20000000006348301</v>
      </c>
      <c r="K14" s="25">
        <f t="shared" si="8"/>
        <v>-1.60000000005311</v>
      </c>
      <c r="L14" s="26">
        <f t="shared" si="9"/>
        <v>-0.20000000006348301</v>
      </c>
      <c r="M14" s="6">
        <v>5.0369999999999999</v>
      </c>
      <c r="N14" s="35">
        <f t="shared" si="2"/>
        <v>796.8433</v>
      </c>
      <c r="O14" s="24">
        <f t="shared" si="10"/>
        <v>-0.199999999949796</v>
      </c>
      <c r="P14" s="25">
        <f t="shared" si="11"/>
        <v>-1.30000000001473</v>
      </c>
      <c r="Q14" s="26">
        <f t="shared" si="12"/>
        <v>-0.199999999949796</v>
      </c>
      <c r="R14" s="41"/>
      <c r="S14" s="21">
        <f t="shared" si="3"/>
        <v>44789</v>
      </c>
      <c r="T14" s="42">
        <v>8.8071000000000002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29">
        <v>11.8842</v>
      </c>
      <c r="Y14" s="43">
        <f t="shared" si="16"/>
        <v>-0.19999999999953399</v>
      </c>
      <c r="Z14" s="44">
        <f t="shared" si="17"/>
        <v>-1.6999999999995901</v>
      </c>
      <c r="AA14" s="45">
        <f t="shared" si="18"/>
        <v>-0.19999999999953399</v>
      </c>
      <c r="AB14" s="49">
        <v>8.2364999999999995</v>
      </c>
      <c r="AC14" s="43">
        <f t="shared" si="19"/>
        <v>9.99999999997669E-2</v>
      </c>
      <c r="AD14" s="44">
        <f t="shared" si="20"/>
        <v>-1.0000000000012199</v>
      </c>
      <c r="AE14" s="45">
        <f t="shared" si="21"/>
        <v>9.99999999997669E-2</v>
      </c>
      <c r="AF14" s="50">
        <v>80183</v>
      </c>
      <c r="AG14" s="58">
        <f t="shared" si="22"/>
        <v>49</v>
      </c>
      <c r="AH14" s="59"/>
      <c r="AI14" s="60"/>
      <c r="AJ14"/>
      <c r="AK14"/>
      <c r="AL14"/>
      <c r="AM14"/>
    </row>
    <row r="15" spans="1:48">
      <c r="A15" s="21">
        <v>44790</v>
      </c>
      <c r="B15" s="22">
        <v>791.80629999999996</v>
      </c>
      <c r="C15" s="27">
        <v>5.1673999999999998</v>
      </c>
      <c r="D15" s="23">
        <f t="shared" si="0"/>
        <v>796.97370000000001</v>
      </c>
      <c r="E15" s="24">
        <f t="shared" si="4"/>
        <v>-0.29999999992469401</v>
      </c>
      <c r="F15" s="25">
        <f t="shared" si="5"/>
        <v>-1.8999999999778101</v>
      </c>
      <c r="G15" s="26">
        <f t="shared" si="6"/>
        <v>-0.29999999992469401</v>
      </c>
      <c r="H15" s="6">
        <v>6.5438999999999998</v>
      </c>
      <c r="I15" s="35">
        <f t="shared" si="1"/>
        <v>798.35019999999997</v>
      </c>
      <c r="J15" s="24">
        <f t="shared" si="7"/>
        <v>-0.199999999949796</v>
      </c>
      <c r="K15" s="25">
        <f t="shared" si="8"/>
        <v>-1.8000000000029099</v>
      </c>
      <c r="L15" s="26">
        <f t="shared" si="9"/>
        <v>-0.199999999949796</v>
      </c>
      <c r="M15" s="6">
        <v>5.0369999999999999</v>
      </c>
      <c r="N15" s="35">
        <f t="shared" si="2"/>
        <v>796.8433</v>
      </c>
      <c r="O15" s="24">
        <f t="shared" si="10"/>
        <v>0</v>
      </c>
      <c r="P15" s="25">
        <f t="shared" si="11"/>
        <v>-1.30000000001473</v>
      </c>
      <c r="Q15" s="26">
        <f t="shared" si="12"/>
        <v>0</v>
      </c>
      <c r="R15" s="41"/>
      <c r="S15" s="21">
        <f t="shared" si="3"/>
        <v>44790</v>
      </c>
      <c r="T15" s="42">
        <v>8.8071999999999999</v>
      </c>
      <c r="U15" s="43">
        <f t="shared" si="13"/>
        <v>9.99999999997669E-2</v>
      </c>
      <c r="V15" s="44">
        <f t="shared" si="14"/>
        <v>-1.50000000000006</v>
      </c>
      <c r="W15" s="45">
        <f t="shared" si="15"/>
        <v>-9.99999999997669E-2</v>
      </c>
      <c r="X15" s="29">
        <v>11.884</v>
      </c>
      <c r="Y15" s="43">
        <f t="shared" si="16"/>
        <v>-0.19999999999953399</v>
      </c>
      <c r="Z15" s="44">
        <f t="shared" si="17"/>
        <v>-1.8999999999991199</v>
      </c>
      <c r="AA15" s="45">
        <f t="shared" si="18"/>
        <v>-0.19999999999953399</v>
      </c>
      <c r="AB15" s="49">
        <v>8.2360000000000007</v>
      </c>
      <c r="AC15" s="43">
        <f t="shared" si="19"/>
        <v>-0.49999999999883499</v>
      </c>
      <c r="AD15" s="44">
        <f t="shared" si="20"/>
        <v>-1.50000000000006</v>
      </c>
      <c r="AE15" s="45">
        <f t="shared" si="21"/>
        <v>-0.49999999999883499</v>
      </c>
      <c r="AF15" s="50">
        <v>80189</v>
      </c>
      <c r="AG15" s="58">
        <f t="shared" si="22"/>
        <v>55</v>
      </c>
      <c r="AH15" s="61"/>
      <c r="AI15" s="60"/>
      <c r="AJ15"/>
      <c r="AK15"/>
      <c r="AL15"/>
      <c r="AM15"/>
    </row>
    <row r="16" spans="1:48">
      <c r="A16" s="21">
        <v>44791</v>
      </c>
      <c r="B16" s="22">
        <v>791.80629999999996</v>
      </c>
      <c r="C16" s="27">
        <v>5.1675000000000004</v>
      </c>
      <c r="D16" s="23">
        <f t="shared" si="0"/>
        <v>796.97379999999998</v>
      </c>
      <c r="E16" s="24">
        <f t="shared" si="4"/>
        <v>9.9999999974897905E-2</v>
      </c>
      <c r="F16" s="25">
        <f t="shared" si="5"/>
        <v>-1.8000000000029099</v>
      </c>
      <c r="G16" s="26">
        <f t="shared" si="6"/>
        <v>9.9999999974897905E-2</v>
      </c>
      <c r="H16" s="6">
        <v>6.5438000000000001</v>
      </c>
      <c r="I16" s="35">
        <f t="shared" si="1"/>
        <v>798.3501</v>
      </c>
      <c r="J16" s="24">
        <f t="shared" si="7"/>
        <v>-9.9999999974897905E-2</v>
      </c>
      <c r="K16" s="25">
        <f t="shared" si="8"/>
        <v>-1.8999999999778101</v>
      </c>
      <c r="L16" s="26">
        <f t="shared" si="9"/>
        <v>-9.9999999974897905E-2</v>
      </c>
      <c r="M16" s="6">
        <v>5.0366</v>
      </c>
      <c r="N16" s="35">
        <f t="shared" si="2"/>
        <v>796.84289999999999</v>
      </c>
      <c r="O16" s="24">
        <f t="shared" si="10"/>
        <v>-0.40000000001327901</v>
      </c>
      <c r="P16" s="25">
        <f t="shared" si="11"/>
        <v>-1.70000000002801</v>
      </c>
      <c r="Q16" s="26">
        <f t="shared" si="12"/>
        <v>-0.40000000001327901</v>
      </c>
      <c r="R16" s="41"/>
      <c r="S16" s="21">
        <f t="shared" si="3"/>
        <v>44791</v>
      </c>
      <c r="T16" s="42">
        <v>8.8066999999999993</v>
      </c>
      <c r="U16" s="43">
        <f t="shared" si="13"/>
        <v>-0.50000000000061096</v>
      </c>
      <c r="V16" s="44">
        <f t="shared" si="14"/>
        <v>-2.0000000000006701</v>
      </c>
      <c r="W16" s="45">
        <f t="shared" si="15"/>
        <v>0.50000000000061096</v>
      </c>
      <c r="X16" s="29">
        <v>11.8841</v>
      </c>
      <c r="Y16" s="43">
        <f t="shared" si="16"/>
        <v>9.99999999997669E-2</v>
      </c>
      <c r="Z16" s="44">
        <f t="shared" si="17"/>
        <v>-1.7999999999993599</v>
      </c>
      <c r="AA16" s="45">
        <f t="shared" si="18"/>
        <v>9.99999999997669E-2</v>
      </c>
      <c r="AB16" s="49">
        <v>8.2357999999999993</v>
      </c>
      <c r="AC16" s="43">
        <f t="shared" si="19"/>
        <v>-0.20000000000130999</v>
      </c>
      <c r="AD16" s="44">
        <f t="shared" si="20"/>
        <v>-1.70000000000137</v>
      </c>
      <c r="AE16" s="45">
        <f t="shared" si="21"/>
        <v>-0.20000000000130999</v>
      </c>
      <c r="AF16" s="50">
        <v>80195</v>
      </c>
      <c r="AG16" s="58">
        <f t="shared" si="22"/>
        <v>61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>
        <v>0.7</v>
      </c>
    </row>
    <row r="17" spans="1:48">
      <c r="A17" s="21">
        <v>44792</v>
      </c>
      <c r="B17" s="22">
        <v>791.80629999999996</v>
      </c>
      <c r="C17" s="27">
        <v>5.1672000000000002</v>
      </c>
      <c r="D17" s="23">
        <f t="shared" si="0"/>
        <v>796.97349999999994</v>
      </c>
      <c r="E17" s="24">
        <f t="shared" si="4"/>
        <v>-0.30000000003838101</v>
      </c>
      <c r="F17" s="25">
        <f t="shared" si="5"/>
        <v>-2.1000000000412902</v>
      </c>
      <c r="G17" s="26">
        <f t="shared" si="6"/>
        <v>-0.30000000003838101</v>
      </c>
      <c r="H17" s="6">
        <v>6.5434999999999999</v>
      </c>
      <c r="I17" s="35">
        <f t="shared" si="1"/>
        <v>798.34979999999996</v>
      </c>
      <c r="J17" s="24">
        <f t="shared" si="7"/>
        <v>-0.30000000003838101</v>
      </c>
      <c r="K17" s="25">
        <f t="shared" si="8"/>
        <v>-2.2000000000161899</v>
      </c>
      <c r="L17" s="26">
        <f t="shared" si="9"/>
        <v>-0.30000000003838101</v>
      </c>
      <c r="M17" s="6">
        <v>5.0364000000000004</v>
      </c>
      <c r="N17" s="35">
        <f t="shared" si="2"/>
        <v>796.84270000000004</v>
      </c>
      <c r="O17" s="24">
        <f t="shared" si="10"/>
        <v>-0.20000000006348301</v>
      </c>
      <c r="P17" s="25">
        <f t="shared" si="11"/>
        <v>-1.9000000000915001</v>
      </c>
      <c r="Q17" s="26">
        <f t="shared" si="12"/>
        <v>-0.20000000006348301</v>
      </c>
      <c r="R17" s="41"/>
      <c r="S17" s="21">
        <f t="shared" si="3"/>
        <v>44792</v>
      </c>
      <c r="T17" s="42">
        <v>8.8065000000000104</v>
      </c>
      <c r="U17" s="43">
        <f t="shared" si="13"/>
        <v>-0.19999999998887599</v>
      </c>
      <c r="V17" s="44">
        <f t="shared" si="14"/>
        <v>-2.1999999999895401</v>
      </c>
      <c r="W17" s="45">
        <f t="shared" si="15"/>
        <v>0.19999999998887599</v>
      </c>
      <c r="X17" s="29">
        <v>11.883599999999999</v>
      </c>
      <c r="Y17" s="43">
        <f t="shared" si="16"/>
        <v>-0.50000000000061096</v>
      </c>
      <c r="Z17" s="44">
        <f t="shared" si="17"/>
        <v>-2.2999999999999701</v>
      </c>
      <c r="AA17" s="45">
        <f t="shared" si="18"/>
        <v>-0.50000000000061096</v>
      </c>
      <c r="AB17" s="49">
        <v>8.2357999999999993</v>
      </c>
      <c r="AC17" s="43">
        <f t="shared" si="19"/>
        <v>0</v>
      </c>
      <c r="AD17" s="44">
        <f t="shared" si="20"/>
        <v>-1.70000000000137</v>
      </c>
      <c r="AE17" s="45">
        <f t="shared" si="21"/>
        <v>0</v>
      </c>
      <c r="AF17" s="50">
        <v>80201</v>
      </c>
      <c r="AG17" s="58">
        <f t="shared" si="22"/>
        <v>67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>
        <v>0.7</v>
      </c>
    </row>
    <row r="18" spans="1:48">
      <c r="A18" s="21">
        <v>44793</v>
      </c>
      <c r="B18" s="22">
        <v>791.80629999999996</v>
      </c>
      <c r="C18" s="27">
        <v>5.1668000000000003</v>
      </c>
      <c r="D18" s="23">
        <f t="shared" si="0"/>
        <v>796.97310000000004</v>
      </c>
      <c r="E18" s="24">
        <f t="shared" si="4"/>
        <v>-0.40000000001327901</v>
      </c>
      <c r="F18" s="25">
        <f t="shared" si="5"/>
        <v>-2.5000000000545701</v>
      </c>
      <c r="G18" s="26">
        <f t="shared" si="6"/>
        <v>-0.40000000001327901</v>
      </c>
      <c r="H18" s="6">
        <v>6.5433000000000003</v>
      </c>
      <c r="I18" s="35">
        <f t="shared" si="1"/>
        <v>798.34960000000001</v>
      </c>
      <c r="J18" s="24">
        <f t="shared" si="7"/>
        <v>-0.199999999949796</v>
      </c>
      <c r="K18" s="25">
        <f t="shared" si="8"/>
        <v>-2.39999999996598</v>
      </c>
      <c r="L18" s="26">
        <f t="shared" si="9"/>
        <v>-0.199999999949796</v>
      </c>
      <c r="M18" s="6">
        <v>5.0362</v>
      </c>
      <c r="N18" s="35">
        <f t="shared" si="2"/>
        <v>796.84249999999997</v>
      </c>
      <c r="O18" s="24">
        <f t="shared" si="10"/>
        <v>-0.199999999949796</v>
      </c>
      <c r="P18" s="25">
        <f t="shared" si="11"/>
        <v>-2.1000000000412902</v>
      </c>
      <c r="Q18" s="26">
        <f t="shared" si="12"/>
        <v>-0.199999999949796</v>
      </c>
      <c r="R18" s="41"/>
      <c r="S18" s="21">
        <f t="shared" si="3"/>
        <v>44793</v>
      </c>
      <c r="T18" s="42">
        <v>8.8064</v>
      </c>
      <c r="U18" s="43">
        <f t="shared" si="13"/>
        <v>-0.100000000010425</v>
      </c>
      <c r="V18" s="44">
        <f t="shared" si="14"/>
        <v>-2.2999999999999701</v>
      </c>
      <c r="W18" s="45">
        <f t="shared" si="15"/>
        <v>0.100000000010425</v>
      </c>
      <c r="X18" s="29">
        <v>11.8833</v>
      </c>
      <c r="Y18" s="43">
        <f t="shared" si="16"/>
        <v>-0.29999999999930099</v>
      </c>
      <c r="Z18" s="44">
        <f t="shared" si="17"/>
        <v>-2.59999999999927</v>
      </c>
      <c r="AA18" s="45">
        <f t="shared" si="18"/>
        <v>-0.29999999999930099</v>
      </c>
      <c r="AB18" s="49">
        <v>8.2354000000000003</v>
      </c>
      <c r="AC18" s="43">
        <f t="shared" si="19"/>
        <v>-0.39999999999906799</v>
      </c>
      <c r="AD18" s="44">
        <f t="shared" si="20"/>
        <v>-2.10000000000043</v>
      </c>
      <c r="AE18" s="45">
        <f t="shared" si="21"/>
        <v>-0.39999999999906799</v>
      </c>
      <c r="AF18" s="50">
        <v>80207</v>
      </c>
      <c r="AG18" s="58">
        <f t="shared" si="22"/>
        <v>73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>
        <v>0.7</v>
      </c>
    </row>
    <row r="19" spans="1:48">
      <c r="A19" s="21">
        <v>44794</v>
      </c>
      <c r="B19" s="22">
        <v>791.80629999999996</v>
      </c>
      <c r="C19" s="27">
        <v>5.1664000000000003</v>
      </c>
      <c r="D19" s="23">
        <f t="shared" si="0"/>
        <v>796.97270000000003</v>
      </c>
      <c r="E19" s="24">
        <f t="shared" si="4"/>
        <v>-0.40000000001327901</v>
      </c>
      <c r="F19" s="25">
        <f t="shared" si="5"/>
        <v>-2.9000000000678501</v>
      </c>
      <c r="G19" s="26">
        <f t="shared" si="6"/>
        <v>-0.40000000001327901</v>
      </c>
      <c r="H19" s="6">
        <v>6.5430999999999999</v>
      </c>
      <c r="I19" s="35">
        <f t="shared" si="1"/>
        <v>798.34939999999995</v>
      </c>
      <c r="J19" s="24">
        <f t="shared" si="7"/>
        <v>-0.20000000006348301</v>
      </c>
      <c r="K19" s="25">
        <f t="shared" si="8"/>
        <v>-2.6000000000294698</v>
      </c>
      <c r="L19" s="26">
        <f t="shared" si="9"/>
        <v>-0.20000000006348301</v>
      </c>
      <c r="M19" s="6">
        <v>5.0365000000000002</v>
      </c>
      <c r="N19" s="35">
        <f t="shared" si="2"/>
        <v>796.84280000000001</v>
      </c>
      <c r="O19" s="24">
        <f t="shared" si="10"/>
        <v>0.30000000003838101</v>
      </c>
      <c r="P19" s="25">
        <f t="shared" si="11"/>
        <v>-1.8000000000029099</v>
      </c>
      <c r="Q19" s="26">
        <f t="shared" si="12"/>
        <v>0.30000000003838101</v>
      </c>
      <c r="R19" s="41"/>
      <c r="S19" s="21">
        <f t="shared" ref="S19:S27" si="23">A19</f>
        <v>44794</v>
      </c>
      <c r="T19" s="42">
        <v>8.8062999999999896</v>
      </c>
      <c r="U19" s="43">
        <f t="shared" ref="U19:U25" si="24">(T19-T18)*1000</f>
        <v>-0.100000000010425</v>
      </c>
      <c r="V19" s="44">
        <f t="shared" ref="V19:V25" si="25">V18+U19</f>
        <v>-2.4000000000103898</v>
      </c>
      <c r="W19" s="45">
        <f t="shared" ref="W19:W25" si="26">U19/(S18-S19)</f>
        <v>0.100000000010425</v>
      </c>
      <c r="X19" s="29">
        <v>11.8834</v>
      </c>
      <c r="Y19" s="43">
        <f t="shared" ref="Y19:Y25" si="27">(X19-X18)*1000</f>
        <v>9.99999999997669E-2</v>
      </c>
      <c r="Z19" s="44">
        <f t="shared" ref="Z19:Z25" si="28">Z18+Y19</f>
        <v>-2.4999999999995</v>
      </c>
      <c r="AA19" s="45">
        <f t="shared" ref="AA19:AA25" si="29">Y19/(S19-S18)</f>
        <v>9.99999999997669E-2</v>
      </c>
      <c r="AB19" s="49">
        <v>8.2355</v>
      </c>
      <c r="AC19" s="43">
        <f t="shared" ref="AC19:AC25" si="30">(AB19-AB18)*1000</f>
        <v>9.99999999997669E-2</v>
      </c>
      <c r="AD19" s="44">
        <f t="shared" ref="AD19:AD25" si="31">AD18+AC19</f>
        <v>-2.0000000000006701</v>
      </c>
      <c r="AE19" s="45">
        <f t="shared" ref="AE19:AE25" si="32">AC19/(S19-S18)</f>
        <v>9.99999999997669E-2</v>
      </c>
      <c r="AF19" s="50">
        <v>80213</v>
      </c>
      <c r="AG19" s="58">
        <f t="shared" ref="AG19:AG27" si="33">AF19-80134</f>
        <v>79</v>
      </c>
      <c r="AH19" s="61"/>
      <c r="AI19" s="60"/>
      <c r="AJ19"/>
      <c r="AK19"/>
      <c r="AL19"/>
      <c r="AM19"/>
    </row>
    <row r="20" spans="1:48">
      <c r="A20" s="21">
        <v>44795</v>
      </c>
      <c r="B20" s="22">
        <v>791.80629999999996</v>
      </c>
      <c r="C20" s="27">
        <v>5.1665000000000001</v>
      </c>
      <c r="D20" s="23">
        <f t="shared" si="0"/>
        <v>796.97280000000001</v>
      </c>
      <c r="E20" s="24">
        <f t="shared" si="4"/>
        <v>0.10000000008858501</v>
      </c>
      <c r="F20" s="25">
        <f t="shared" si="5"/>
        <v>-2.79999999997926</v>
      </c>
      <c r="G20" s="26">
        <f t="shared" si="6"/>
        <v>0.10000000008858501</v>
      </c>
      <c r="H20" s="6">
        <v>6.5427999999999997</v>
      </c>
      <c r="I20" s="35">
        <f t="shared" si="1"/>
        <v>798.34910000000002</v>
      </c>
      <c r="J20" s="24">
        <f t="shared" si="7"/>
        <v>-0.30000000003838101</v>
      </c>
      <c r="K20" s="25">
        <f t="shared" si="8"/>
        <v>-2.9000000000678501</v>
      </c>
      <c r="L20" s="26">
        <f t="shared" si="9"/>
        <v>-0.30000000003838101</v>
      </c>
      <c r="M20" s="6">
        <v>5.0358000000000001</v>
      </c>
      <c r="N20" s="35">
        <f t="shared" si="2"/>
        <v>796.84209999999996</v>
      </c>
      <c r="O20" s="24">
        <f t="shared" si="10"/>
        <v>-0.70000000005165897</v>
      </c>
      <c r="P20" s="25">
        <f t="shared" si="11"/>
        <v>-2.5000000000545701</v>
      </c>
      <c r="Q20" s="26">
        <f t="shared" si="12"/>
        <v>-0.70000000005165897</v>
      </c>
      <c r="R20" s="41"/>
      <c r="S20" s="21">
        <f t="shared" si="23"/>
        <v>44795</v>
      </c>
      <c r="T20" s="42">
        <v>8.8057999999999996</v>
      </c>
      <c r="U20" s="43">
        <f t="shared" si="24"/>
        <v>-0.49999999998995298</v>
      </c>
      <c r="V20" s="44">
        <f t="shared" si="25"/>
        <v>-2.9000000000003499</v>
      </c>
      <c r="W20" s="45">
        <f t="shared" si="26"/>
        <v>0.49999999998995298</v>
      </c>
      <c r="X20" s="29">
        <v>11.8827</v>
      </c>
      <c r="Y20" s="43">
        <f t="shared" si="27"/>
        <v>-0.70000000000014495</v>
      </c>
      <c r="Z20" s="44">
        <f t="shared" si="28"/>
        <v>-3.1999999999996498</v>
      </c>
      <c r="AA20" s="45">
        <f t="shared" si="29"/>
        <v>-0.70000000000014495</v>
      </c>
      <c r="AB20" s="49">
        <v>8.2346000000000004</v>
      </c>
      <c r="AC20" s="43">
        <f t="shared" si="30"/>
        <v>-0.89999999999967895</v>
      </c>
      <c r="AD20" s="44">
        <f t="shared" si="31"/>
        <v>-2.9000000000003499</v>
      </c>
      <c r="AE20" s="45">
        <f t="shared" si="32"/>
        <v>-0.89999999999967895</v>
      </c>
      <c r="AF20" s="50">
        <v>80219</v>
      </c>
      <c r="AG20" s="58">
        <f t="shared" si="33"/>
        <v>85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44797</v>
      </c>
      <c r="B21" s="22">
        <v>791.80629999999996</v>
      </c>
      <c r="C21" s="27">
        <v>5.1656000000000004</v>
      </c>
      <c r="D21" s="23">
        <f t="shared" ref="D21:D27" si="34">C21+B21</f>
        <v>796.97190000000001</v>
      </c>
      <c r="E21" s="24">
        <f t="shared" ref="E21:E25" si="35">(D21-D20)*1000</f>
        <v>-0.90000000000145497</v>
      </c>
      <c r="F21" s="25">
        <f t="shared" ref="F21:F25" si="36">F20+E21</f>
        <v>-3.69999999998072</v>
      </c>
      <c r="G21" s="26">
        <f t="shared" ref="G21:G25" si="37">E21/(A21-A20)</f>
        <v>-0.45000000000072798</v>
      </c>
      <c r="H21" s="6">
        <v>6.5427</v>
      </c>
      <c r="I21" s="35">
        <f t="shared" ref="I21:I27" si="38">H21+B21</f>
        <v>798.34900000000005</v>
      </c>
      <c r="J21" s="24">
        <f t="shared" ref="J21:J25" si="39">(I21-I20)*1000</f>
        <v>-9.9999999974897905E-2</v>
      </c>
      <c r="K21" s="25">
        <f t="shared" ref="K21:K25" si="40">K20+J21</f>
        <v>-3.0000000000427498</v>
      </c>
      <c r="L21" s="26">
        <f t="shared" ref="L21:L25" si="41">J21/(A21-A20)</f>
        <v>-4.9999999987449001E-2</v>
      </c>
      <c r="M21" s="6">
        <v>5.0355999999999996</v>
      </c>
      <c r="N21" s="35">
        <f t="shared" ref="N21:N27" si="42">M21+B21</f>
        <v>796.84190000000001</v>
      </c>
      <c r="O21" s="24">
        <f t="shared" ref="O21:O25" si="43">(N21-N20)*1000</f>
        <v>-0.199999999949796</v>
      </c>
      <c r="P21" s="25">
        <f t="shared" ref="P21:P25" si="44">P20+O21</f>
        <v>-2.70000000000437</v>
      </c>
      <c r="Q21" s="26">
        <f t="shared" ref="Q21:Q25" si="45">O21/(A21-A20)</f>
        <v>-9.9999999974897905E-2</v>
      </c>
      <c r="R21" s="41"/>
      <c r="S21" s="21">
        <f t="shared" si="23"/>
        <v>44797</v>
      </c>
      <c r="T21" s="42">
        <v>8.8060999999999705</v>
      </c>
      <c r="U21" s="43">
        <f t="shared" si="24"/>
        <v>0.29999999997087901</v>
      </c>
      <c r="V21" s="44">
        <f t="shared" si="25"/>
        <v>-2.6000000000294698</v>
      </c>
      <c r="W21" s="45">
        <f t="shared" si="26"/>
        <v>-0.14999999998544</v>
      </c>
      <c r="X21" s="29">
        <v>11.882400000000001</v>
      </c>
      <c r="Y21" s="43">
        <f t="shared" si="27"/>
        <v>-0.29999999999930099</v>
      </c>
      <c r="Z21" s="44">
        <f t="shared" si="28"/>
        <v>-3.4999999999989502</v>
      </c>
      <c r="AA21" s="45">
        <f t="shared" si="29"/>
        <v>-0.14999999999965</v>
      </c>
      <c r="AB21" s="49">
        <v>8.2341999999999995</v>
      </c>
      <c r="AC21" s="43">
        <f t="shared" si="30"/>
        <v>-0.40000000000084401</v>
      </c>
      <c r="AD21" s="44">
        <f t="shared" si="31"/>
        <v>-3.30000000000119</v>
      </c>
      <c r="AE21" s="45">
        <f t="shared" si="32"/>
        <v>-0.20000000000042201</v>
      </c>
      <c r="AF21" s="50">
        <v>80225</v>
      </c>
      <c r="AG21" s="58">
        <f t="shared" si="33"/>
        <v>91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44799</v>
      </c>
      <c r="B22" s="22">
        <v>791.80629999999996</v>
      </c>
      <c r="C22" s="27">
        <v>5.1651999999999996</v>
      </c>
      <c r="D22" s="23">
        <f t="shared" si="34"/>
        <v>796.97149999999999</v>
      </c>
      <c r="E22" s="24">
        <f t="shared" si="35"/>
        <v>-0.40000000001327901</v>
      </c>
      <c r="F22" s="25">
        <f t="shared" si="36"/>
        <v>-4.099999999994</v>
      </c>
      <c r="G22" s="26">
        <f t="shared" si="37"/>
        <v>-0.20000000000663901</v>
      </c>
      <c r="H22" s="6">
        <v>6.5425000000000004</v>
      </c>
      <c r="I22" s="35">
        <f t="shared" si="38"/>
        <v>798.34879999999998</v>
      </c>
      <c r="J22" s="24">
        <f t="shared" si="39"/>
        <v>-0.199999999949796</v>
      </c>
      <c r="K22" s="25">
        <f t="shared" si="40"/>
        <v>-3.1999999999925399</v>
      </c>
      <c r="L22" s="26">
        <f t="shared" si="41"/>
        <v>-9.9999999974897905E-2</v>
      </c>
      <c r="M22" s="6">
        <v>5.0359999999999996</v>
      </c>
      <c r="N22" s="35">
        <f t="shared" si="42"/>
        <v>796.84230000000002</v>
      </c>
      <c r="O22" s="24">
        <f t="shared" si="43"/>
        <v>0.39999999989959201</v>
      </c>
      <c r="P22" s="25">
        <f t="shared" si="44"/>
        <v>-2.3000000001047698</v>
      </c>
      <c r="Q22" s="26">
        <f t="shared" si="45"/>
        <v>0.199999999949796</v>
      </c>
      <c r="R22" s="41"/>
      <c r="S22" s="21">
        <f t="shared" si="23"/>
        <v>44799</v>
      </c>
      <c r="T22" s="42">
        <v>8.8059999999999601</v>
      </c>
      <c r="U22" s="43">
        <f t="shared" si="24"/>
        <v>-0.100000000010425</v>
      </c>
      <c r="V22" s="44">
        <f t="shared" si="25"/>
        <v>-2.70000000003989</v>
      </c>
      <c r="W22" s="45">
        <f t="shared" si="26"/>
        <v>5.00000000052125E-2</v>
      </c>
      <c r="X22" s="29">
        <v>11.8825</v>
      </c>
      <c r="Y22" s="43">
        <f t="shared" si="27"/>
        <v>9.99999999997669E-2</v>
      </c>
      <c r="Z22" s="44">
        <f t="shared" si="28"/>
        <v>-3.3999999999991801</v>
      </c>
      <c r="AA22" s="45">
        <f t="shared" si="29"/>
        <v>4.9999999999883499E-2</v>
      </c>
      <c r="AB22" s="49">
        <v>8.2341999999999995</v>
      </c>
      <c r="AC22" s="43">
        <f t="shared" si="30"/>
        <v>0</v>
      </c>
      <c r="AD22" s="44">
        <f t="shared" si="31"/>
        <v>-3.30000000000119</v>
      </c>
      <c r="AE22" s="45">
        <f t="shared" si="32"/>
        <v>0</v>
      </c>
      <c r="AF22" s="50">
        <v>80231</v>
      </c>
      <c r="AG22" s="58">
        <f t="shared" si="33"/>
        <v>97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44801</v>
      </c>
      <c r="B23" s="22">
        <v>791.80629999999996</v>
      </c>
      <c r="C23" s="27">
        <v>5.1654999999999998</v>
      </c>
      <c r="D23" s="23">
        <f t="shared" si="34"/>
        <v>796.97180000000003</v>
      </c>
      <c r="E23" s="24">
        <f t="shared" si="35"/>
        <v>0.29999999992469401</v>
      </c>
      <c r="F23" s="25">
        <f t="shared" si="36"/>
        <v>-3.8000000000692999</v>
      </c>
      <c r="G23" s="26">
        <f t="shared" si="37"/>
        <v>0.149999999962347</v>
      </c>
      <c r="H23" s="6">
        <v>6.5423999999999998</v>
      </c>
      <c r="I23" s="35">
        <f t="shared" si="38"/>
        <v>798.34870000000001</v>
      </c>
      <c r="J23" s="24">
        <f t="shared" si="39"/>
        <v>-9.9999999974897905E-2</v>
      </c>
      <c r="K23" s="25">
        <f t="shared" si="40"/>
        <v>-3.2999999999674401</v>
      </c>
      <c r="L23" s="26">
        <f t="shared" si="41"/>
        <v>-4.9999999987449001E-2</v>
      </c>
      <c r="M23" s="6">
        <v>5.0351999999999997</v>
      </c>
      <c r="N23" s="35">
        <f t="shared" si="42"/>
        <v>796.8415</v>
      </c>
      <c r="O23" s="24">
        <f t="shared" si="43"/>
        <v>-0.79999999991286996</v>
      </c>
      <c r="P23" s="25">
        <f t="shared" si="44"/>
        <v>-3.1000000000176402</v>
      </c>
      <c r="Q23" s="26">
        <f t="shared" si="45"/>
        <v>-0.39999999995643498</v>
      </c>
      <c r="R23" s="41"/>
      <c r="S23" s="21">
        <f t="shared" si="23"/>
        <v>44801</v>
      </c>
      <c r="T23" s="42">
        <v>8.8055000000000003</v>
      </c>
      <c r="U23" s="43">
        <f t="shared" si="24"/>
        <v>-0.49999999995975503</v>
      </c>
      <c r="V23" s="44">
        <f t="shared" si="25"/>
        <v>-3.1999999999996498</v>
      </c>
      <c r="W23" s="45">
        <f t="shared" si="26"/>
        <v>0.24999999997987701</v>
      </c>
      <c r="X23" s="29">
        <v>11.8818</v>
      </c>
      <c r="Y23" s="43">
        <f t="shared" si="27"/>
        <v>-0.70000000000014495</v>
      </c>
      <c r="Z23" s="44">
        <f t="shared" si="28"/>
        <v>-4.09999999999933</v>
      </c>
      <c r="AA23" s="45">
        <f t="shared" si="29"/>
        <v>-0.35000000000007198</v>
      </c>
      <c r="AB23" s="49">
        <v>8.2339000000000002</v>
      </c>
      <c r="AC23" s="43">
        <f t="shared" si="30"/>
        <v>-0.29999999999930099</v>
      </c>
      <c r="AD23" s="44">
        <f t="shared" si="31"/>
        <v>-3.6000000000004899</v>
      </c>
      <c r="AE23" s="45">
        <f t="shared" si="32"/>
        <v>-0.14999999999965</v>
      </c>
      <c r="AF23" s="50">
        <v>80237</v>
      </c>
      <c r="AG23" s="58">
        <f t="shared" si="33"/>
        <v>103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44803</v>
      </c>
      <c r="B24" s="22">
        <v>791.80629999999996</v>
      </c>
      <c r="C24" s="27">
        <v>5.1651999999999996</v>
      </c>
      <c r="D24" s="23">
        <f t="shared" si="34"/>
        <v>796.97149999999999</v>
      </c>
      <c r="E24" s="24">
        <f t="shared" si="35"/>
        <v>-0.29999999992469401</v>
      </c>
      <c r="F24" s="25">
        <f t="shared" si="36"/>
        <v>-4.099999999994</v>
      </c>
      <c r="G24" s="26">
        <f t="shared" si="37"/>
        <v>-0.149999999962347</v>
      </c>
      <c r="H24" s="6">
        <v>6.5420999999999996</v>
      </c>
      <c r="I24" s="35">
        <f t="shared" si="38"/>
        <v>798.34839999999997</v>
      </c>
      <c r="J24" s="24">
        <f t="shared" si="39"/>
        <v>-0.30000000003838101</v>
      </c>
      <c r="K24" s="25">
        <f t="shared" si="40"/>
        <v>-3.6000000000058199</v>
      </c>
      <c r="L24" s="26">
        <f t="shared" si="41"/>
        <v>-0.15000000001919001</v>
      </c>
      <c r="M24" s="6">
        <v>5.0350000000000001</v>
      </c>
      <c r="N24" s="35">
        <f t="shared" si="42"/>
        <v>796.84130000000005</v>
      </c>
      <c r="O24" s="24">
        <f t="shared" si="43"/>
        <v>-0.20000000006348301</v>
      </c>
      <c r="P24" s="25">
        <f t="shared" si="44"/>
        <v>-3.30000000008113</v>
      </c>
      <c r="Q24" s="26">
        <f t="shared" si="45"/>
        <v>-0.100000000031741</v>
      </c>
      <c r="R24" s="41"/>
      <c r="S24" s="21">
        <f t="shared" si="23"/>
        <v>44803</v>
      </c>
      <c r="T24" s="42">
        <v>8.8057999999999392</v>
      </c>
      <c r="U24" s="43">
        <f t="shared" si="24"/>
        <v>0.29999999993890503</v>
      </c>
      <c r="V24" s="44">
        <f t="shared" si="25"/>
        <v>-2.9000000000607402</v>
      </c>
      <c r="W24" s="45">
        <f t="shared" si="26"/>
        <v>-0.14999999996945201</v>
      </c>
      <c r="X24" s="29">
        <v>11.881500000000001</v>
      </c>
      <c r="Y24" s="43">
        <f t="shared" si="27"/>
        <v>-0.29999999999930099</v>
      </c>
      <c r="Z24" s="44">
        <f t="shared" si="28"/>
        <v>-4.3999999999986299</v>
      </c>
      <c r="AA24" s="45">
        <f t="shared" si="29"/>
        <v>-0.14999999999965</v>
      </c>
      <c r="AB24" s="49">
        <v>8.2332999999999998</v>
      </c>
      <c r="AC24" s="43">
        <f t="shared" si="30"/>
        <v>-0.60000000000037801</v>
      </c>
      <c r="AD24" s="44">
        <f t="shared" si="31"/>
        <v>-4.2000000000008697</v>
      </c>
      <c r="AE24" s="45">
        <f t="shared" si="32"/>
        <v>-0.300000000000189</v>
      </c>
      <c r="AF24" s="50">
        <v>80243</v>
      </c>
      <c r="AG24" s="58">
        <f t="shared" si="33"/>
        <v>109</v>
      </c>
      <c r="AH24" s="59"/>
      <c r="AI24" s="60"/>
      <c r="AJ24" s="52"/>
      <c r="AK24" s="52"/>
      <c r="AL24" s="52"/>
      <c r="AM24" s="52"/>
    </row>
    <row r="25" spans="1:48">
      <c r="A25" s="21">
        <v>44805</v>
      </c>
      <c r="B25" s="22">
        <v>791.80629999999996</v>
      </c>
      <c r="C25" s="27">
        <v>5.1650999999999998</v>
      </c>
      <c r="D25" s="23">
        <f t="shared" si="34"/>
        <v>796.97140000000002</v>
      </c>
      <c r="E25" s="24">
        <f t="shared" si="35"/>
        <v>-9.9999999974897905E-2</v>
      </c>
      <c r="F25" s="25">
        <f t="shared" si="36"/>
        <v>-4.1999999999688997</v>
      </c>
      <c r="G25" s="26">
        <f t="shared" si="37"/>
        <v>-4.9999999987449001E-2</v>
      </c>
      <c r="H25" s="6">
        <v>6.5419</v>
      </c>
      <c r="I25" s="35">
        <f t="shared" si="38"/>
        <v>798.34820000000002</v>
      </c>
      <c r="J25" s="24">
        <f t="shared" si="39"/>
        <v>-0.199999999949796</v>
      </c>
      <c r="K25" s="25">
        <f t="shared" si="40"/>
        <v>-3.7999999999556202</v>
      </c>
      <c r="L25" s="26">
        <f t="shared" si="41"/>
        <v>-9.9999999974897905E-2</v>
      </c>
      <c r="M25" s="6">
        <v>5.0351999999999997</v>
      </c>
      <c r="N25" s="35">
        <f t="shared" si="42"/>
        <v>796.8415</v>
      </c>
      <c r="O25" s="24">
        <f t="shared" si="43"/>
        <v>0.20000000006348301</v>
      </c>
      <c r="P25" s="25">
        <f t="shared" si="44"/>
        <v>-3.1000000000176402</v>
      </c>
      <c r="Q25" s="26">
        <f t="shared" si="45"/>
        <v>0.100000000031741</v>
      </c>
      <c r="R25" s="41"/>
      <c r="S25" s="21">
        <f t="shared" si="23"/>
        <v>44805</v>
      </c>
      <c r="T25" s="42">
        <v>8.8056999999999306</v>
      </c>
      <c r="U25" s="43">
        <f t="shared" si="24"/>
        <v>-0.100000000008649</v>
      </c>
      <c r="V25" s="44">
        <f t="shared" si="25"/>
        <v>-3.0000000000693898</v>
      </c>
      <c r="W25" s="45">
        <f t="shared" si="26"/>
        <v>5.0000000004324398E-2</v>
      </c>
      <c r="X25" s="29">
        <v>11.881500000000001</v>
      </c>
      <c r="Y25" s="43">
        <f t="shared" si="27"/>
        <v>0</v>
      </c>
      <c r="Z25" s="44">
        <f t="shared" si="28"/>
        <v>-4.3999999999986299</v>
      </c>
      <c r="AA25" s="45">
        <f t="shared" si="29"/>
        <v>0</v>
      </c>
      <c r="AB25" s="49">
        <v>8.2330000000000005</v>
      </c>
      <c r="AC25" s="43">
        <f t="shared" si="30"/>
        <v>-0.29999999999930099</v>
      </c>
      <c r="AD25" s="44">
        <f t="shared" si="31"/>
        <v>-4.5000000000001696</v>
      </c>
      <c r="AE25" s="45">
        <f t="shared" si="32"/>
        <v>-0.14999999999965</v>
      </c>
      <c r="AF25" s="50">
        <v>80249</v>
      </c>
      <c r="AG25" s="58">
        <f t="shared" si="33"/>
        <v>115</v>
      </c>
      <c r="AH25" s="61"/>
      <c r="AI25" s="60"/>
      <c r="AJ25" s="52"/>
      <c r="AK25" s="52"/>
      <c r="AL25" s="52"/>
      <c r="AM25" s="52"/>
    </row>
    <row r="26" spans="1:48">
      <c r="A26" s="21">
        <v>44807</v>
      </c>
      <c r="B26" s="22">
        <v>791.80629999999996</v>
      </c>
      <c r="C26" s="27">
        <v>5.165</v>
      </c>
      <c r="D26" s="23">
        <f t="shared" si="34"/>
        <v>796.97130000000004</v>
      </c>
      <c r="E26" s="24">
        <f t="shared" ref="E26:E27" si="46">(D26-D25)*1000</f>
        <v>-0.10000000008858501</v>
      </c>
      <c r="F26" s="25">
        <f t="shared" ref="F26:F27" si="47">F25+E26</f>
        <v>-4.3000000000574801</v>
      </c>
      <c r="G26" s="26">
        <f t="shared" ref="G26:G27" si="48">E26/(A26-A25)</f>
        <v>-5.0000000044292399E-2</v>
      </c>
      <c r="H26" s="6">
        <v>6.5418000000000003</v>
      </c>
      <c r="I26" s="35">
        <f t="shared" si="38"/>
        <v>798.34810000000004</v>
      </c>
      <c r="J26" s="24">
        <f t="shared" ref="J26:J27" si="49">(I26-I25)*1000</f>
        <v>-0.10000000008858501</v>
      </c>
      <c r="K26" s="25">
        <f t="shared" ref="K26:K27" si="50">K25+J26</f>
        <v>-3.9000000000442001</v>
      </c>
      <c r="L26" s="26">
        <f t="shared" ref="L26:L27" si="51">J26/(A26-A25)</f>
        <v>-5.0000000044292399E-2</v>
      </c>
      <c r="M26" s="6">
        <v>5.0353000000000003</v>
      </c>
      <c r="N26" s="35">
        <f t="shared" si="42"/>
        <v>796.84159999999997</v>
      </c>
      <c r="O26" s="24">
        <f t="shared" ref="O26:O27" si="52">(N26-N25)*1000</f>
        <v>9.9999999974897905E-2</v>
      </c>
      <c r="P26" s="25">
        <f t="shared" ref="P26:P27" si="53">P25+O26</f>
        <v>-3.0000000000427498</v>
      </c>
      <c r="Q26" s="26">
        <f t="shared" ref="Q26:Q27" si="54">O26/(A26-A25)</f>
        <v>4.9999999987449001E-2</v>
      </c>
      <c r="R26" s="41"/>
      <c r="S26" s="21">
        <f t="shared" si="23"/>
        <v>44807</v>
      </c>
      <c r="T26" s="42">
        <v>8.8056000000000001</v>
      </c>
      <c r="U26" s="43">
        <f t="shared" ref="U26:U27" si="55">(T26-T25)*1000</f>
        <v>-9.9999999930488997E-2</v>
      </c>
      <c r="V26" s="44">
        <f t="shared" ref="V26:V27" si="56">V25+U26</f>
        <v>-3.0999999999998802</v>
      </c>
      <c r="W26" s="45">
        <f t="shared" ref="W26:W27" si="57">U26/(S25-S26)</f>
        <v>4.9999999965244499E-2</v>
      </c>
      <c r="X26" s="29">
        <v>11.8813</v>
      </c>
      <c r="Y26" s="43">
        <f t="shared" ref="Y26:Y27" si="58">(X26-X25)*1000</f>
        <v>-0.20000000000130999</v>
      </c>
      <c r="Z26" s="44">
        <f t="shared" ref="Z26:Z27" si="59">Z25+Y26</f>
        <v>-4.5999999999999401</v>
      </c>
      <c r="AA26" s="45">
        <f t="shared" ref="AA26:AA27" si="60">Y26/(S26-S25)</f>
        <v>-0.100000000000655</v>
      </c>
      <c r="AB26" s="49">
        <v>8.2324999999999999</v>
      </c>
      <c r="AC26" s="43">
        <f t="shared" ref="AC26:AC27" si="61">(AB26-AB25)*1000</f>
        <v>-0.50000000000061096</v>
      </c>
      <c r="AD26" s="44">
        <f t="shared" ref="AD26:AD27" si="62">AD25+AC26</f>
        <v>-5.0000000000007798</v>
      </c>
      <c r="AE26" s="45">
        <f t="shared" ref="AE26:AE27" si="63">AC26/(S26-S25)</f>
        <v>-0.25000000000030598</v>
      </c>
      <c r="AF26" s="50">
        <v>80252</v>
      </c>
      <c r="AG26" s="58">
        <f t="shared" si="33"/>
        <v>118</v>
      </c>
      <c r="AH26" s="61"/>
      <c r="AI26" s="60"/>
      <c r="AJ26" s="52"/>
      <c r="AK26" s="52"/>
      <c r="AL26" s="52"/>
      <c r="AM26" s="52"/>
    </row>
    <row r="27" spans="1:48">
      <c r="A27" s="21">
        <v>44809</v>
      </c>
      <c r="B27" s="22">
        <v>791.80629999999996</v>
      </c>
      <c r="C27" s="27">
        <v>5.1651999999999996</v>
      </c>
      <c r="D27" s="23">
        <f t="shared" si="34"/>
        <v>796.97149999999999</v>
      </c>
      <c r="E27" s="24">
        <f t="shared" si="46"/>
        <v>0.20000000006348301</v>
      </c>
      <c r="F27" s="25">
        <f t="shared" si="47"/>
        <v>-4.099999999994</v>
      </c>
      <c r="G27" s="26">
        <f t="shared" si="48"/>
        <v>0.100000000031741</v>
      </c>
      <c r="H27" s="6">
        <v>6.5419999999999998</v>
      </c>
      <c r="I27" s="35">
        <f t="shared" si="38"/>
        <v>798.34829999999999</v>
      </c>
      <c r="J27" s="24">
        <f t="shared" si="49"/>
        <v>0.20000000006348301</v>
      </c>
      <c r="K27" s="25">
        <f t="shared" si="50"/>
        <v>-3.69999999998072</v>
      </c>
      <c r="L27" s="26">
        <f t="shared" si="51"/>
        <v>0.100000000031741</v>
      </c>
      <c r="M27" s="6">
        <v>5.0354999999999999</v>
      </c>
      <c r="N27" s="35">
        <f t="shared" si="42"/>
        <v>796.84180000000003</v>
      </c>
      <c r="O27" s="24">
        <f t="shared" si="52"/>
        <v>0.199999999949796</v>
      </c>
      <c r="P27" s="25">
        <f t="shared" si="53"/>
        <v>-2.8000000000929499</v>
      </c>
      <c r="Q27" s="26">
        <f t="shared" si="54"/>
        <v>9.9999999974897905E-2</v>
      </c>
      <c r="R27" s="41"/>
      <c r="S27" s="21">
        <f t="shared" si="23"/>
        <v>44809</v>
      </c>
      <c r="T27" s="42">
        <v>8.8054000000000006</v>
      </c>
      <c r="U27" s="43">
        <f t="shared" si="55"/>
        <v>-0.19999999999953399</v>
      </c>
      <c r="V27" s="44">
        <f t="shared" si="56"/>
        <v>-3.2999999999994101</v>
      </c>
      <c r="W27" s="45">
        <f t="shared" si="57"/>
        <v>9.99999999997669E-2</v>
      </c>
      <c r="X27" s="29">
        <v>11.881600000000001</v>
      </c>
      <c r="Y27" s="43">
        <f t="shared" si="58"/>
        <v>0.30000000000107702</v>
      </c>
      <c r="Z27" s="44">
        <f t="shared" si="59"/>
        <v>-4.2999999999988603</v>
      </c>
      <c r="AA27" s="45">
        <f t="shared" si="60"/>
        <v>0.15000000000053901</v>
      </c>
      <c r="AB27" s="49">
        <v>8.2326999999999995</v>
      </c>
      <c r="AC27" s="43">
        <f t="shared" si="61"/>
        <v>0.19999999999953399</v>
      </c>
      <c r="AD27" s="44">
        <f t="shared" si="62"/>
        <v>-4.8000000000012504</v>
      </c>
      <c r="AE27" s="45">
        <f t="shared" si="63"/>
        <v>9.99999999997669E-2</v>
      </c>
      <c r="AF27" s="50">
        <v>80255</v>
      </c>
      <c r="AG27" s="58">
        <f t="shared" si="33"/>
        <v>121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F27-F18</f>
        <v>-1.5999999999394301</v>
      </c>
      <c r="F28" s="33">
        <f>K27-K18</f>
        <v>-1.30000000001473</v>
      </c>
      <c r="G28" s="33">
        <f>P27-P18</f>
        <v>-0.70000000005165897</v>
      </c>
      <c r="H28" s="33">
        <f>F27</f>
        <v>-4.099999999994</v>
      </c>
      <c r="I28" s="66">
        <f>K27</f>
        <v>-3.69999999998072</v>
      </c>
      <c r="J28" s="65">
        <f>P27</f>
        <v>-2.8000000000929499</v>
      </c>
      <c r="K28" s="33">
        <f>(P27-P18)/16</f>
        <v>-4.3750000003228699E-2</v>
      </c>
      <c r="L28" s="26"/>
      <c r="N28" s="35"/>
      <c r="O28" s="24"/>
      <c r="P28" s="25"/>
      <c r="Q28" s="26"/>
      <c r="R28" s="41"/>
      <c r="S28" s="21"/>
      <c r="T28" s="42"/>
      <c r="U28" s="65">
        <f>V27-V18</f>
        <v>-0.999999999999446</v>
      </c>
      <c r="V28" s="33">
        <f>Z27-Z18</f>
        <v>-1.6999999999995901</v>
      </c>
      <c r="W28" s="33">
        <f>AD27-AD18</f>
        <v>-2.7000000000008102</v>
      </c>
      <c r="X28" s="33">
        <f>V27</f>
        <v>-3.2999999999994101</v>
      </c>
      <c r="Y28" s="65">
        <f>Z27</f>
        <v>-4.2999999999988603</v>
      </c>
      <c r="Z28" s="33">
        <f>AD27</f>
        <v>-4.8000000000012504</v>
      </c>
      <c r="AA28" s="33">
        <f>(AD27-AD18)/16</f>
        <v>-0.168750000000051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>
        <v>3</v>
      </c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R28" workbookViewId="0">
      <selection activeCell="E28" sqref="E28:K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44789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44789</v>
      </c>
      <c r="B6" s="22">
        <v>791.80629999999996</v>
      </c>
      <c r="C6" s="27">
        <v>5.7332000000000001</v>
      </c>
      <c r="D6" s="23">
        <f>C6+B6</f>
        <v>797.53949999999998</v>
      </c>
      <c r="E6" s="24">
        <v>0</v>
      </c>
      <c r="F6" s="25">
        <v>0</v>
      </c>
      <c r="G6" s="26">
        <v>0</v>
      </c>
      <c r="H6" s="6">
        <v>6.8296999999999999</v>
      </c>
      <c r="I6" s="35">
        <f>H6+B6</f>
        <v>798.63599999999997</v>
      </c>
      <c r="J6" s="24">
        <v>0</v>
      </c>
      <c r="K6" s="25">
        <v>0</v>
      </c>
      <c r="L6" s="26">
        <v>0</v>
      </c>
      <c r="M6" s="6">
        <v>5.2286999999999999</v>
      </c>
      <c r="N6" s="35">
        <f>M6+B6</f>
        <v>797.03499999999997</v>
      </c>
      <c r="O6" s="24">
        <v>0</v>
      </c>
      <c r="P6" s="25">
        <v>0</v>
      </c>
      <c r="Q6" s="26">
        <v>0</v>
      </c>
      <c r="R6" s="41"/>
      <c r="S6" s="21">
        <f>A6</f>
        <v>44789</v>
      </c>
      <c r="T6" s="42">
        <v>9.3034999999999997</v>
      </c>
      <c r="U6" s="43">
        <v>0</v>
      </c>
      <c r="V6" s="44">
        <v>0</v>
      </c>
      <c r="W6" s="45">
        <f>U6/(S6-S11)</f>
        <v>0</v>
      </c>
      <c r="X6" s="29">
        <v>12.0639</v>
      </c>
      <c r="Y6" s="43">
        <v>0</v>
      </c>
      <c r="Z6" s="44">
        <v>0</v>
      </c>
      <c r="AA6" s="45">
        <v>0</v>
      </c>
      <c r="AB6" s="49">
        <v>8.5611999999999995</v>
      </c>
      <c r="AC6" s="43">
        <v>0</v>
      </c>
      <c r="AD6" s="44">
        <v>0</v>
      </c>
      <c r="AE6" s="45">
        <v>0</v>
      </c>
      <c r="AF6" s="50">
        <v>80168</v>
      </c>
      <c r="AG6" s="58">
        <f>AF6-80162</f>
        <v>6</v>
      </c>
      <c r="AH6" s="59"/>
      <c r="AI6" s="60"/>
      <c r="AJ6" s="61"/>
      <c r="AK6" s="62"/>
      <c r="AL6" s="52"/>
      <c r="AM6" s="52"/>
    </row>
    <row r="7" spans="1:48">
      <c r="A7" s="21">
        <v>44790</v>
      </c>
      <c r="B7" s="22">
        <v>791.80629999999996</v>
      </c>
      <c r="C7" s="27">
        <v>5.7329999999999997</v>
      </c>
      <c r="D7" s="23">
        <f>C7+B7</f>
        <v>797.53930000000003</v>
      </c>
      <c r="E7" s="24">
        <f>(D7-D6)*1000</f>
        <v>-0.20000000006348301</v>
      </c>
      <c r="F7" s="25">
        <f>F6+E7</f>
        <v>-0.20000000006348301</v>
      </c>
      <c r="G7" s="26">
        <f>E7/(A7-A6)</f>
        <v>-0.20000000006348301</v>
      </c>
      <c r="H7" s="6">
        <v>6.8295000000000003</v>
      </c>
      <c r="I7" s="35">
        <f>H7+B7</f>
        <v>798.63580000000002</v>
      </c>
      <c r="J7" s="24">
        <f>(I7-I6)*1000</f>
        <v>-0.199999999949796</v>
      </c>
      <c r="K7" s="25">
        <f>K6+J7</f>
        <v>-0.199999999949796</v>
      </c>
      <c r="L7" s="26">
        <f>J7/(A7-A6)</f>
        <v>-0.199999999949796</v>
      </c>
      <c r="M7" s="6">
        <v>5.2282999999999999</v>
      </c>
      <c r="N7" s="35">
        <f>M7+B7</f>
        <v>797.03459999999995</v>
      </c>
      <c r="O7" s="24">
        <f>(N7-N6)*1000</f>
        <v>-0.40000000001327901</v>
      </c>
      <c r="P7" s="25">
        <f>P6+O7</f>
        <v>-0.40000000001327901</v>
      </c>
      <c r="Q7" s="26">
        <f>O7/(A7-A6)</f>
        <v>-0.40000000001327901</v>
      </c>
      <c r="R7" s="41"/>
      <c r="S7" s="21">
        <f>A7</f>
        <v>44790</v>
      </c>
      <c r="T7" s="42">
        <v>9.3033000000000001</v>
      </c>
      <c r="U7" s="43">
        <f>(T7-T6)*1000</f>
        <v>-0.19999999999953399</v>
      </c>
      <c r="V7" s="44">
        <f>V6+U7</f>
        <v>-0.19999999999953399</v>
      </c>
      <c r="W7" s="45">
        <f>U7/(S6-S7)</f>
        <v>0.19999999999953399</v>
      </c>
      <c r="X7" s="29">
        <v>12.063000000000001</v>
      </c>
      <c r="Y7" s="43">
        <f>(X7-X6)*1000</f>
        <v>-0.89999999999967895</v>
      </c>
      <c r="Z7" s="44">
        <f>Z6+Y7</f>
        <v>-0.89999999999967895</v>
      </c>
      <c r="AA7" s="45">
        <f>Y7/(S7-S6)</f>
        <v>-0.89999999999967895</v>
      </c>
      <c r="AB7" s="49">
        <v>8.5609999999999999</v>
      </c>
      <c r="AC7" s="43">
        <f>(AB7-AB6)*1000</f>
        <v>-0.19999999999953399</v>
      </c>
      <c r="AD7" s="44">
        <f>AD6+AC7</f>
        <v>-0.19999999999953399</v>
      </c>
      <c r="AE7" s="45">
        <f>AC7/(S7-S6)</f>
        <v>-0.19999999999953399</v>
      </c>
      <c r="AF7" s="50">
        <v>80174</v>
      </c>
      <c r="AG7" s="58">
        <f>AF7-80162</f>
        <v>12</v>
      </c>
      <c r="AH7" s="59"/>
      <c r="AI7" s="60"/>
      <c r="AJ7" s="61"/>
      <c r="AK7" s="62"/>
      <c r="AL7" s="52"/>
      <c r="AM7" s="52"/>
    </row>
    <row r="8" spans="1:48">
      <c r="A8" s="21">
        <v>44791</v>
      </c>
      <c r="B8" s="22">
        <v>791.80629999999996</v>
      </c>
      <c r="C8" s="27">
        <v>5.7327000000000004</v>
      </c>
      <c r="D8" s="23">
        <f>C8+B8</f>
        <v>797.53899999999999</v>
      </c>
      <c r="E8" s="24">
        <f>(D8-D7)*1000</f>
        <v>-0.29999999992469401</v>
      </c>
      <c r="F8" s="25">
        <f>F7+E8</f>
        <v>-0.49999999998817701</v>
      </c>
      <c r="G8" s="26">
        <f>E8/(A8-A7)</f>
        <v>-0.29999999992469401</v>
      </c>
      <c r="H8" s="6">
        <v>6.8289999999999997</v>
      </c>
      <c r="I8" s="35">
        <f>H8+B8</f>
        <v>798.63530000000003</v>
      </c>
      <c r="J8" s="24">
        <f>(I8-I7)*1000</f>
        <v>-0.50000000010186296</v>
      </c>
      <c r="K8" s="25">
        <f>K7+J8</f>
        <v>-0.70000000005165897</v>
      </c>
      <c r="L8" s="26">
        <f>J8/(A8-A7)</f>
        <v>-0.50000000010186296</v>
      </c>
      <c r="M8" s="6">
        <v>5.2281000000000004</v>
      </c>
      <c r="N8" s="35">
        <f>M8+B8</f>
        <v>797.03440000000001</v>
      </c>
      <c r="O8" s="24">
        <f>(N8-N7)*1000</f>
        <v>-0.199999999949796</v>
      </c>
      <c r="P8" s="25">
        <f>P7+O8</f>
        <v>-0.59999999996307496</v>
      </c>
      <c r="Q8" s="26">
        <f>O8/(A8-A7)</f>
        <v>-0.199999999949796</v>
      </c>
      <c r="R8" s="41"/>
      <c r="S8" s="21">
        <f>A8</f>
        <v>44791</v>
      </c>
      <c r="T8" s="42">
        <v>9.3032000000000004</v>
      </c>
      <c r="U8" s="43">
        <f>(T8-T7)*1000</f>
        <v>-9.99999999997669E-2</v>
      </c>
      <c r="V8" s="44">
        <f>V7+U8</f>
        <v>-0.29999999999930099</v>
      </c>
      <c r="W8" s="45">
        <f>U8/(S7-S8)</f>
        <v>9.99999999997669E-2</v>
      </c>
      <c r="X8" s="29">
        <v>12.063499999999999</v>
      </c>
      <c r="Y8" s="43">
        <f>(X8-X7)*1000</f>
        <v>0.49999999999883499</v>
      </c>
      <c r="Z8" s="44">
        <f>Z7+Y8</f>
        <v>-0.40000000000084401</v>
      </c>
      <c r="AA8" s="45">
        <f>Y8/(S8-S7)</f>
        <v>0.49999999999883499</v>
      </c>
      <c r="AB8" s="49">
        <v>8.5610999999999997</v>
      </c>
      <c r="AC8" s="43">
        <f>(AB8-AB7)*1000</f>
        <v>9.99999999997669E-2</v>
      </c>
      <c r="AD8" s="44">
        <f>AD7+AC8</f>
        <v>-9.99999999997669E-2</v>
      </c>
      <c r="AE8" s="45">
        <f>AC8/(S8-S7)</f>
        <v>9.99999999997669E-2</v>
      </c>
      <c r="AF8" s="50">
        <v>80181</v>
      </c>
      <c r="AG8" s="58">
        <f>AF8-80162</f>
        <v>19</v>
      </c>
      <c r="AH8" s="59"/>
      <c r="AI8" s="60"/>
      <c r="AJ8" s="61"/>
      <c r="AK8" s="62"/>
      <c r="AL8" s="52"/>
      <c r="AM8" s="52"/>
    </row>
    <row r="9" spans="1:48">
      <c r="A9" s="21">
        <v>44792</v>
      </c>
      <c r="B9" s="22">
        <v>791.80629999999996</v>
      </c>
      <c r="C9" s="27">
        <v>5.7325999999999997</v>
      </c>
      <c r="D9" s="23">
        <f>C9+B9</f>
        <v>797.53890000000001</v>
      </c>
      <c r="E9" s="24">
        <f>(D9-D8)*1000</f>
        <v>-9.9999999974897905E-2</v>
      </c>
      <c r="F9" s="25">
        <f>F8+E9</f>
        <v>-0.59999999996307496</v>
      </c>
      <c r="G9" s="26">
        <f>E9/(A9-A8)</f>
        <v>-9.9999999974897905E-2</v>
      </c>
      <c r="H9" s="6">
        <v>6.8288000000000002</v>
      </c>
      <c r="I9" s="35">
        <f>H9+B9</f>
        <v>798.63509999999997</v>
      </c>
      <c r="J9" s="24">
        <f>(I9-I8)*1000</f>
        <v>-0.199999999949796</v>
      </c>
      <c r="K9" s="25">
        <f>K8+J9</f>
        <v>-0.90000000000145497</v>
      </c>
      <c r="L9" s="26">
        <f>J9/(A9-A8)</f>
        <v>-0.199999999949796</v>
      </c>
      <c r="M9" s="6">
        <v>5.2279999999999998</v>
      </c>
      <c r="N9" s="35">
        <f>M9+B9</f>
        <v>797.03430000000003</v>
      </c>
      <c r="O9" s="24">
        <f>(N9-N8)*1000</f>
        <v>-0.10000000008858501</v>
      </c>
      <c r="P9" s="25">
        <f>P8+O9</f>
        <v>-0.70000000005165897</v>
      </c>
      <c r="Q9" s="26">
        <f>O9/(A9-A8)</f>
        <v>-0.10000000008858501</v>
      </c>
      <c r="R9" s="41"/>
      <c r="S9" s="21">
        <f>A9</f>
        <v>44792</v>
      </c>
      <c r="T9" s="42">
        <v>9.3030000000000008</v>
      </c>
      <c r="U9" s="43">
        <f>(T9-T8)*1000</f>
        <v>-0.19999999999953399</v>
      </c>
      <c r="V9" s="44">
        <f>V8+U9</f>
        <v>-0.49999999999883499</v>
      </c>
      <c r="W9" s="45">
        <f>U9/(S8-S9)</f>
        <v>0.19999999999953399</v>
      </c>
      <c r="X9" s="29">
        <v>12.063000000000001</v>
      </c>
      <c r="Y9" s="43">
        <f>(X9-X8)*1000</f>
        <v>-0.49999999999883499</v>
      </c>
      <c r="Z9" s="44">
        <f>Z8+Y9</f>
        <v>-0.89999999999967895</v>
      </c>
      <c r="AA9" s="45">
        <f>Y9/(S9-S8)</f>
        <v>-0.49999999999883499</v>
      </c>
      <c r="AB9" s="49">
        <v>8.5608000000000004</v>
      </c>
      <c r="AC9" s="43">
        <f>(AB9-AB8)*1000</f>
        <v>-0.29999999999930099</v>
      </c>
      <c r="AD9" s="44">
        <f>AD8+AC9</f>
        <v>-0.39999999999906799</v>
      </c>
      <c r="AE9" s="45">
        <f>AC9/(S9-S8)</f>
        <v>-0.29999999999930099</v>
      </c>
      <c r="AF9" s="50">
        <v>80194</v>
      </c>
      <c r="AG9" s="58">
        <f>AF9-80162</f>
        <v>32</v>
      </c>
      <c r="AH9" s="61"/>
      <c r="AI9" s="60"/>
      <c r="AJ9"/>
      <c r="AK9"/>
      <c r="AL9"/>
      <c r="AM9"/>
    </row>
    <row r="10" spans="1:48">
      <c r="A10" s="21">
        <v>44793</v>
      </c>
      <c r="B10" s="22">
        <v>791.80629999999996</v>
      </c>
      <c r="C10" s="27">
        <v>5.7324000000000002</v>
      </c>
      <c r="D10" s="23">
        <f>C10+B10</f>
        <v>797.53869999999995</v>
      </c>
      <c r="E10" s="24">
        <f>(D10-D9)*1000</f>
        <v>-0.20000000006348301</v>
      </c>
      <c r="F10" s="25">
        <f>F9+E10</f>
        <v>-0.80000000002655702</v>
      </c>
      <c r="G10" s="26">
        <f>E10/(A10-A9)</f>
        <v>-0.20000000006348301</v>
      </c>
      <c r="H10" s="6">
        <v>6.8287000000000004</v>
      </c>
      <c r="I10" s="35">
        <f>H10+B10</f>
        <v>798.63499999999999</v>
      </c>
      <c r="J10" s="24">
        <f>(I10-I9)*1000</f>
        <v>-9.9999999974897905E-2</v>
      </c>
      <c r="K10" s="25">
        <f>K9+J10</f>
        <v>-0.99999999997635303</v>
      </c>
      <c r="L10" s="26">
        <f>J10/(A10-A9)</f>
        <v>-9.9999999974897905E-2</v>
      </c>
      <c r="M10" s="6">
        <v>5.2278000000000002</v>
      </c>
      <c r="N10" s="35">
        <f>M10+B10</f>
        <v>797.03409999999997</v>
      </c>
      <c r="O10" s="24">
        <f>(N10-N9)*1000</f>
        <v>-0.199999999949796</v>
      </c>
      <c r="P10" s="25">
        <f>P9+O10</f>
        <v>-0.90000000000145497</v>
      </c>
      <c r="Q10" s="26">
        <f>O10/(A10-A9)</f>
        <v>-0.199999999949796</v>
      </c>
      <c r="R10" s="41"/>
      <c r="S10" s="21">
        <f>A10</f>
        <v>44793</v>
      </c>
      <c r="T10" s="42">
        <v>9.3027999999999995</v>
      </c>
      <c r="U10" s="43">
        <f>(T10-T9)*1000</f>
        <v>-0.20000000000130999</v>
      </c>
      <c r="V10" s="44">
        <f>V9+U10</f>
        <v>-0.70000000000014495</v>
      </c>
      <c r="W10" s="45">
        <f>U10/(S9-S10)</f>
        <v>0.20000000000130999</v>
      </c>
      <c r="X10" s="29">
        <v>12.062799999999999</v>
      </c>
      <c r="Y10" s="43">
        <f>(X10-X9)*1000</f>
        <v>-0.20000000000130999</v>
      </c>
      <c r="Z10" s="44">
        <f>Z9+Y10</f>
        <v>-1.10000000000099</v>
      </c>
      <c r="AA10" s="45">
        <f>Y10/(S10-S9)</f>
        <v>-0.20000000000130999</v>
      </c>
      <c r="AB10" s="49">
        <v>8.5607000000000006</v>
      </c>
      <c r="AC10" s="43">
        <f>(AB10-AB9)*1000</f>
        <v>-9.99999999997669E-2</v>
      </c>
      <c r="AD10" s="44">
        <f>AD9+AC10</f>
        <v>-0.49999999999883499</v>
      </c>
      <c r="AE10" s="45">
        <f>AC10/(S10-S9)</f>
        <v>-9.99999999997669E-2</v>
      </c>
      <c r="AF10" s="50">
        <v>80207</v>
      </c>
      <c r="AG10" s="58">
        <f>AF10-80162</f>
        <v>45</v>
      </c>
      <c r="AH10" s="59"/>
      <c r="AI10" s="60"/>
      <c r="AJ10" s="61"/>
      <c r="AK10" s="62"/>
      <c r="AL10" s="52"/>
      <c r="AM10" s="52"/>
    </row>
    <row r="11" spans="1:48">
      <c r="A11" s="21">
        <v>44794</v>
      </c>
      <c r="B11" s="22">
        <v>791.80629999999996</v>
      </c>
      <c r="C11" s="27">
        <v>5.7321999999999997</v>
      </c>
      <c r="D11" s="23">
        <f t="shared" ref="D11:D27" si="0">C11+B11</f>
        <v>797.5385</v>
      </c>
      <c r="E11" s="24">
        <f t="shared" ref="E11:E27" si="1">(D11-D10)*1000</f>
        <v>-0.199999999949796</v>
      </c>
      <c r="F11" s="25">
        <f t="shared" ref="F11:F27" si="2">F10+E11</f>
        <v>-0.99999999997635303</v>
      </c>
      <c r="G11" s="26">
        <f t="shared" ref="G11:G27" si="3">E11/(A11-A10)</f>
        <v>-0.199999999949796</v>
      </c>
      <c r="H11" s="6">
        <v>6.8285999999999998</v>
      </c>
      <c r="I11" s="35">
        <f t="shared" ref="I11:I27" si="4">H11+B11</f>
        <v>798.63490000000002</v>
      </c>
      <c r="J11" s="24">
        <f t="shared" ref="J11:J27" si="5">(I11-I10)*1000</f>
        <v>-9.9999999974897905E-2</v>
      </c>
      <c r="K11" s="25">
        <f t="shared" ref="K11:K27" si="6">K10+J11</f>
        <v>-1.09999999995125</v>
      </c>
      <c r="L11" s="26">
        <f t="shared" ref="L11:L27" si="7">J11/(A11-A10)</f>
        <v>-9.9999999974897905E-2</v>
      </c>
      <c r="M11" s="6">
        <v>5.2275999999999998</v>
      </c>
      <c r="N11" s="35">
        <f t="shared" ref="N11:N27" si="8">M11+B11</f>
        <v>797.03390000000002</v>
      </c>
      <c r="O11" s="24">
        <f t="shared" ref="O11:O27" si="9">(N11-N10)*1000</f>
        <v>-0.199999999949796</v>
      </c>
      <c r="P11" s="25">
        <f t="shared" ref="P11:P27" si="10">P10+O11</f>
        <v>-1.09999999995125</v>
      </c>
      <c r="Q11" s="26">
        <f t="shared" ref="Q11:Q27" si="11">O11/(A11-A10)</f>
        <v>-0.199999999949796</v>
      </c>
      <c r="R11" s="41"/>
      <c r="S11" s="21">
        <f t="shared" ref="S11:S27" si="12">A11</f>
        <v>44794</v>
      </c>
      <c r="T11" s="42">
        <v>9.3028999999999993</v>
      </c>
      <c r="U11" s="43">
        <f t="shared" ref="U11:U27" si="13">(T11-T10)*1000</f>
        <v>9.99999999997669E-2</v>
      </c>
      <c r="V11" s="44">
        <f t="shared" ref="V11:V27" si="14">V10+U11</f>
        <v>-0.60000000000037801</v>
      </c>
      <c r="W11" s="45">
        <f t="shared" ref="W11:W27" si="15">U11/(S10-S11)</f>
        <v>-9.99999999997669E-2</v>
      </c>
      <c r="X11" s="29">
        <v>12.0626</v>
      </c>
      <c r="Y11" s="43">
        <f t="shared" ref="Y11:Y27" si="16">(X11-X10)*1000</f>
        <v>-0.19999999999953399</v>
      </c>
      <c r="Z11" s="44">
        <f t="shared" ref="Z11:Z27" si="17">Z10+Y11</f>
        <v>-1.3000000000005201</v>
      </c>
      <c r="AA11" s="45">
        <f t="shared" ref="AA11:AA27" si="18">Y11/(S11-S10)</f>
        <v>-0.19999999999953399</v>
      </c>
      <c r="AB11" s="49">
        <v>8.5606000000000009</v>
      </c>
      <c r="AC11" s="43">
        <f t="shared" ref="AC11:AC27" si="19">(AB11-AB10)*1000</f>
        <v>-9.99999999997669E-2</v>
      </c>
      <c r="AD11" s="44">
        <f t="shared" ref="AD11:AD27" si="20">AD10+AC11</f>
        <v>-0.59999999999860198</v>
      </c>
      <c r="AE11" s="45">
        <f t="shared" ref="AE11:AE27" si="21">AC11/(S11-S10)</f>
        <v>-9.99999999997669E-2</v>
      </c>
      <c r="AF11" s="50">
        <v>80220</v>
      </c>
      <c r="AG11" s="58">
        <f t="shared" ref="AG11:AG27" si="22">AF11-80162</f>
        <v>58</v>
      </c>
      <c r="AH11" s="61"/>
      <c r="AI11" s="60"/>
      <c r="AJ11"/>
      <c r="AK11"/>
      <c r="AL11"/>
      <c r="AM11"/>
    </row>
    <row r="12" spans="1:48">
      <c r="A12" s="21">
        <v>44795</v>
      </c>
      <c r="B12" s="22">
        <v>791.80629999999996</v>
      </c>
      <c r="C12" s="27">
        <v>5.7321</v>
      </c>
      <c r="D12" s="23">
        <f t="shared" si="0"/>
        <v>797.53840000000002</v>
      </c>
      <c r="E12" s="24">
        <f t="shared" si="1"/>
        <v>-0.10000000008858501</v>
      </c>
      <c r="F12" s="25">
        <f t="shared" si="2"/>
        <v>-1.1000000000649399</v>
      </c>
      <c r="G12" s="26">
        <f t="shared" si="3"/>
        <v>-0.10000000008858501</v>
      </c>
      <c r="H12" s="6">
        <v>6.8285</v>
      </c>
      <c r="I12" s="35">
        <f t="shared" si="4"/>
        <v>798.63480000000004</v>
      </c>
      <c r="J12" s="24">
        <f t="shared" si="5"/>
        <v>-0.10000000008858501</v>
      </c>
      <c r="K12" s="25">
        <f t="shared" si="6"/>
        <v>-1.2000000000398401</v>
      </c>
      <c r="L12" s="26">
        <f t="shared" si="7"/>
        <v>-0.10000000008858501</v>
      </c>
      <c r="M12" s="6">
        <v>5.2275</v>
      </c>
      <c r="N12" s="35">
        <f t="shared" si="8"/>
        <v>797.03380000000004</v>
      </c>
      <c r="O12" s="24">
        <f t="shared" si="9"/>
        <v>-0.10000000008858501</v>
      </c>
      <c r="P12" s="25">
        <f t="shared" si="10"/>
        <v>-1.2000000000398401</v>
      </c>
      <c r="Q12" s="26">
        <f t="shared" si="11"/>
        <v>-0.10000000008858501</v>
      </c>
      <c r="R12" s="41"/>
      <c r="S12" s="21">
        <f t="shared" si="12"/>
        <v>44795</v>
      </c>
      <c r="T12" s="42">
        <v>9.3024000000000004</v>
      </c>
      <c r="U12" s="43">
        <f t="shared" si="13"/>
        <v>-0.49999999999883499</v>
      </c>
      <c r="V12" s="44">
        <f t="shared" si="14"/>
        <v>-1.0999999999992101</v>
      </c>
      <c r="W12" s="45">
        <f t="shared" si="15"/>
        <v>0.49999999999883499</v>
      </c>
      <c r="X12" s="29">
        <v>12.0625</v>
      </c>
      <c r="Y12" s="43">
        <f t="shared" si="16"/>
        <v>-9.99999999997669E-2</v>
      </c>
      <c r="Z12" s="44">
        <f t="shared" si="17"/>
        <v>-1.4000000000002899</v>
      </c>
      <c r="AA12" s="45">
        <f t="shared" si="18"/>
        <v>-9.99999999997669E-2</v>
      </c>
      <c r="AB12" s="49">
        <v>8.5602</v>
      </c>
      <c r="AC12" s="43">
        <f t="shared" si="19"/>
        <v>-0.40000000000084401</v>
      </c>
      <c r="AD12" s="44">
        <f t="shared" si="20"/>
        <v>-0.999999999999446</v>
      </c>
      <c r="AE12" s="45">
        <f t="shared" si="21"/>
        <v>-0.40000000000084401</v>
      </c>
      <c r="AF12" s="50">
        <v>80233</v>
      </c>
      <c r="AG12" s="58">
        <f t="shared" si="22"/>
        <v>71</v>
      </c>
      <c r="AH12" s="59"/>
      <c r="AI12" s="60"/>
      <c r="AJ12"/>
      <c r="AK12"/>
      <c r="AL12"/>
      <c r="AM12"/>
    </row>
    <row r="13" spans="1:48">
      <c r="A13" s="21">
        <v>44796</v>
      </c>
      <c r="B13" s="22">
        <v>791.80629999999996</v>
      </c>
      <c r="C13" s="27">
        <v>5.7317999999999998</v>
      </c>
      <c r="D13" s="23">
        <f t="shared" si="0"/>
        <v>797.53809999999999</v>
      </c>
      <c r="E13" s="24">
        <f t="shared" si="1"/>
        <v>-0.29999999992469401</v>
      </c>
      <c r="F13" s="25">
        <f t="shared" si="2"/>
        <v>-1.39999999998963</v>
      </c>
      <c r="G13" s="26">
        <f t="shared" si="3"/>
        <v>-0.29999999992469401</v>
      </c>
      <c r="H13" s="6">
        <v>6.8280000000000003</v>
      </c>
      <c r="I13" s="35">
        <f t="shared" si="4"/>
        <v>798.63430000000005</v>
      </c>
      <c r="J13" s="24">
        <f t="shared" si="5"/>
        <v>-0.49999999998817701</v>
      </c>
      <c r="K13" s="25">
        <f t="shared" si="6"/>
        <v>-1.70000000002801</v>
      </c>
      <c r="L13" s="26">
        <f t="shared" si="7"/>
        <v>-0.49999999998817701</v>
      </c>
      <c r="M13" s="6">
        <v>5.2271999999999998</v>
      </c>
      <c r="N13" s="35">
        <f t="shared" si="8"/>
        <v>797.0335</v>
      </c>
      <c r="O13" s="24">
        <f t="shared" si="9"/>
        <v>-0.29999999992469401</v>
      </c>
      <c r="P13" s="25">
        <f t="shared" si="10"/>
        <v>-1.4999999999645299</v>
      </c>
      <c r="Q13" s="26">
        <f t="shared" si="11"/>
        <v>-0.29999999992469401</v>
      </c>
      <c r="R13" s="41"/>
      <c r="S13" s="21">
        <f t="shared" si="12"/>
        <v>44796</v>
      </c>
      <c r="T13" s="42">
        <v>9.3025000000000002</v>
      </c>
      <c r="U13" s="43">
        <f t="shared" si="13"/>
        <v>9.99999999997669E-2</v>
      </c>
      <c r="V13" s="44">
        <f t="shared" si="14"/>
        <v>-0.999999999999446</v>
      </c>
      <c r="W13" s="45">
        <f t="shared" si="15"/>
        <v>-9.99999999997669E-2</v>
      </c>
      <c r="X13" s="29">
        <v>12.062200000000001</v>
      </c>
      <c r="Y13" s="43">
        <f t="shared" si="16"/>
        <v>-0.29999999999930099</v>
      </c>
      <c r="Z13" s="44">
        <f t="shared" si="17"/>
        <v>-1.6999999999995901</v>
      </c>
      <c r="AA13" s="45">
        <f t="shared" si="18"/>
        <v>-0.29999999999930099</v>
      </c>
      <c r="AB13" s="49">
        <v>8.5603999999999996</v>
      </c>
      <c r="AC13" s="43">
        <f t="shared" si="19"/>
        <v>0.19999999999953399</v>
      </c>
      <c r="AD13" s="44">
        <f t="shared" si="20"/>
        <v>-0.799999999999912</v>
      </c>
      <c r="AE13" s="45">
        <f t="shared" si="21"/>
        <v>0.19999999999953399</v>
      </c>
      <c r="AF13" s="50">
        <v>80246</v>
      </c>
      <c r="AG13" s="58">
        <f t="shared" si="22"/>
        <v>84</v>
      </c>
      <c r="AH13" s="61"/>
      <c r="AI13" s="60"/>
      <c r="AJ13"/>
      <c r="AK13"/>
      <c r="AL13"/>
      <c r="AM13"/>
    </row>
    <row r="14" spans="1:48">
      <c r="A14" s="21">
        <v>44797</v>
      </c>
      <c r="B14" s="22">
        <v>791.80629999999996</v>
      </c>
      <c r="C14" s="27">
        <v>5.7316000000000003</v>
      </c>
      <c r="D14" s="23">
        <f t="shared" si="0"/>
        <v>797.53790000000004</v>
      </c>
      <c r="E14" s="24">
        <f t="shared" si="1"/>
        <v>-0.20000000006348301</v>
      </c>
      <c r="F14" s="25">
        <f t="shared" si="2"/>
        <v>-1.60000000005311</v>
      </c>
      <c r="G14" s="26">
        <f t="shared" si="3"/>
        <v>-0.20000000006348301</v>
      </c>
      <c r="H14" s="6">
        <v>6.8282999999999996</v>
      </c>
      <c r="I14" s="35">
        <f t="shared" si="4"/>
        <v>798.63459999999998</v>
      </c>
      <c r="J14" s="24">
        <f t="shared" si="5"/>
        <v>0.30000000003838101</v>
      </c>
      <c r="K14" s="25">
        <f t="shared" si="6"/>
        <v>-1.39999999998963</v>
      </c>
      <c r="L14" s="26">
        <f t="shared" si="7"/>
        <v>0.30000000003838101</v>
      </c>
      <c r="M14" s="6">
        <v>5.2272999999999996</v>
      </c>
      <c r="N14" s="35">
        <f t="shared" si="8"/>
        <v>797.03359999999998</v>
      </c>
      <c r="O14" s="24">
        <f t="shared" si="9"/>
        <v>9.9999999974897905E-2</v>
      </c>
      <c r="P14" s="25">
        <f t="shared" si="10"/>
        <v>-1.39999999998963</v>
      </c>
      <c r="Q14" s="26">
        <f t="shared" si="11"/>
        <v>9.9999999974897905E-2</v>
      </c>
      <c r="R14" s="41"/>
      <c r="S14" s="21">
        <f t="shared" si="12"/>
        <v>44797</v>
      </c>
      <c r="T14" s="42">
        <v>9.3019999999999907</v>
      </c>
      <c r="U14" s="43">
        <f t="shared" si="13"/>
        <v>-0.50000000000949296</v>
      </c>
      <c r="V14" s="44">
        <f t="shared" si="14"/>
        <v>-1.50000000000894</v>
      </c>
      <c r="W14" s="45">
        <f t="shared" si="15"/>
        <v>0.50000000000949296</v>
      </c>
      <c r="X14" s="29">
        <v>12.061999999999999</v>
      </c>
      <c r="Y14" s="43">
        <f t="shared" si="16"/>
        <v>-0.20000000000130999</v>
      </c>
      <c r="Z14" s="44">
        <f t="shared" si="17"/>
        <v>-1.9000000000009001</v>
      </c>
      <c r="AA14" s="45">
        <f t="shared" si="18"/>
        <v>-0.20000000000130999</v>
      </c>
      <c r="AB14" s="49">
        <v>8.5602999999999998</v>
      </c>
      <c r="AC14" s="43">
        <f t="shared" si="19"/>
        <v>-9.99999999997669E-2</v>
      </c>
      <c r="AD14" s="44">
        <f t="shared" si="20"/>
        <v>-0.89999999999967895</v>
      </c>
      <c r="AE14" s="45">
        <f t="shared" si="21"/>
        <v>-9.99999999997669E-2</v>
      </c>
      <c r="AF14" s="50">
        <v>80259</v>
      </c>
      <c r="AG14" s="58">
        <f t="shared" si="22"/>
        <v>97</v>
      </c>
      <c r="AH14" s="59"/>
      <c r="AI14" s="60"/>
      <c r="AJ14"/>
      <c r="AK14"/>
      <c r="AL14"/>
      <c r="AM14"/>
    </row>
    <row r="15" spans="1:48">
      <c r="A15" s="21">
        <v>44798</v>
      </c>
      <c r="B15" s="22">
        <v>791.80629999999996</v>
      </c>
      <c r="C15" s="27">
        <v>5.7320000000000002</v>
      </c>
      <c r="D15" s="23">
        <f t="shared" si="0"/>
        <v>797.53830000000005</v>
      </c>
      <c r="E15" s="24">
        <f t="shared" si="1"/>
        <v>0.40000000001327901</v>
      </c>
      <c r="F15" s="25">
        <f t="shared" si="2"/>
        <v>-1.2000000000398401</v>
      </c>
      <c r="G15" s="26">
        <f t="shared" si="3"/>
        <v>0.40000000001327901</v>
      </c>
      <c r="H15" s="6">
        <v>6.8281999999999998</v>
      </c>
      <c r="I15" s="35">
        <f t="shared" si="4"/>
        <v>798.6345</v>
      </c>
      <c r="J15" s="24">
        <f t="shared" si="5"/>
        <v>-9.9999999974897905E-2</v>
      </c>
      <c r="K15" s="25">
        <f t="shared" si="6"/>
        <v>-1.4999999999645299</v>
      </c>
      <c r="L15" s="26">
        <f t="shared" si="7"/>
        <v>-9.9999999974897905E-2</v>
      </c>
      <c r="M15" s="6">
        <v>5.2267999999999999</v>
      </c>
      <c r="N15" s="35">
        <f t="shared" si="8"/>
        <v>797.03309999999999</v>
      </c>
      <c r="O15" s="24">
        <f t="shared" si="9"/>
        <v>-0.49999999998817701</v>
      </c>
      <c r="P15" s="25">
        <f t="shared" si="10"/>
        <v>-1.8999999999778101</v>
      </c>
      <c r="Q15" s="26">
        <f t="shared" si="11"/>
        <v>-0.49999999998817701</v>
      </c>
      <c r="R15" s="41"/>
      <c r="S15" s="21">
        <f t="shared" si="12"/>
        <v>44798</v>
      </c>
      <c r="T15" s="42">
        <v>9.3017999999999894</v>
      </c>
      <c r="U15" s="43">
        <f t="shared" si="13"/>
        <v>-0.20000000000130999</v>
      </c>
      <c r="V15" s="44">
        <f t="shared" si="14"/>
        <v>-1.70000000001025</v>
      </c>
      <c r="W15" s="45">
        <f t="shared" si="15"/>
        <v>0.20000000000130999</v>
      </c>
      <c r="X15" s="29">
        <v>12.062099999999999</v>
      </c>
      <c r="Y15" s="43">
        <f t="shared" si="16"/>
        <v>9.99999999997669E-2</v>
      </c>
      <c r="Z15" s="44">
        <f t="shared" si="17"/>
        <v>-1.80000000000113</v>
      </c>
      <c r="AA15" s="45">
        <f t="shared" si="18"/>
        <v>9.99999999997669E-2</v>
      </c>
      <c r="AB15" s="49">
        <v>8.5604999999999993</v>
      </c>
      <c r="AC15" s="43">
        <f t="shared" si="19"/>
        <v>0.19999999999953399</v>
      </c>
      <c r="AD15" s="44">
        <f t="shared" si="20"/>
        <v>-0.70000000000014495</v>
      </c>
      <c r="AE15" s="45">
        <f t="shared" si="21"/>
        <v>0.19999999999953399</v>
      </c>
      <c r="AF15" s="50">
        <v>80262</v>
      </c>
      <c r="AG15" s="58">
        <f t="shared" si="22"/>
        <v>100</v>
      </c>
      <c r="AH15" s="61"/>
      <c r="AI15" s="60"/>
      <c r="AJ15"/>
      <c r="AK15"/>
      <c r="AL15"/>
      <c r="AM15"/>
    </row>
    <row r="16" spans="1:48">
      <c r="A16" s="21">
        <v>44799</v>
      </c>
      <c r="B16" s="22">
        <v>791.80629999999996</v>
      </c>
      <c r="C16" s="27">
        <v>5.7312000000000003</v>
      </c>
      <c r="D16" s="23">
        <f t="shared" si="0"/>
        <v>797.53750000000002</v>
      </c>
      <c r="E16" s="24">
        <f t="shared" si="1"/>
        <v>-0.80000000002655702</v>
      </c>
      <c r="F16" s="25">
        <f t="shared" si="2"/>
        <v>-2.00000000006639</v>
      </c>
      <c r="G16" s="26">
        <f t="shared" si="3"/>
        <v>-0.80000000002655702</v>
      </c>
      <c r="H16" s="6">
        <v>6.8277999999999999</v>
      </c>
      <c r="I16" s="35">
        <f t="shared" si="4"/>
        <v>798.63409999999999</v>
      </c>
      <c r="J16" s="24">
        <f t="shared" si="5"/>
        <v>-0.40000000001327901</v>
      </c>
      <c r="K16" s="25">
        <f t="shared" si="6"/>
        <v>-1.8999999999778101</v>
      </c>
      <c r="L16" s="26">
        <f t="shared" si="7"/>
        <v>-0.40000000001327901</v>
      </c>
      <c r="M16" s="6">
        <v>5.2267000000000001</v>
      </c>
      <c r="N16" s="35">
        <f t="shared" si="8"/>
        <v>797.03300000000002</v>
      </c>
      <c r="O16" s="24">
        <f t="shared" si="9"/>
        <v>-9.9999999974897905E-2</v>
      </c>
      <c r="P16" s="25">
        <f t="shared" si="10"/>
        <v>-1.9999999999527101</v>
      </c>
      <c r="Q16" s="26">
        <f t="shared" si="11"/>
        <v>-9.9999999974897905E-2</v>
      </c>
      <c r="R16" s="41"/>
      <c r="S16" s="21">
        <f t="shared" si="12"/>
        <v>44799</v>
      </c>
      <c r="T16" s="42">
        <v>9.3015000000000008</v>
      </c>
      <c r="U16" s="43">
        <f t="shared" si="13"/>
        <v>-0.29999999998864302</v>
      </c>
      <c r="V16" s="44">
        <f t="shared" si="14"/>
        <v>-1.99999999999889</v>
      </c>
      <c r="W16" s="45">
        <f t="shared" si="15"/>
        <v>0.29999999998864302</v>
      </c>
      <c r="X16" s="29">
        <v>12.0616</v>
      </c>
      <c r="Y16" s="43">
        <f t="shared" si="16"/>
        <v>-0.49999999999883499</v>
      </c>
      <c r="Z16" s="44">
        <f t="shared" si="17"/>
        <v>-2.2999999999999701</v>
      </c>
      <c r="AA16" s="45">
        <f t="shared" si="18"/>
        <v>-0.49999999999883499</v>
      </c>
      <c r="AB16" s="49">
        <v>8.5601000000000003</v>
      </c>
      <c r="AC16" s="43">
        <f t="shared" si="19"/>
        <v>-0.39999999999906799</v>
      </c>
      <c r="AD16" s="44">
        <f t="shared" si="20"/>
        <v>-1.0999999999992101</v>
      </c>
      <c r="AE16" s="45">
        <f t="shared" si="21"/>
        <v>-0.39999999999906799</v>
      </c>
      <c r="AF16" s="50">
        <v>80265</v>
      </c>
      <c r="AG16" s="58">
        <f t="shared" si="22"/>
        <v>103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44800</v>
      </c>
      <c r="B17" s="22">
        <v>791.80629999999996</v>
      </c>
      <c r="C17" s="27">
        <v>5.7314999999999996</v>
      </c>
      <c r="D17" s="23">
        <f t="shared" si="0"/>
        <v>797.53779999999995</v>
      </c>
      <c r="E17" s="24">
        <f t="shared" si="1"/>
        <v>0.30000000003838101</v>
      </c>
      <c r="F17" s="25">
        <f t="shared" si="2"/>
        <v>-1.70000000002801</v>
      </c>
      <c r="G17" s="26">
        <f t="shared" si="3"/>
        <v>0.30000000003838101</v>
      </c>
      <c r="H17" s="6">
        <v>6.8280000000000003</v>
      </c>
      <c r="I17" s="35">
        <f t="shared" si="4"/>
        <v>798.63430000000005</v>
      </c>
      <c r="J17" s="24">
        <f t="shared" si="5"/>
        <v>0.199999999949796</v>
      </c>
      <c r="K17" s="25">
        <f t="shared" si="6"/>
        <v>-1.70000000002801</v>
      </c>
      <c r="L17" s="26">
        <f t="shared" si="7"/>
        <v>0.199999999949796</v>
      </c>
      <c r="M17" s="6">
        <v>5.2263999999999999</v>
      </c>
      <c r="N17" s="35">
        <f t="shared" si="8"/>
        <v>797.03269999999998</v>
      </c>
      <c r="O17" s="24">
        <f t="shared" si="9"/>
        <v>-0.30000000003838101</v>
      </c>
      <c r="P17" s="25">
        <f t="shared" si="10"/>
        <v>-2.2999999999910901</v>
      </c>
      <c r="Q17" s="26">
        <f t="shared" si="11"/>
        <v>-0.30000000003838101</v>
      </c>
      <c r="R17" s="41"/>
      <c r="S17" s="21">
        <f t="shared" si="12"/>
        <v>44800</v>
      </c>
      <c r="T17" s="42">
        <v>9.3013999999999903</v>
      </c>
      <c r="U17" s="43">
        <f t="shared" si="13"/>
        <v>-0.100000000010425</v>
      </c>
      <c r="V17" s="44">
        <f t="shared" si="14"/>
        <v>-2.1000000000093202</v>
      </c>
      <c r="W17" s="45">
        <f t="shared" si="15"/>
        <v>0.100000000010425</v>
      </c>
      <c r="X17" s="29">
        <v>12.061400000000001</v>
      </c>
      <c r="Y17" s="43">
        <f t="shared" si="16"/>
        <v>-0.19999999999953399</v>
      </c>
      <c r="Z17" s="44">
        <f t="shared" si="17"/>
        <v>-2.4999999999995</v>
      </c>
      <c r="AA17" s="45">
        <f t="shared" si="18"/>
        <v>-0.19999999999953399</v>
      </c>
      <c r="AB17" s="49">
        <v>8.56</v>
      </c>
      <c r="AC17" s="43">
        <f t="shared" si="19"/>
        <v>-9.99999999997669E-2</v>
      </c>
      <c r="AD17" s="44">
        <f t="shared" si="20"/>
        <v>-1.1999999999989801</v>
      </c>
      <c r="AE17" s="45">
        <f t="shared" si="21"/>
        <v>-9.99999999997669E-2</v>
      </c>
      <c r="AF17" s="50">
        <v>80268</v>
      </c>
      <c r="AG17" s="58">
        <f t="shared" si="22"/>
        <v>106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44801</v>
      </c>
      <c r="B18" s="22">
        <v>791.80629999999996</v>
      </c>
      <c r="C18" s="27">
        <v>5.7308000000000003</v>
      </c>
      <c r="D18" s="23">
        <f t="shared" si="0"/>
        <v>797.53710000000001</v>
      </c>
      <c r="E18" s="24">
        <f t="shared" si="1"/>
        <v>-0.69999999993797202</v>
      </c>
      <c r="F18" s="25">
        <f t="shared" si="2"/>
        <v>-2.39999999996598</v>
      </c>
      <c r="G18" s="26">
        <f t="shared" si="3"/>
        <v>-0.69999999993797202</v>
      </c>
      <c r="H18" s="6">
        <v>6.8278999999999996</v>
      </c>
      <c r="I18" s="35">
        <f t="shared" si="4"/>
        <v>798.63419999999996</v>
      </c>
      <c r="J18" s="24">
        <f t="shared" si="5"/>
        <v>-9.9999999974897905E-2</v>
      </c>
      <c r="K18" s="25">
        <f t="shared" si="6"/>
        <v>-1.8000000000029099</v>
      </c>
      <c r="L18" s="26">
        <f t="shared" si="7"/>
        <v>-9.9999999974897905E-2</v>
      </c>
      <c r="M18" s="6">
        <v>5.2262000000000004</v>
      </c>
      <c r="N18" s="35">
        <f t="shared" si="8"/>
        <v>797.03250000000003</v>
      </c>
      <c r="O18" s="24">
        <f t="shared" si="9"/>
        <v>-0.20000000006348301</v>
      </c>
      <c r="P18" s="25">
        <f t="shared" si="10"/>
        <v>-2.5000000000545701</v>
      </c>
      <c r="Q18" s="26">
        <f t="shared" si="11"/>
        <v>-0.20000000006348301</v>
      </c>
      <c r="R18" s="41"/>
      <c r="S18" s="21">
        <f t="shared" si="12"/>
        <v>44801</v>
      </c>
      <c r="T18" s="42">
        <v>9.3011999999999908</v>
      </c>
      <c r="U18" s="43">
        <f t="shared" si="13"/>
        <v>-0.19999999999953399</v>
      </c>
      <c r="V18" s="44">
        <f t="shared" si="14"/>
        <v>-2.3000000000088501</v>
      </c>
      <c r="W18" s="45">
        <f t="shared" si="15"/>
        <v>0.19999999999953399</v>
      </c>
      <c r="X18" s="29">
        <v>12.061500000000001</v>
      </c>
      <c r="Y18" s="43">
        <f t="shared" si="16"/>
        <v>9.99999999997669E-2</v>
      </c>
      <c r="Z18" s="44">
        <f t="shared" si="17"/>
        <v>-2.3999999999997401</v>
      </c>
      <c r="AA18" s="45">
        <f t="shared" si="18"/>
        <v>9.99999999997669E-2</v>
      </c>
      <c r="AB18" s="49">
        <v>8.5602999999999998</v>
      </c>
      <c r="AC18" s="43">
        <f t="shared" si="19"/>
        <v>0.29999999999930099</v>
      </c>
      <c r="AD18" s="44">
        <f t="shared" si="20"/>
        <v>-0.89999999999967895</v>
      </c>
      <c r="AE18" s="45">
        <f t="shared" si="21"/>
        <v>0.29999999999930099</v>
      </c>
      <c r="AF18" s="50">
        <v>80271</v>
      </c>
      <c r="AG18" s="58">
        <f t="shared" si="22"/>
        <v>109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44802</v>
      </c>
      <c r="B19" s="22">
        <v>791.80629999999996</v>
      </c>
      <c r="C19" s="27">
        <v>5.7305999999999999</v>
      </c>
      <c r="D19" s="23">
        <f t="shared" si="0"/>
        <v>797.53689999999995</v>
      </c>
      <c r="E19" s="24">
        <f t="shared" si="1"/>
        <v>-0.20000000006348301</v>
      </c>
      <c r="F19" s="25">
        <f t="shared" si="2"/>
        <v>-2.6000000000294698</v>
      </c>
      <c r="G19" s="26">
        <f t="shared" si="3"/>
        <v>-0.20000000006348301</v>
      </c>
      <c r="H19" s="6">
        <v>6.8273999999999999</v>
      </c>
      <c r="I19" s="35">
        <f t="shared" si="4"/>
        <v>798.63369999999998</v>
      </c>
      <c r="J19" s="24">
        <f t="shared" si="5"/>
        <v>-0.49999999998817701</v>
      </c>
      <c r="K19" s="25">
        <f t="shared" si="6"/>
        <v>-2.2999999999910901</v>
      </c>
      <c r="L19" s="26">
        <f t="shared" si="7"/>
        <v>-0.49999999998817701</v>
      </c>
      <c r="M19" s="6">
        <v>5.2260999999999997</v>
      </c>
      <c r="N19" s="35">
        <f t="shared" si="8"/>
        <v>797.03240000000005</v>
      </c>
      <c r="O19" s="24">
        <f t="shared" si="9"/>
        <v>-9.9999999974897905E-2</v>
      </c>
      <c r="P19" s="25">
        <f t="shared" si="10"/>
        <v>-2.6000000000294698</v>
      </c>
      <c r="Q19" s="26">
        <f t="shared" si="11"/>
        <v>-9.9999999974897905E-2</v>
      </c>
      <c r="R19" s="41"/>
      <c r="S19" s="21">
        <f t="shared" si="12"/>
        <v>44802</v>
      </c>
      <c r="T19" s="42">
        <v>9.3011999999999997</v>
      </c>
      <c r="U19" s="43">
        <f t="shared" si="13"/>
        <v>8.8817841970012507E-12</v>
      </c>
      <c r="V19" s="44">
        <f t="shared" si="14"/>
        <v>-2.2999999999999701</v>
      </c>
      <c r="W19" s="45">
        <f t="shared" si="15"/>
        <v>-8.8817841970012507E-12</v>
      </c>
      <c r="X19" s="29">
        <v>12.061</v>
      </c>
      <c r="Y19" s="43">
        <f t="shared" si="16"/>
        <v>-0.50000000000061096</v>
      </c>
      <c r="Z19" s="44">
        <f t="shared" si="17"/>
        <v>-2.9000000000003499</v>
      </c>
      <c r="AA19" s="45">
        <f t="shared" si="18"/>
        <v>-0.50000000000061096</v>
      </c>
      <c r="AB19" s="49">
        <v>8.5602</v>
      </c>
      <c r="AC19" s="43">
        <f t="shared" si="19"/>
        <v>-9.99999999997669E-2</v>
      </c>
      <c r="AD19" s="44">
        <f t="shared" si="20"/>
        <v>-0.999999999999446</v>
      </c>
      <c r="AE19" s="45">
        <f t="shared" si="21"/>
        <v>-9.99999999997669E-2</v>
      </c>
      <c r="AF19" s="50">
        <v>80274</v>
      </c>
      <c r="AG19" s="58">
        <f t="shared" si="22"/>
        <v>112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44803</v>
      </c>
      <c r="B20" s="22">
        <v>791.80629999999996</v>
      </c>
      <c r="C20" s="27">
        <v>5.7304000000000004</v>
      </c>
      <c r="D20" s="23">
        <f t="shared" si="0"/>
        <v>797.5367</v>
      </c>
      <c r="E20" s="24">
        <f t="shared" si="1"/>
        <v>-0.199999999949796</v>
      </c>
      <c r="F20" s="25">
        <f t="shared" si="2"/>
        <v>-2.79999999997926</v>
      </c>
      <c r="G20" s="26">
        <f t="shared" si="3"/>
        <v>-0.199999999949796</v>
      </c>
      <c r="H20" s="6">
        <v>6.8277000000000001</v>
      </c>
      <c r="I20" s="35">
        <f t="shared" si="4"/>
        <v>798.63400000000001</v>
      </c>
      <c r="J20" s="24">
        <f t="shared" si="5"/>
        <v>0.30000000003838101</v>
      </c>
      <c r="K20" s="25">
        <f t="shared" si="6"/>
        <v>-1.9999999999527101</v>
      </c>
      <c r="L20" s="26">
        <f t="shared" si="7"/>
        <v>0.30000000003838101</v>
      </c>
      <c r="M20" s="6">
        <v>5.2257999999999996</v>
      </c>
      <c r="N20" s="35">
        <f t="shared" si="8"/>
        <v>797.03210000000001</v>
      </c>
      <c r="O20" s="24">
        <f t="shared" si="9"/>
        <v>-0.29999999992469401</v>
      </c>
      <c r="P20" s="25">
        <f t="shared" si="10"/>
        <v>-2.8999999999541601</v>
      </c>
      <c r="Q20" s="26">
        <f t="shared" si="11"/>
        <v>-0.29999999992469401</v>
      </c>
      <c r="R20" s="41"/>
      <c r="S20" s="21">
        <f t="shared" si="12"/>
        <v>44803</v>
      </c>
      <c r="T20" s="42">
        <v>9.30079999999999</v>
      </c>
      <c r="U20" s="43">
        <f t="shared" si="13"/>
        <v>-0.40000000000972602</v>
      </c>
      <c r="V20" s="44">
        <f t="shared" si="14"/>
        <v>-2.7000000000096902</v>
      </c>
      <c r="W20" s="45">
        <f t="shared" si="15"/>
        <v>0.40000000000972602</v>
      </c>
      <c r="X20" s="29">
        <v>12.0608</v>
      </c>
      <c r="Y20" s="43">
        <f t="shared" si="16"/>
        <v>-0.19999999999953399</v>
      </c>
      <c r="Z20" s="44">
        <f t="shared" si="17"/>
        <v>-3.0999999999998802</v>
      </c>
      <c r="AA20" s="45">
        <f t="shared" si="18"/>
        <v>-0.19999999999953399</v>
      </c>
      <c r="AB20" s="49">
        <v>8.5596999999999994</v>
      </c>
      <c r="AC20" s="43">
        <f t="shared" si="19"/>
        <v>-0.50000000000061096</v>
      </c>
      <c r="AD20" s="44">
        <f t="shared" si="20"/>
        <v>-1.50000000000006</v>
      </c>
      <c r="AE20" s="45">
        <f t="shared" si="21"/>
        <v>-0.50000000000061096</v>
      </c>
      <c r="AF20" s="50">
        <v>80277</v>
      </c>
      <c r="AG20" s="58">
        <f t="shared" si="22"/>
        <v>115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44806</v>
      </c>
      <c r="B21" s="22">
        <v>791.80629999999996</v>
      </c>
      <c r="C21" s="27">
        <v>5.7304000000000004</v>
      </c>
      <c r="D21" s="23">
        <f t="shared" si="0"/>
        <v>797.5367</v>
      </c>
      <c r="E21" s="24">
        <f t="shared" si="1"/>
        <v>0</v>
      </c>
      <c r="F21" s="25">
        <f t="shared" si="2"/>
        <v>-2.79999999997926</v>
      </c>
      <c r="G21" s="26">
        <f t="shared" si="3"/>
        <v>0</v>
      </c>
      <c r="H21" s="6">
        <v>6.8276000000000003</v>
      </c>
      <c r="I21" s="35">
        <f t="shared" si="4"/>
        <v>798.63390000000004</v>
      </c>
      <c r="J21" s="24">
        <f t="shared" si="5"/>
        <v>-0.10000000008858501</v>
      </c>
      <c r="K21" s="25">
        <f t="shared" si="6"/>
        <v>-2.1000000000412902</v>
      </c>
      <c r="L21" s="26">
        <f t="shared" si="7"/>
        <v>-3.3333333362861602E-2</v>
      </c>
      <c r="M21" s="6">
        <v>5.2256000000000098</v>
      </c>
      <c r="N21" s="35">
        <f t="shared" si="8"/>
        <v>797.03189999999995</v>
      </c>
      <c r="O21" s="24">
        <f t="shared" si="9"/>
        <v>-0.20000000006348301</v>
      </c>
      <c r="P21" s="25">
        <f t="shared" si="10"/>
        <v>-3.1000000000176402</v>
      </c>
      <c r="Q21" s="26">
        <f t="shared" si="11"/>
        <v>-6.66666666878276E-2</v>
      </c>
      <c r="R21" s="41"/>
      <c r="S21" s="21">
        <f t="shared" si="12"/>
        <v>44806</v>
      </c>
      <c r="T21" s="42">
        <v>9.3005999999999904</v>
      </c>
      <c r="U21" s="43">
        <f t="shared" si="13"/>
        <v>-0.19999999999953399</v>
      </c>
      <c r="V21" s="44">
        <f t="shared" si="14"/>
        <v>-2.9000000000092299</v>
      </c>
      <c r="W21" s="45">
        <f t="shared" si="15"/>
        <v>6.6666666666511304E-2</v>
      </c>
      <c r="X21" s="29">
        <v>12.061</v>
      </c>
      <c r="Y21" s="43">
        <f t="shared" si="16"/>
        <v>0.19999999999953399</v>
      </c>
      <c r="Z21" s="44">
        <f t="shared" si="17"/>
        <v>-2.9000000000003499</v>
      </c>
      <c r="AA21" s="45">
        <f t="shared" si="18"/>
        <v>6.6666666666511304E-2</v>
      </c>
      <c r="AB21" s="49">
        <v>8.5595999999999997</v>
      </c>
      <c r="AC21" s="43">
        <f t="shared" si="19"/>
        <v>-9.99999999997669E-2</v>
      </c>
      <c r="AD21" s="44">
        <f t="shared" si="20"/>
        <v>-1.59999999999982</v>
      </c>
      <c r="AE21" s="45">
        <f t="shared" si="21"/>
        <v>-3.3333333333255603E-2</v>
      </c>
      <c r="AF21" s="50">
        <v>80280</v>
      </c>
      <c r="AG21" s="58">
        <f t="shared" si="22"/>
        <v>118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44808</v>
      </c>
      <c r="B22" s="22">
        <v>791.80629999999996</v>
      </c>
      <c r="C22" s="27">
        <v>5.7300000000000102</v>
      </c>
      <c r="D22" s="23">
        <f t="shared" si="0"/>
        <v>797.53629999999998</v>
      </c>
      <c r="E22" s="24">
        <f t="shared" si="1"/>
        <v>-0.40000000001327901</v>
      </c>
      <c r="F22" s="25">
        <f t="shared" si="2"/>
        <v>-3.1999999999925399</v>
      </c>
      <c r="G22" s="26">
        <f t="shared" si="3"/>
        <v>-0.20000000000663901</v>
      </c>
      <c r="H22" s="6">
        <v>6.827</v>
      </c>
      <c r="I22" s="35">
        <f t="shared" si="4"/>
        <v>798.63329999999996</v>
      </c>
      <c r="J22" s="24">
        <f t="shared" si="5"/>
        <v>-0.59999999996307496</v>
      </c>
      <c r="K22" s="25">
        <f t="shared" si="6"/>
        <v>-2.70000000000437</v>
      </c>
      <c r="L22" s="26">
        <f t="shared" si="7"/>
        <v>-0.29999999998153698</v>
      </c>
      <c r="M22" s="6">
        <v>5.2256999999999998</v>
      </c>
      <c r="N22" s="35">
        <f t="shared" si="8"/>
        <v>797.03200000000004</v>
      </c>
      <c r="O22" s="24">
        <f t="shared" si="9"/>
        <v>9.9999999974897905E-2</v>
      </c>
      <c r="P22" s="25">
        <f t="shared" si="10"/>
        <v>-3.0000000000427498</v>
      </c>
      <c r="Q22" s="26">
        <f t="shared" si="11"/>
        <v>4.9999999987449001E-2</v>
      </c>
      <c r="R22" s="41"/>
      <c r="S22" s="21">
        <f t="shared" si="12"/>
        <v>44808</v>
      </c>
      <c r="T22" s="42">
        <v>9.3004999999999995</v>
      </c>
      <c r="U22" s="43">
        <f t="shared" si="13"/>
        <v>-9.9999999990885199E-2</v>
      </c>
      <c r="V22" s="44">
        <f t="shared" si="14"/>
        <v>-3.0000000000001101</v>
      </c>
      <c r="W22" s="45">
        <f t="shared" si="15"/>
        <v>4.99999999954426E-2</v>
      </c>
      <c r="X22" s="29">
        <v>12.0604</v>
      </c>
      <c r="Y22" s="43">
        <f t="shared" si="16"/>
        <v>-0.60000000000037801</v>
      </c>
      <c r="Z22" s="44">
        <f t="shared" si="17"/>
        <v>-3.5000000000007199</v>
      </c>
      <c r="AA22" s="45">
        <f t="shared" si="18"/>
        <v>-0.300000000000189</v>
      </c>
      <c r="AB22" s="49">
        <v>8.5594999999999999</v>
      </c>
      <c r="AC22" s="43">
        <f t="shared" si="19"/>
        <v>-9.99999999997669E-2</v>
      </c>
      <c r="AD22" s="44">
        <f t="shared" si="20"/>
        <v>-1.6999999999995901</v>
      </c>
      <c r="AE22" s="45">
        <f t="shared" si="21"/>
        <v>-4.9999999999883499E-2</v>
      </c>
      <c r="AF22" s="50">
        <v>80283</v>
      </c>
      <c r="AG22" s="58">
        <f t="shared" si="22"/>
        <v>121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44810</v>
      </c>
      <c r="B23" s="22">
        <v>791.80629999999996</v>
      </c>
      <c r="C23" s="27">
        <v>5.7298000000000098</v>
      </c>
      <c r="D23" s="23">
        <f t="shared" si="0"/>
        <v>797.53610000000003</v>
      </c>
      <c r="E23" s="24">
        <f t="shared" si="1"/>
        <v>-0.20000000006348301</v>
      </c>
      <c r="F23" s="25">
        <f t="shared" si="2"/>
        <v>-3.40000000005602</v>
      </c>
      <c r="G23" s="26">
        <f t="shared" si="3"/>
        <v>-0.100000000031741</v>
      </c>
      <c r="H23" s="6">
        <v>6.8273999999999999</v>
      </c>
      <c r="I23" s="35">
        <f t="shared" si="4"/>
        <v>798.63369999999998</v>
      </c>
      <c r="J23" s="24">
        <f t="shared" si="5"/>
        <v>0.40000000001327901</v>
      </c>
      <c r="K23" s="25">
        <f t="shared" si="6"/>
        <v>-2.2999999999910901</v>
      </c>
      <c r="L23" s="26">
        <f t="shared" si="7"/>
        <v>0.20000000000663901</v>
      </c>
      <c r="M23" s="6">
        <v>5.2252000000000098</v>
      </c>
      <c r="N23" s="35">
        <f t="shared" si="8"/>
        <v>797.03150000000005</v>
      </c>
      <c r="O23" s="24">
        <f t="shared" si="9"/>
        <v>-0.49999999998817701</v>
      </c>
      <c r="P23" s="25">
        <f t="shared" si="10"/>
        <v>-3.5000000000309202</v>
      </c>
      <c r="Q23" s="26">
        <f t="shared" si="11"/>
        <v>-0.24999999999408801</v>
      </c>
      <c r="R23" s="41"/>
      <c r="S23" s="21">
        <f t="shared" si="12"/>
        <v>44810</v>
      </c>
      <c r="T23" s="42">
        <v>9.3001999999999807</v>
      </c>
      <c r="U23" s="43">
        <f t="shared" si="13"/>
        <v>-0.30000000001884097</v>
      </c>
      <c r="V23" s="44">
        <f t="shared" si="14"/>
        <v>-3.30000000001895</v>
      </c>
      <c r="W23" s="45">
        <f t="shared" si="15"/>
        <v>0.15000000000941999</v>
      </c>
      <c r="X23" s="29">
        <v>12.0602</v>
      </c>
      <c r="Y23" s="43">
        <f t="shared" si="16"/>
        <v>-0.19999999999953399</v>
      </c>
      <c r="Z23" s="44">
        <f t="shared" si="17"/>
        <v>-3.70000000000026</v>
      </c>
      <c r="AA23" s="45">
        <f t="shared" si="18"/>
        <v>-9.99999999997669E-2</v>
      </c>
      <c r="AB23" s="49">
        <v>8.5595999999999997</v>
      </c>
      <c r="AC23" s="43">
        <f t="shared" si="19"/>
        <v>9.99999999997669E-2</v>
      </c>
      <c r="AD23" s="44">
        <f t="shared" si="20"/>
        <v>-1.59999999999982</v>
      </c>
      <c r="AE23" s="45">
        <f t="shared" si="21"/>
        <v>4.9999999999883499E-2</v>
      </c>
      <c r="AF23" s="50">
        <v>80286</v>
      </c>
      <c r="AG23" s="58">
        <f t="shared" si="22"/>
        <v>124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44812</v>
      </c>
      <c r="B24" s="22">
        <v>791.80629999999996</v>
      </c>
      <c r="C24" s="27">
        <v>5.7301000000000002</v>
      </c>
      <c r="D24" s="23">
        <f t="shared" si="0"/>
        <v>797.53639999999996</v>
      </c>
      <c r="E24" s="24">
        <f t="shared" si="1"/>
        <v>0.30000000003838101</v>
      </c>
      <c r="F24" s="25">
        <f t="shared" si="2"/>
        <v>-3.1000000000176402</v>
      </c>
      <c r="G24" s="26">
        <f t="shared" si="3"/>
        <v>0.15000000001919001</v>
      </c>
      <c r="H24" s="6">
        <v>6.8273000000000001</v>
      </c>
      <c r="I24" s="35">
        <f t="shared" si="4"/>
        <v>798.6336</v>
      </c>
      <c r="J24" s="24">
        <f t="shared" si="5"/>
        <v>-9.9999999974897905E-2</v>
      </c>
      <c r="K24" s="25">
        <f t="shared" si="6"/>
        <v>-2.39999999996598</v>
      </c>
      <c r="L24" s="26">
        <f t="shared" si="7"/>
        <v>-4.9999999987449001E-2</v>
      </c>
      <c r="M24" s="6">
        <v>5.2250000000000103</v>
      </c>
      <c r="N24" s="35">
        <f t="shared" si="8"/>
        <v>797.03129999999999</v>
      </c>
      <c r="O24" s="24">
        <f t="shared" si="9"/>
        <v>-0.199999999949796</v>
      </c>
      <c r="P24" s="25">
        <f t="shared" si="10"/>
        <v>-3.69999999998072</v>
      </c>
      <c r="Q24" s="26">
        <f t="shared" si="11"/>
        <v>-9.9999999974897905E-2</v>
      </c>
      <c r="R24" s="41"/>
      <c r="S24" s="21">
        <f t="shared" si="12"/>
        <v>44812</v>
      </c>
      <c r="T24" s="42">
        <v>9.2999999999999794</v>
      </c>
      <c r="U24" s="43">
        <f t="shared" si="13"/>
        <v>-0.20000000000130999</v>
      </c>
      <c r="V24" s="44">
        <f t="shared" si="14"/>
        <v>-3.5000000000202598</v>
      </c>
      <c r="W24" s="45">
        <f t="shared" si="15"/>
        <v>0.100000000000655</v>
      </c>
      <c r="X24" s="29">
        <v>12.0603</v>
      </c>
      <c r="Y24" s="43">
        <f t="shared" si="16"/>
        <v>9.99999999997669E-2</v>
      </c>
      <c r="Z24" s="44">
        <f t="shared" si="17"/>
        <v>-3.6000000000004899</v>
      </c>
      <c r="AA24" s="45">
        <f t="shared" si="18"/>
        <v>4.9999999999883499E-2</v>
      </c>
      <c r="AB24" s="49">
        <v>8.5593000000000004</v>
      </c>
      <c r="AC24" s="43">
        <f t="shared" si="19"/>
        <v>-0.29999999999930099</v>
      </c>
      <c r="AD24" s="44">
        <f t="shared" si="20"/>
        <v>-1.8999999999991199</v>
      </c>
      <c r="AE24" s="45">
        <f t="shared" si="21"/>
        <v>-0.14999999999965</v>
      </c>
      <c r="AF24" s="50">
        <v>80289</v>
      </c>
      <c r="AG24" s="58">
        <f t="shared" si="22"/>
        <v>127</v>
      </c>
      <c r="AH24" s="59"/>
      <c r="AI24" s="60"/>
      <c r="AJ24" s="52"/>
      <c r="AK24" s="52"/>
      <c r="AL24" s="52"/>
      <c r="AM24" s="52"/>
    </row>
    <row r="25" spans="1:48">
      <c r="A25" s="21">
        <v>44814</v>
      </c>
      <c r="B25" s="22">
        <v>791.80629999999996</v>
      </c>
      <c r="C25" s="27">
        <v>5.7294000000000098</v>
      </c>
      <c r="D25" s="23">
        <f t="shared" si="0"/>
        <v>797.53570000000002</v>
      </c>
      <c r="E25" s="24">
        <f t="shared" si="1"/>
        <v>-0.69999999993797202</v>
      </c>
      <c r="F25" s="25">
        <f t="shared" si="2"/>
        <v>-3.7999999999556202</v>
      </c>
      <c r="G25" s="26">
        <f t="shared" si="3"/>
        <v>-0.34999999996898601</v>
      </c>
      <c r="H25" s="6">
        <v>6.8274999999999997</v>
      </c>
      <c r="I25" s="35">
        <f t="shared" si="4"/>
        <v>798.63379999999995</v>
      </c>
      <c r="J25" s="24">
        <f t="shared" si="5"/>
        <v>0.199999999949796</v>
      </c>
      <c r="K25" s="25">
        <f t="shared" si="6"/>
        <v>-2.2000000000161899</v>
      </c>
      <c r="L25" s="26">
        <f t="shared" si="7"/>
        <v>9.9999999974897905E-2</v>
      </c>
      <c r="M25" s="6">
        <v>5.2251000000000003</v>
      </c>
      <c r="N25" s="35">
        <f t="shared" si="8"/>
        <v>797.03139999999996</v>
      </c>
      <c r="O25" s="24">
        <f t="shared" si="9"/>
        <v>9.9999999974897905E-2</v>
      </c>
      <c r="P25" s="25">
        <f t="shared" si="10"/>
        <v>-3.6000000000058199</v>
      </c>
      <c r="Q25" s="26">
        <f t="shared" si="11"/>
        <v>4.9999999987449001E-2</v>
      </c>
      <c r="R25" s="41"/>
      <c r="S25" s="21">
        <f t="shared" si="12"/>
        <v>44814</v>
      </c>
      <c r="T25" s="42">
        <v>9.3001000000000005</v>
      </c>
      <c r="U25" s="43">
        <f t="shared" si="13"/>
        <v>0.100000000021083</v>
      </c>
      <c r="V25" s="44">
        <f t="shared" si="14"/>
        <v>-3.3999999999991801</v>
      </c>
      <c r="W25" s="45">
        <f t="shared" si="15"/>
        <v>-5.0000000010541598E-2</v>
      </c>
      <c r="X25" s="29">
        <v>12.059799999999999</v>
      </c>
      <c r="Y25" s="43">
        <f t="shared" si="16"/>
        <v>-0.50000000000061096</v>
      </c>
      <c r="Z25" s="44">
        <f t="shared" si="17"/>
        <v>-4.1000000000011001</v>
      </c>
      <c r="AA25" s="45">
        <f t="shared" si="18"/>
        <v>-0.25000000000030598</v>
      </c>
      <c r="AB25" s="49">
        <v>8.5592000000000006</v>
      </c>
      <c r="AC25" s="43">
        <f t="shared" si="19"/>
        <v>-9.99999999997669E-2</v>
      </c>
      <c r="AD25" s="44">
        <f t="shared" si="20"/>
        <v>-1.99999999999889</v>
      </c>
      <c r="AE25" s="45">
        <f t="shared" si="21"/>
        <v>-4.9999999999883499E-2</v>
      </c>
      <c r="AF25" s="50">
        <v>80292</v>
      </c>
      <c r="AG25" s="58">
        <f t="shared" si="22"/>
        <v>130</v>
      </c>
      <c r="AH25" s="61"/>
      <c r="AI25" s="60"/>
      <c r="AJ25" s="52"/>
      <c r="AK25" s="52"/>
      <c r="AL25" s="52"/>
      <c r="AM25" s="52"/>
    </row>
    <row r="26" spans="1:48">
      <c r="A26" s="21">
        <v>44816</v>
      </c>
      <c r="B26" s="22">
        <v>791.80629999999996</v>
      </c>
      <c r="C26" s="27">
        <v>5.7292000000000103</v>
      </c>
      <c r="D26" s="23">
        <f t="shared" si="0"/>
        <v>797.53549999999996</v>
      </c>
      <c r="E26" s="24">
        <f t="shared" si="1"/>
        <v>-0.20000000006348301</v>
      </c>
      <c r="F26" s="25">
        <f t="shared" si="2"/>
        <v>-4.0000000000191003</v>
      </c>
      <c r="G26" s="26">
        <f t="shared" si="3"/>
        <v>-0.100000000031741</v>
      </c>
      <c r="H26" s="6">
        <v>6.8270999999999997</v>
      </c>
      <c r="I26" s="35">
        <f t="shared" si="4"/>
        <v>798.63340000000005</v>
      </c>
      <c r="J26" s="24">
        <f t="shared" si="5"/>
        <v>-0.40000000001327901</v>
      </c>
      <c r="K26" s="25">
        <f t="shared" si="6"/>
        <v>-2.6000000000294698</v>
      </c>
      <c r="L26" s="26">
        <f t="shared" si="7"/>
        <v>-0.20000000000663901</v>
      </c>
      <c r="M26" s="6">
        <v>5.2246000000000103</v>
      </c>
      <c r="N26" s="35">
        <f t="shared" si="8"/>
        <v>797.03089999999997</v>
      </c>
      <c r="O26" s="24">
        <f t="shared" si="9"/>
        <v>-0.49999999998817701</v>
      </c>
      <c r="P26" s="25">
        <f t="shared" si="10"/>
        <v>-4.099999999994</v>
      </c>
      <c r="Q26" s="26">
        <f t="shared" si="11"/>
        <v>-0.24999999999408801</v>
      </c>
      <c r="R26" s="41"/>
      <c r="S26" s="21">
        <f t="shared" si="12"/>
        <v>44816</v>
      </c>
      <c r="T26" s="42">
        <v>9.2995999999999803</v>
      </c>
      <c r="U26" s="43">
        <f t="shared" si="13"/>
        <v>-0.50000000002015099</v>
      </c>
      <c r="V26" s="44">
        <f t="shared" si="14"/>
        <v>-3.9000000000193298</v>
      </c>
      <c r="W26" s="45">
        <f t="shared" si="15"/>
        <v>0.250000000010075</v>
      </c>
      <c r="X26" s="29">
        <v>12.0596</v>
      </c>
      <c r="Y26" s="43">
        <f t="shared" si="16"/>
        <v>-0.19999999999953399</v>
      </c>
      <c r="Z26" s="44">
        <f t="shared" si="17"/>
        <v>-4.3000000000006402</v>
      </c>
      <c r="AA26" s="45">
        <f t="shared" si="18"/>
        <v>-9.99999999997669E-2</v>
      </c>
      <c r="AB26" s="49">
        <v>8.5591000000000008</v>
      </c>
      <c r="AC26" s="43">
        <f t="shared" si="19"/>
        <v>-9.99999999997669E-2</v>
      </c>
      <c r="AD26" s="44">
        <f t="shared" si="20"/>
        <v>-2.0999999999986598</v>
      </c>
      <c r="AE26" s="45">
        <f t="shared" si="21"/>
        <v>-4.9999999999883499E-2</v>
      </c>
      <c r="AF26" s="50">
        <v>80295</v>
      </c>
      <c r="AG26" s="58">
        <f t="shared" si="22"/>
        <v>133</v>
      </c>
      <c r="AH26" s="59"/>
      <c r="AI26" s="60"/>
      <c r="AJ26" s="61"/>
      <c r="AK26" s="62"/>
      <c r="AL26" s="60"/>
      <c r="AM26" s="64"/>
    </row>
    <row r="27" spans="1:48">
      <c r="A27" s="21">
        <v>44818</v>
      </c>
      <c r="B27" s="22">
        <v>791.80629999999996</v>
      </c>
      <c r="C27" s="27">
        <v>5.7294999999999998</v>
      </c>
      <c r="D27" s="23">
        <f t="shared" si="0"/>
        <v>797.53579999999999</v>
      </c>
      <c r="E27" s="24">
        <f t="shared" si="1"/>
        <v>0.30000000003838101</v>
      </c>
      <c r="F27" s="25">
        <f t="shared" si="2"/>
        <v>-3.69999999998072</v>
      </c>
      <c r="G27" s="26">
        <f t="shared" si="3"/>
        <v>0.15000000001919001</v>
      </c>
      <c r="H27" s="6">
        <v>6.827</v>
      </c>
      <c r="I27" s="35">
        <f t="shared" si="4"/>
        <v>798.63329999999996</v>
      </c>
      <c r="J27" s="24">
        <f t="shared" si="5"/>
        <v>-9.9999999974897905E-2</v>
      </c>
      <c r="K27" s="25">
        <f t="shared" si="6"/>
        <v>-2.70000000000437</v>
      </c>
      <c r="L27" s="26">
        <f t="shared" si="7"/>
        <v>-4.9999999987449001E-2</v>
      </c>
      <c r="M27" s="6">
        <v>5.2244000000000099</v>
      </c>
      <c r="N27" s="35">
        <f t="shared" si="8"/>
        <v>797.03070000000002</v>
      </c>
      <c r="O27" s="24">
        <f t="shared" si="9"/>
        <v>-0.199999999949796</v>
      </c>
      <c r="P27" s="25">
        <f t="shared" si="10"/>
        <v>-4.2999999999437897</v>
      </c>
      <c r="Q27" s="26">
        <f t="shared" si="11"/>
        <v>-9.9999999974897905E-2</v>
      </c>
      <c r="R27" s="41"/>
      <c r="S27" s="21">
        <f t="shared" si="12"/>
        <v>44818</v>
      </c>
      <c r="T27" s="42">
        <v>9.2997999999999994</v>
      </c>
      <c r="U27" s="43">
        <f t="shared" si="13"/>
        <v>0.200000000019074</v>
      </c>
      <c r="V27" s="44">
        <f t="shared" si="14"/>
        <v>-3.70000000000026</v>
      </c>
      <c r="W27" s="45">
        <f t="shared" si="15"/>
        <v>-0.100000000009537</v>
      </c>
      <c r="X27" s="29">
        <v>12.059799999999999</v>
      </c>
      <c r="Y27" s="43">
        <f t="shared" si="16"/>
        <v>0.19999999999953399</v>
      </c>
      <c r="Z27" s="44">
        <f t="shared" si="17"/>
        <v>-4.1000000000011001</v>
      </c>
      <c r="AA27" s="45">
        <f t="shared" si="18"/>
        <v>9.99999999997669E-2</v>
      </c>
      <c r="AB27" s="49">
        <v>8.5592000000000006</v>
      </c>
      <c r="AC27" s="43">
        <f t="shared" si="19"/>
        <v>9.99999999997669E-2</v>
      </c>
      <c r="AD27" s="44">
        <f t="shared" si="20"/>
        <v>-1.99999999999889</v>
      </c>
      <c r="AE27" s="45">
        <f t="shared" si="21"/>
        <v>4.9999999999883499E-2</v>
      </c>
      <c r="AF27" s="50">
        <v>80298</v>
      </c>
      <c r="AG27" s="58">
        <f t="shared" si="22"/>
        <v>136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F27-F10</f>
        <v>-2.8999999999541601</v>
      </c>
      <c r="F28" s="33">
        <f>K27-K10</f>
        <v>-1.70000000002801</v>
      </c>
      <c r="G28" s="33">
        <f>P27-P10</f>
        <v>-3.3999999999423398</v>
      </c>
      <c r="H28" s="33">
        <f>F27</f>
        <v>-3.69999999998072</v>
      </c>
      <c r="I28" s="66">
        <f>K27</f>
        <v>-2.70000000000437</v>
      </c>
      <c r="J28" s="65">
        <f>P27</f>
        <v>-4.2999999999437897</v>
      </c>
      <c r="K28" s="33">
        <f>(P27-P10)/25</f>
        <v>-0.13599999999769399</v>
      </c>
      <c r="L28" s="26"/>
      <c r="N28" s="35"/>
      <c r="O28" s="24"/>
      <c r="P28" s="25"/>
      <c r="Q28" s="26"/>
      <c r="R28" s="41"/>
      <c r="S28" s="21"/>
      <c r="T28" s="42"/>
      <c r="U28" s="65">
        <f>V27-V10</f>
        <v>-3.0000000000001101</v>
      </c>
      <c r="V28" s="33">
        <f>Z27-Z10</f>
        <v>-3.0000000000001101</v>
      </c>
      <c r="W28" s="33">
        <f>AD27-AD10</f>
        <v>-1.50000000000006</v>
      </c>
      <c r="X28" s="33">
        <f>V27</f>
        <v>-3.70000000000026</v>
      </c>
      <c r="Y28" s="65">
        <f>Z27</f>
        <v>-4.1000000000011001</v>
      </c>
      <c r="Z28" s="33">
        <f>AD27</f>
        <v>-1.99999999999889</v>
      </c>
      <c r="AA28" s="33">
        <f>(AD27-AD10)/25</f>
        <v>-6.0000000000002301E-2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4"/>
  <sheetViews>
    <sheetView topLeftCell="Q25" workbookViewId="0">
      <selection activeCell="Q29" sqref="A29:XFD2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44794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44794</v>
      </c>
      <c r="B6" s="22">
        <v>791.80629999999996</v>
      </c>
      <c r="C6" s="27">
        <v>5.5697999999999999</v>
      </c>
      <c r="D6" s="23">
        <f t="shared" ref="D6:D28" si="0">C6+B6</f>
        <v>797.37609999999995</v>
      </c>
      <c r="E6" s="24">
        <v>0</v>
      </c>
      <c r="F6" s="25">
        <v>0</v>
      </c>
      <c r="G6" s="26">
        <v>0</v>
      </c>
      <c r="H6" s="6">
        <v>7.1064999999999996</v>
      </c>
      <c r="I6" s="35">
        <f t="shared" ref="I6:I28" si="1">H6+B6</f>
        <v>798.91279999999995</v>
      </c>
      <c r="J6" s="24">
        <v>0</v>
      </c>
      <c r="K6" s="25">
        <v>0</v>
      </c>
      <c r="L6" s="26">
        <v>0</v>
      </c>
      <c r="M6" s="6">
        <v>5.6841999999999997</v>
      </c>
      <c r="N6" s="35">
        <f t="shared" ref="N6:N28" si="2">M6+B6</f>
        <v>797.4905</v>
      </c>
      <c r="O6" s="24">
        <v>0</v>
      </c>
      <c r="P6" s="25">
        <v>0</v>
      </c>
      <c r="Q6" s="26">
        <v>0</v>
      </c>
      <c r="R6" s="41"/>
      <c r="S6" s="21">
        <f t="shared" ref="S6:S28" si="3">A6</f>
        <v>44794</v>
      </c>
      <c r="T6" s="42">
        <v>9.1559000000000008</v>
      </c>
      <c r="U6" s="43">
        <v>0</v>
      </c>
      <c r="V6" s="44">
        <v>0</v>
      </c>
      <c r="W6" s="45">
        <f>U6/(S6-S11)</f>
        <v>0</v>
      </c>
      <c r="X6" s="29">
        <v>11.945399999999999</v>
      </c>
      <c r="Y6" s="43">
        <v>0</v>
      </c>
      <c r="Z6" s="44">
        <v>0</v>
      </c>
      <c r="AA6" s="45">
        <v>0</v>
      </c>
      <c r="AB6" s="49">
        <v>8.7012999999999998</v>
      </c>
      <c r="AC6" s="43">
        <v>0</v>
      </c>
      <c r="AD6" s="44">
        <v>0</v>
      </c>
      <c r="AE6" s="45">
        <v>0</v>
      </c>
      <c r="AF6" s="50">
        <v>80210</v>
      </c>
      <c r="AG6" s="58">
        <f>AF6-80200</f>
        <v>10</v>
      </c>
      <c r="AH6" s="59"/>
      <c r="AI6" s="60"/>
      <c r="AJ6" s="61"/>
      <c r="AK6" s="62"/>
      <c r="AL6" s="52"/>
      <c r="AM6" s="52"/>
    </row>
    <row r="7" spans="1:48">
      <c r="A7" s="21">
        <v>44795</v>
      </c>
      <c r="B7" s="22">
        <v>791.80629999999996</v>
      </c>
      <c r="C7" s="27">
        <v>5.5697999999999999</v>
      </c>
      <c r="D7" s="23">
        <f t="shared" si="0"/>
        <v>797.37609999999995</v>
      </c>
      <c r="E7" s="24">
        <f t="shared" ref="E7:E26" si="4">(D7-D6)*1000</f>
        <v>0</v>
      </c>
      <c r="F7" s="25">
        <f t="shared" ref="F7:F26" si="5">F6+E7</f>
        <v>0</v>
      </c>
      <c r="G7" s="26">
        <f t="shared" ref="G7:G26" si="6">E7/(A7-A6)</f>
        <v>0</v>
      </c>
      <c r="H7" s="6">
        <v>7.1063000000000001</v>
      </c>
      <c r="I7" s="35">
        <f t="shared" si="1"/>
        <v>798.9126</v>
      </c>
      <c r="J7" s="24">
        <f t="shared" ref="J7:J26" si="7">(I7-I6)*1000</f>
        <v>-0.199999999949796</v>
      </c>
      <c r="K7" s="25">
        <f t="shared" ref="K7:K26" si="8">K6+J7</f>
        <v>-0.199999999949796</v>
      </c>
      <c r="L7" s="26">
        <f t="shared" ref="L7:L26" si="9">J7/(A7-A6)</f>
        <v>-0.199999999949796</v>
      </c>
      <c r="M7" s="6">
        <v>5.6841999999999997</v>
      </c>
      <c r="N7" s="35">
        <f t="shared" si="2"/>
        <v>797.4905</v>
      </c>
      <c r="O7" s="24">
        <f t="shared" ref="O7:O26" si="10">(N7-N6)*1000</f>
        <v>0</v>
      </c>
      <c r="P7" s="25">
        <f t="shared" ref="P7:P26" si="11">P6+O7</f>
        <v>0</v>
      </c>
      <c r="Q7" s="26">
        <f t="shared" ref="Q7:Q26" si="12">O7/(A7-A6)</f>
        <v>0</v>
      </c>
      <c r="R7" s="41"/>
      <c r="S7" s="21">
        <f t="shared" si="3"/>
        <v>44795</v>
      </c>
      <c r="T7" s="42">
        <v>9.1557999999999993</v>
      </c>
      <c r="U7" s="43">
        <f t="shared" ref="U7:U26" si="13">(T7-T6)*1000</f>
        <v>-0.10000000000154299</v>
      </c>
      <c r="V7" s="44">
        <f t="shared" ref="V7:V26" si="14">V6+U7</f>
        <v>-0.10000000000154299</v>
      </c>
      <c r="W7" s="45">
        <f t="shared" ref="W7:W26" si="15">U7/(S6-S7)</f>
        <v>0.10000000000154299</v>
      </c>
      <c r="X7" s="29">
        <v>11.945499999999999</v>
      </c>
      <c r="Y7" s="43">
        <f t="shared" ref="Y7:Y26" si="16">(X7-X6)*1000</f>
        <v>9.99999999997669E-2</v>
      </c>
      <c r="Z7" s="44">
        <f t="shared" ref="Z7:Z26" si="17">Z6+Y7</f>
        <v>9.99999999997669E-2</v>
      </c>
      <c r="AA7" s="45">
        <f t="shared" ref="AA7:AA26" si="18">Y7/(S7-S6)</f>
        <v>9.99999999997669E-2</v>
      </c>
      <c r="AB7" s="49">
        <v>8.7011000000000003</v>
      </c>
      <c r="AC7" s="43">
        <f t="shared" ref="AC7:AC26" si="19">(AB7-AB6)*1000</f>
        <v>-0.19999999999953399</v>
      </c>
      <c r="AD7" s="44">
        <f t="shared" ref="AD7:AD26" si="20">AD6+AC7</f>
        <v>-0.19999999999953399</v>
      </c>
      <c r="AE7" s="45">
        <f t="shared" ref="AE7:AE26" si="21">AC7/(S7-S6)</f>
        <v>-0.19999999999953399</v>
      </c>
      <c r="AF7" s="50">
        <v>80214</v>
      </c>
      <c r="AG7" s="58">
        <f t="shared" ref="AG7:AG28" si="22">AF7-80200</f>
        <v>14</v>
      </c>
      <c r="AH7" s="59"/>
      <c r="AI7" s="60"/>
      <c r="AJ7" s="61"/>
      <c r="AK7" s="62"/>
      <c r="AL7" s="52"/>
      <c r="AM7" s="52"/>
    </row>
    <row r="8" spans="1:48">
      <c r="A8" s="21">
        <v>44796</v>
      </c>
      <c r="B8" s="22">
        <v>791.80629999999996</v>
      </c>
      <c r="C8" s="27">
        <v>5.5696000000000003</v>
      </c>
      <c r="D8" s="23">
        <f t="shared" si="0"/>
        <v>797.3759</v>
      </c>
      <c r="E8" s="24">
        <f t="shared" si="4"/>
        <v>-0.199999999949796</v>
      </c>
      <c r="F8" s="25">
        <f t="shared" si="5"/>
        <v>-0.199999999949796</v>
      </c>
      <c r="G8" s="26">
        <f t="shared" si="6"/>
        <v>-0.199999999949796</v>
      </c>
      <c r="H8" s="6">
        <v>7.1062000000000003</v>
      </c>
      <c r="I8" s="35">
        <f t="shared" si="1"/>
        <v>798.91250000000002</v>
      </c>
      <c r="J8" s="24">
        <f t="shared" si="7"/>
        <v>-0.10000000008858501</v>
      </c>
      <c r="K8" s="25">
        <f t="shared" si="8"/>
        <v>-0.30000000003838101</v>
      </c>
      <c r="L8" s="26">
        <f t="shared" si="9"/>
        <v>-0.10000000008858501</v>
      </c>
      <c r="M8" s="6">
        <v>5.6844999999999999</v>
      </c>
      <c r="N8" s="35">
        <f t="shared" si="2"/>
        <v>797.49080000000004</v>
      </c>
      <c r="O8" s="24">
        <f t="shared" si="10"/>
        <v>0.29999999992469401</v>
      </c>
      <c r="P8" s="25">
        <f t="shared" si="11"/>
        <v>0.29999999992469401</v>
      </c>
      <c r="Q8" s="26">
        <f t="shared" si="12"/>
        <v>0.29999999992469401</v>
      </c>
      <c r="R8" s="41"/>
      <c r="S8" s="21">
        <f t="shared" si="3"/>
        <v>44796</v>
      </c>
      <c r="T8" s="42">
        <v>9.1555999999999997</v>
      </c>
      <c r="U8" s="43">
        <f t="shared" si="13"/>
        <v>-0.19999999999953399</v>
      </c>
      <c r="V8" s="44">
        <f t="shared" si="14"/>
        <v>-0.30000000000107702</v>
      </c>
      <c r="W8" s="45">
        <f t="shared" si="15"/>
        <v>0.19999999999953399</v>
      </c>
      <c r="X8" s="29">
        <v>11.9452</v>
      </c>
      <c r="Y8" s="43">
        <f t="shared" si="16"/>
        <v>-0.29999999999930099</v>
      </c>
      <c r="Z8" s="44">
        <f t="shared" si="17"/>
        <v>-0.19999999999953399</v>
      </c>
      <c r="AA8" s="45">
        <f t="shared" si="18"/>
        <v>-0.29999999999930099</v>
      </c>
      <c r="AB8" s="49">
        <v>8.7014999999999993</v>
      </c>
      <c r="AC8" s="43">
        <f t="shared" si="19"/>
        <v>0.39999999999906799</v>
      </c>
      <c r="AD8" s="44">
        <f t="shared" si="20"/>
        <v>0.19999999999953399</v>
      </c>
      <c r="AE8" s="45">
        <f t="shared" si="21"/>
        <v>0.39999999999906799</v>
      </c>
      <c r="AF8" s="50">
        <v>80218</v>
      </c>
      <c r="AG8" s="58">
        <f t="shared" si="22"/>
        <v>18</v>
      </c>
      <c r="AH8" s="59"/>
      <c r="AI8" s="60"/>
      <c r="AJ8" s="61"/>
      <c r="AK8" s="62"/>
      <c r="AL8" s="52"/>
      <c r="AM8" s="52"/>
    </row>
    <row r="9" spans="1:48">
      <c r="A9" s="21">
        <v>44797</v>
      </c>
      <c r="B9" s="22">
        <v>791.80629999999996</v>
      </c>
      <c r="C9" s="27">
        <v>5.5693999999999999</v>
      </c>
      <c r="D9" s="23">
        <f t="shared" si="0"/>
        <v>797.37570000000005</v>
      </c>
      <c r="E9" s="24">
        <f t="shared" si="4"/>
        <v>-0.20000000006348301</v>
      </c>
      <c r="F9" s="25">
        <f t="shared" si="5"/>
        <v>-0.40000000001327901</v>
      </c>
      <c r="G9" s="26">
        <f t="shared" si="6"/>
        <v>-0.20000000006348301</v>
      </c>
      <c r="H9" s="6">
        <v>7.1059000000000001</v>
      </c>
      <c r="I9" s="35">
        <f t="shared" si="1"/>
        <v>798.91219999999998</v>
      </c>
      <c r="J9" s="24">
        <f t="shared" si="7"/>
        <v>-0.29999999992469401</v>
      </c>
      <c r="K9" s="25">
        <f t="shared" si="8"/>
        <v>-0.59999999996307496</v>
      </c>
      <c r="L9" s="26">
        <f t="shared" si="9"/>
        <v>-0.29999999992469401</v>
      </c>
      <c r="M9" s="6">
        <v>5.6840000000000002</v>
      </c>
      <c r="N9" s="35">
        <f t="shared" si="2"/>
        <v>797.49030000000005</v>
      </c>
      <c r="O9" s="24">
        <f t="shared" si="10"/>
        <v>-0.49999999998817701</v>
      </c>
      <c r="P9" s="25">
        <f t="shared" si="11"/>
        <v>-0.20000000006348301</v>
      </c>
      <c r="Q9" s="26">
        <f t="shared" si="12"/>
        <v>-0.49999999998817701</v>
      </c>
      <c r="R9" s="41"/>
      <c r="S9" s="21">
        <f t="shared" si="3"/>
        <v>44797</v>
      </c>
      <c r="T9" s="42">
        <v>9.1555</v>
      </c>
      <c r="U9" s="43">
        <f t="shared" si="13"/>
        <v>-9.99999999997669E-2</v>
      </c>
      <c r="V9" s="44">
        <f t="shared" si="14"/>
        <v>-0.40000000000084401</v>
      </c>
      <c r="W9" s="45">
        <f t="shared" si="15"/>
        <v>9.99999999997669E-2</v>
      </c>
      <c r="X9" s="29">
        <v>11.945</v>
      </c>
      <c r="Y9" s="43">
        <f t="shared" si="16"/>
        <v>-0.19999999999953399</v>
      </c>
      <c r="Z9" s="44">
        <f t="shared" si="17"/>
        <v>-0.39999999999906799</v>
      </c>
      <c r="AA9" s="45">
        <f t="shared" si="18"/>
        <v>-0.19999999999953399</v>
      </c>
      <c r="AB9" s="49">
        <v>8.7006999999999994</v>
      </c>
      <c r="AC9" s="43">
        <f t="shared" si="19"/>
        <v>-0.799999999999912</v>
      </c>
      <c r="AD9" s="44">
        <f t="shared" si="20"/>
        <v>-0.60000000000037801</v>
      </c>
      <c r="AE9" s="45">
        <f t="shared" si="21"/>
        <v>-0.799999999999912</v>
      </c>
      <c r="AF9" s="50">
        <v>80222</v>
      </c>
      <c r="AG9" s="58">
        <f t="shared" si="22"/>
        <v>22</v>
      </c>
      <c r="AH9" s="61"/>
      <c r="AI9" s="60"/>
      <c r="AJ9"/>
      <c r="AK9"/>
      <c r="AL9"/>
      <c r="AM9"/>
    </row>
    <row r="10" spans="1:48">
      <c r="A10" s="21">
        <v>44798</v>
      </c>
      <c r="B10" s="22">
        <v>791.80629999999996</v>
      </c>
      <c r="C10" s="27">
        <v>5.5694999999999997</v>
      </c>
      <c r="D10" s="23">
        <f t="shared" si="0"/>
        <v>797.37580000000003</v>
      </c>
      <c r="E10" s="24">
        <f t="shared" si="4"/>
        <v>9.9999999974897905E-2</v>
      </c>
      <c r="F10" s="25">
        <f t="shared" si="5"/>
        <v>-0.30000000003838101</v>
      </c>
      <c r="G10" s="26">
        <f t="shared" si="6"/>
        <v>9.9999999974897905E-2</v>
      </c>
      <c r="H10" s="6">
        <v>7.1056999999999997</v>
      </c>
      <c r="I10" s="35">
        <f t="shared" si="1"/>
        <v>798.91200000000003</v>
      </c>
      <c r="J10" s="24">
        <f t="shared" si="7"/>
        <v>-0.20000000006348301</v>
      </c>
      <c r="K10" s="25">
        <f t="shared" si="8"/>
        <v>-0.80000000002655702</v>
      </c>
      <c r="L10" s="26">
        <f t="shared" si="9"/>
        <v>-0.20000000006348301</v>
      </c>
      <c r="M10" s="6">
        <v>5.6837999999999997</v>
      </c>
      <c r="N10" s="35">
        <f t="shared" si="2"/>
        <v>797.49009999999998</v>
      </c>
      <c r="O10" s="24">
        <f t="shared" si="10"/>
        <v>-0.199999999949796</v>
      </c>
      <c r="P10" s="25">
        <f t="shared" si="11"/>
        <v>-0.40000000001327901</v>
      </c>
      <c r="Q10" s="26">
        <f t="shared" si="12"/>
        <v>-0.199999999949796</v>
      </c>
      <c r="R10" s="41"/>
      <c r="S10" s="21">
        <f t="shared" si="3"/>
        <v>44798</v>
      </c>
      <c r="T10" s="42">
        <v>9.1552000000000007</v>
      </c>
      <c r="U10" s="43">
        <f t="shared" si="13"/>
        <v>-0.29999999999930099</v>
      </c>
      <c r="V10" s="44">
        <f t="shared" si="14"/>
        <v>-0.70000000000014495</v>
      </c>
      <c r="W10" s="45">
        <f t="shared" si="15"/>
        <v>0.29999999999930099</v>
      </c>
      <c r="X10" s="29">
        <v>11.944800000000001</v>
      </c>
      <c r="Y10" s="43">
        <f t="shared" si="16"/>
        <v>-0.19999999999953399</v>
      </c>
      <c r="Z10" s="44">
        <f t="shared" si="17"/>
        <v>-0.59999999999860198</v>
      </c>
      <c r="AA10" s="45">
        <f t="shared" si="18"/>
        <v>-0.19999999999953399</v>
      </c>
      <c r="AB10" s="49">
        <v>8.7004999999999999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80226</v>
      </c>
      <c r="AG10" s="58">
        <f t="shared" si="22"/>
        <v>26</v>
      </c>
      <c r="AH10" s="59"/>
      <c r="AI10" s="60"/>
      <c r="AJ10" s="61"/>
      <c r="AK10" s="62"/>
      <c r="AL10" s="52"/>
      <c r="AM10" s="52"/>
    </row>
    <row r="11" spans="1:48">
      <c r="A11" s="21">
        <v>44799</v>
      </c>
      <c r="B11" s="22">
        <v>791.80629999999996</v>
      </c>
      <c r="C11" s="27">
        <v>5.569</v>
      </c>
      <c r="D11" s="23">
        <f t="shared" si="0"/>
        <v>797.37530000000004</v>
      </c>
      <c r="E11" s="24">
        <f t="shared" si="4"/>
        <v>-0.49999999998817701</v>
      </c>
      <c r="F11" s="25">
        <f t="shared" si="5"/>
        <v>-0.80000000002655702</v>
      </c>
      <c r="G11" s="26">
        <f t="shared" si="6"/>
        <v>-0.49999999998817701</v>
      </c>
      <c r="H11" s="6">
        <v>7.1058000000000003</v>
      </c>
      <c r="I11" s="35">
        <f t="shared" si="1"/>
        <v>798.91210000000001</v>
      </c>
      <c r="J11" s="24">
        <f t="shared" si="7"/>
        <v>0.10000000008858501</v>
      </c>
      <c r="K11" s="25">
        <f t="shared" si="8"/>
        <v>-0.69999999993797202</v>
      </c>
      <c r="L11" s="26">
        <f t="shared" si="9"/>
        <v>0.10000000008858501</v>
      </c>
      <c r="M11" s="6">
        <v>5.6837</v>
      </c>
      <c r="N11" s="35">
        <f t="shared" si="2"/>
        <v>797.49</v>
      </c>
      <c r="O11" s="24">
        <f t="shared" si="10"/>
        <v>-9.9999999974897905E-2</v>
      </c>
      <c r="P11" s="25">
        <f t="shared" si="11"/>
        <v>-0.49999999998817701</v>
      </c>
      <c r="Q11" s="26">
        <f t="shared" si="12"/>
        <v>-9.9999999974897905E-2</v>
      </c>
      <c r="R11" s="41"/>
      <c r="S11" s="21">
        <f t="shared" si="3"/>
        <v>44799</v>
      </c>
      <c r="T11" s="42">
        <v>9.1549999999999994</v>
      </c>
      <c r="U11" s="43">
        <f t="shared" si="13"/>
        <v>-0.20000000000130999</v>
      </c>
      <c r="V11" s="44">
        <f t="shared" si="14"/>
        <v>-0.90000000000145497</v>
      </c>
      <c r="W11" s="45">
        <f t="shared" si="15"/>
        <v>0.20000000000130999</v>
      </c>
      <c r="X11" s="29">
        <v>11.944699999999999</v>
      </c>
      <c r="Y11" s="43">
        <f t="shared" si="16"/>
        <v>-0.10000000000154299</v>
      </c>
      <c r="Z11" s="44">
        <f t="shared" si="17"/>
        <v>-0.70000000000014495</v>
      </c>
      <c r="AA11" s="45">
        <f t="shared" si="18"/>
        <v>-0.10000000000154299</v>
      </c>
      <c r="AB11" s="49">
        <v>8.7003000000000004</v>
      </c>
      <c r="AC11" s="43">
        <f t="shared" si="19"/>
        <v>-0.19999999999953399</v>
      </c>
      <c r="AD11" s="44">
        <f t="shared" si="20"/>
        <v>-0.999999999999446</v>
      </c>
      <c r="AE11" s="45">
        <f t="shared" si="21"/>
        <v>-0.19999999999953399</v>
      </c>
      <c r="AF11" s="50">
        <v>80230</v>
      </c>
      <c r="AG11" s="58">
        <f t="shared" si="22"/>
        <v>30</v>
      </c>
      <c r="AH11" s="61"/>
      <c r="AI11" s="60"/>
      <c r="AJ11"/>
      <c r="AK11"/>
      <c r="AL11"/>
      <c r="AM11"/>
    </row>
    <row r="12" spans="1:48">
      <c r="A12" s="21">
        <v>44800</v>
      </c>
      <c r="B12" s="22">
        <v>791.80629999999996</v>
      </c>
      <c r="C12" s="27">
        <v>5.5688000000000004</v>
      </c>
      <c r="D12" s="23">
        <f t="shared" si="0"/>
        <v>797.37509999999997</v>
      </c>
      <c r="E12" s="24">
        <f t="shared" si="4"/>
        <v>-0.199999999949796</v>
      </c>
      <c r="F12" s="25">
        <f t="shared" si="5"/>
        <v>-0.99999999997635303</v>
      </c>
      <c r="G12" s="26">
        <f t="shared" si="6"/>
        <v>-0.199999999949796</v>
      </c>
      <c r="H12" s="6">
        <v>7.1052999999999997</v>
      </c>
      <c r="I12" s="35">
        <f t="shared" si="1"/>
        <v>798.91160000000002</v>
      </c>
      <c r="J12" s="24">
        <f t="shared" si="7"/>
        <v>-0.50000000010186296</v>
      </c>
      <c r="K12" s="25">
        <f t="shared" si="8"/>
        <v>-1.2000000000398401</v>
      </c>
      <c r="L12" s="26">
        <f t="shared" si="9"/>
        <v>-0.50000000010186296</v>
      </c>
      <c r="M12" s="6">
        <v>5.6833999999999998</v>
      </c>
      <c r="N12" s="35">
        <f t="shared" si="2"/>
        <v>797.48969999999997</v>
      </c>
      <c r="O12" s="24">
        <f t="shared" si="10"/>
        <v>-0.30000000003838101</v>
      </c>
      <c r="P12" s="25">
        <f t="shared" si="11"/>
        <v>-0.80000000002655702</v>
      </c>
      <c r="Q12" s="26">
        <f t="shared" si="12"/>
        <v>-0.30000000003838101</v>
      </c>
      <c r="R12" s="41"/>
      <c r="S12" s="21">
        <f t="shared" si="3"/>
        <v>44800</v>
      </c>
      <c r="T12" s="42">
        <v>9.1550999999999991</v>
      </c>
      <c r="U12" s="43">
        <f t="shared" si="13"/>
        <v>9.99999999997669E-2</v>
      </c>
      <c r="V12" s="44">
        <f t="shared" si="14"/>
        <v>-0.80000000000168803</v>
      </c>
      <c r="W12" s="45">
        <f t="shared" si="15"/>
        <v>-9.99999999997669E-2</v>
      </c>
      <c r="X12" s="29">
        <v>11.9444</v>
      </c>
      <c r="Y12" s="43">
        <f t="shared" si="16"/>
        <v>-0.29999999999930099</v>
      </c>
      <c r="Z12" s="44">
        <f t="shared" si="17"/>
        <v>-0.999999999999446</v>
      </c>
      <c r="AA12" s="45">
        <f t="shared" si="18"/>
        <v>-0.29999999999930099</v>
      </c>
      <c r="AB12" s="49">
        <v>8.7004999999999999</v>
      </c>
      <c r="AC12" s="43">
        <f t="shared" si="19"/>
        <v>0.19999999999953399</v>
      </c>
      <c r="AD12" s="44">
        <f t="shared" si="20"/>
        <v>-0.799999999999912</v>
      </c>
      <c r="AE12" s="45">
        <f t="shared" si="21"/>
        <v>0.19999999999953399</v>
      </c>
      <c r="AF12" s="50">
        <v>80234</v>
      </c>
      <c r="AG12" s="58">
        <f t="shared" si="22"/>
        <v>34</v>
      </c>
      <c r="AH12" s="59"/>
      <c r="AI12" s="60"/>
      <c r="AJ12"/>
      <c r="AK12"/>
      <c r="AL12"/>
      <c r="AM12"/>
    </row>
    <row r="13" spans="1:48">
      <c r="A13" s="21">
        <v>44801</v>
      </c>
      <c r="B13" s="22">
        <v>791.80629999999996</v>
      </c>
      <c r="C13" s="27">
        <v>5.5689000000000002</v>
      </c>
      <c r="D13" s="23">
        <f t="shared" si="0"/>
        <v>797.37519999999995</v>
      </c>
      <c r="E13" s="24">
        <f t="shared" si="4"/>
        <v>9.9999999974897905E-2</v>
      </c>
      <c r="F13" s="25">
        <f t="shared" si="5"/>
        <v>-0.90000000000145497</v>
      </c>
      <c r="G13" s="26">
        <f t="shared" si="6"/>
        <v>9.9999999974897905E-2</v>
      </c>
      <c r="H13" s="6">
        <v>7.1051000000000002</v>
      </c>
      <c r="I13" s="35">
        <f t="shared" si="1"/>
        <v>798.91139999999996</v>
      </c>
      <c r="J13" s="24">
        <f t="shared" si="7"/>
        <v>-0.199999999949796</v>
      </c>
      <c r="K13" s="25">
        <f t="shared" si="8"/>
        <v>-1.39999999998963</v>
      </c>
      <c r="L13" s="26">
        <f t="shared" si="9"/>
        <v>-0.199999999949796</v>
      </c>
      <c r="M13" s="6">
        <v>5.6833999999999998</v>
      </c>
      <c r="N13" s="35">
        <f t="shared" si="2"/>
        <v>797.48969999999997</v>
      </c>
      <c r="O13" s="24">
        <f t="shared" si="10"/>
        <v>0</v>
      </c>
      <c r="P13" s="25">
        <f t="shared" si="11"/>
        <v>-0.80000000002655702</v>
      </c>
      <c r="Q13" s="26">
        <f t="shared" si="12"/>
        <v>0</v>
      </c>
      <c r="R13" s="41"/>
      <c r="S13" s="21">
        <f t="shared" si="3"/>
        <v>44801</v>
      </c>
      <c r="T13" s="42">
        <v>9.1546000000000003</v>
      </c>
      <c r="U13" s="43">
        <f t="shared" si="13"/>
        <v>-0.49999999999883499</v>
      </c>
      <c r="V13" s="44">
        <f t="shared" si="14"/>
        <v>-1.3000000000005201</v>
      </c>
      <c r="W13" s="45">
        <f t="shared" si="15"/>
        <v>0.49999999999883499</v>
      </c>
      <c r="X13" s="29">
        <v>11.9442</v>
      </c>
      <c r="Y13" s="43">
        <f t="shared" si="16"/>
        <v>-0.19999999999953399</v>
      </c>
      <c r="Z13" s="44">
        <f t="shared" si="17"/>
        <v>-1.1999999999989801</v>
      </c>
      <c r="AA13" s="45">
        <f t="shared" si="18"/>
        <v>-0.19999999999953399</v>
      </c>
      <c r="AB13" s="49">
        <v>8.6998999999999995</v>
      </c>
      <c r="AC13" s="43">
        <f t="shared" si="19"/>
        <v>-0.60000000000037801</v>
      </c>
      <c r="AD13" s="44">
        <f t="shared" si="20"/>
        <v>-1.4000000000002899</v>
      </c>
      <c r="AE13" s="45">
        <f t="shared" si="21"/>
        <v>-0.60000000000037801</v>
      </c>
      <c r="AF13" s="50">
        <v>80238</v>
      </c>
      <c r="AG13" s="58">
        <f t="shared" si="22"/>
        <v>38</v>
      </c>
      <c r="AH13" s="61"/>
      <c r="AI13" s="60"/>
      <c r="AJ13"/>
      <c r="AK13"/>
      <c r="AL13"/>
      <c r="AM13"/>
    </row>
    <row r="14" spans="1:48">
      <c r="A14" s="21">
        <v>44802</v>
      </c>
      <c r="B14" s="22">
        <v>791.80629999999996</v>
      </c>
      <c r="C14" s="27">
        <v>5.5683999999999996</v>
      </c>
      <c r="D14" s="23">
        <f t="shared" si="0"/>
        <v>797.37469999999996</v>
      </c>
      <c r="E14" s="24">
        <f t="shared" si="4"/>
        <v>-0.49999999998817701</v>
      </c>
      <c r="F14" s="25">
        <f t="shared" si="5"/>
        <v>-1.39999999998963</v>
      </c>
      <c r="G14" s="26">
        <f t="shared" si="6"/>
        <v>-0.49999999998817701</v>
      </c>
      <c r="H14" s="6">
        <v>7.1048999999999998</v>
      </c>
      <c r="I14" s="35">
        <f t="shared" si="1"/>
        <v>798.91120000000001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5.6829999999999998</v>
      </c>
      <c r="N14" s="35">
        <f t="shared" si="2"/>
        <v>797.48929999999996</v>
      </c>
      <c r="O14" s="24">
        <f t="shared" si="10"/>
        <v>-0.40000000001327901</v>
      </c>
      <c r="P14" s="25">
        <f t="shared" si="11"/>
        <v>-1.2000000000398401</v>
      </c>
      <c r="Q14" s="26">
        <f t="shared" si="12"/>
        <v>-0.40000000001327901</v>
      </c>
      <c r="R14" s="41"/>
      <c r="S14" s="21">
        <f t="shared" si="3"/>
        <v>44802</v>
      </c>
      <c r="T14" s="42">
        <v>9.1544000000000008</v>
      </c>
      <c r="U14" s="43">
        <f t="shared" si="13"/>
        <v>-0.19999999999953399</v>
      </c>
      <c r="V14" s="44">
        <f t="shared" si="14"/>
        <v>-1.50000000000006</v>
      </c>
      <c r="W14" s="45">
        <f t="shared" si="15"/>
        <v>0.19999999999953399</v>
      </c>
      <c r="X14" s="29">
        <v>11.9445</v>
      </c>
      <c r="Y14" s="43">
        <f t="shared" si="16"/>
        <v>0.29999999999930099</v>
      </c>
      <c r="Z14" s="44">
        <f t="shared" si="17"/>
        <v>-0.89999999999967895</v>
      </c>
      <c r="AA14" s="45">
        <f t="shared" si="18"/>
        <v>0.29999999999930099</v>
      </c>
      <c r="AB14" s="49">
        <v>8.6997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80242</v>
      </c>
      <c r="AG14" s="58">
        <f t="shared" si="22"/>
        <v>42</v>
      </c>
      <c r="AH14" s="59"/>
      <c r="AI14" s="60"/>
      <c r="AJ14"/>
      <c r="AK14"/>
      <c r="AL14"/>
      <c r="AM14"/>
    </row>
    <row r="15" spans="1:48">
      <c r="A15" s="21">
        <v>44803</v>
      </c>
      <c r="B15" s="22">
        <v>791.80629999999996</v>
      </c>
      <c r="C15" s="27">
        <v>5.5682</v>
      </c>
      <c r="D15" s="23">
        <f t="shared" si="0"/>
        <v>797.37450000000001</v>
      </c>
      <c r="E15" s="24">
        <f t="shared" si="4"/>
        <v>-0.199999999949796</v>
      </c>
      <c r="F15" s="25">
        <f t="shared" si="5"/>
        <v>-1.5999999999394301</v>
      </c>
      <c r="G15" s="26">
        <f t="shared" si="6"/>
        <v>-0.199999999949796</v>
      </c>
      <c r="H15" s="6">
        <v>7.1050000000000004</v>
      </c>
      <c r="I15" s="35">
        <f t="shared" si="1"/>
        <v>798.91129999999998</v>
      </c>
      <c r="J15" s="24">
        <f t="shared" si="7"/>
        <v>9.9999999974897905E-2</v>
      </c>
      <c r="K15" s="25">
        <f t="shared" si="8"/>
        <v>-1.4999999999645299</v>
      </c>
      <c r="L15" s="26">
        <f t="shared" si="9"/>
        <v>9.9999999974897905E-2</v>
      </c>
      <c r="M15" s="6">
        <v>5.6828000000000003</v>
      </c>
      <c r="N15" s="35">
        <f t="shared" si="2"/>
        <v>797.48910000000001</v>
      </c>
      <c r="O15" s="24">
        <f t="shared" si="10"/>
        <v>-0.199999999949796</v>
      </c>
      <c r="P15" s="25">
        <f t="shared" si="11"/>
        <v>-1.39999999998963</v>
      </c>
      <c r="Q15" s="26">
        <f t="shared" si="12"/>
        <v>-0.199999999949796</v>
      </c>
      <c r="R15" s="41"/>
      <c r="S15" s="21">
        <f t="shared" si="3"/>
        <v>44803</v>
      </c>
      <c r="T15" s="42">
        <v>9.1545000000000005</v>
      </c>
      <c r="U15" s="43">
        <f t="shared" si="13"/>
        <v>9.99999999997669E-2</v>
      </c>
      <c r="V15" s="44">
        <f t="shared" si="14"/>
        <v>-1.4000000000002899</v>
      </c>
      <c r="W15" s="45">
        <f t="shared" si="15"/>
        <v>-9.99999999997669E-2</v>
      </c>
      <c r="X15" s="29">
        <v>11.9438</v>
      </c>
      <c r="Y15" s="43">
        <f t="shared" si="16"/>
        <v>-0.70000000000014495</v>
      </c>
      <c r="Z15" s="44">
        <f t="shared" si="17"/>
        <v>-1.59999999999982</v>
      </c>
      <c r="AA15" s="45">
        <f t="shared" si="18"/>
        <v>-0.70000000000014495</v>
      </c>
      <c r="AB15" s="49">
        <v>8.6995000000000005</v>
      </c>
      <c r="AC15" s="43">
        <f t="shared" si="19"/>
        <v>-0.19999999999953399</v>
      </c>
      <c r="AD15" s="44">
        <f t="shared" si="20"/>
        <v>-1.7999999999993599</v>
      </c>
      <c r="AE15" s="45">
        <f t="shared" si="21"/>
        <v>-0.19999999999953399</v>
      </c>
      <c r="AF15" s="50">
        <v>80246</v>
      </c>
      <c r="AG15" s="58">
        <f t="shared" si="22"/>
        <v>46</v>
      </c>
      <c r="AH15" s="61"/>
      <c r="AI15" s="60"/>
      <c r="AJ15"/>
      <c r="AK15"/>
      <c r="AL15"/>
      <c r="AM15"/>
    </row>
    <row r="16" spans="1:48">
      <c r="A16" s="21">
        <v>44804</v>
      </c>
      <c r="B16" s="22">
        <v>791.80629999999996</v>
      </c>
      <c r="C16" s="27">
        <v>5.5682999999999998</v>
      </c>
      <c r="D16" s="23">
        <f t="shared" si="0"/>
        <v>797.37459999999999</v>
      </c>
      <c r="E16" s="24">
        <f t="shared" si="4"/>
        <v>9.9999999974897905E-2</v>
      </c>
      <c r="F16" s="25">
        <f t="shared" si="5"/>
        <v>-1.4999999999645299</v>
      </c>
      <c r="G16" s="26">
        <f t="shared" si="6"/>
        <v>9.9999999974897905E-2</v>
      </c>
      <c r="H16" s="6">
        <v>7.1044999999999998</v>
      </c>
      <c r="I16" s="35">
        <f t="shared" si="1"/>
        <v>798.91079999999999</v>
      </c>
      <c r="J16" s="24">
        <f t="shared" si="7"/>
        <v>-0.49999999998817701</v>
      </c>
      <c r="K16" s="25">
        <f t="shared" si="8"/>
        <v>-1.9999999999527101</v>
      </c>
      <c r="L16" s="26">
        <f t="shared" si="9"/>
        <v>-0.49999999998817701</v>
      </c>
      <c r="M16" s="6">
        <v>5.6826999999999996</v>
      </c>
      <c r="N16" s="35">
        <f t="shared" si="2"/>
        <v>797.48900000000003</v>
      </c>
      <c r="O16" s="24">
        <f t="shared" si="10"/>
        <v>-0.10000000008858501</v>
      </c>
      <c r="P16" s="25">
        <f t="shared" si="11"/>
        <v>-1.5000000000782201</v>
      </c>
      <c r="Q16" s="26">
        <f t="shared" si="12"/>
        <v>-0.10000000008858501</v>
      </c>
      <c r="R16" s="41"/>
      <c r="S16" s="21">
        <f t="shared" si="3"/>
        <v>44804</v>
      </c>
      <c r="T16" s="42">
        <v>9.1539999999999999</v>
      </c>
      <c r="U16" s="43">
        <f t="shared" si="13"/>
        <v>-0.50000000000061096</v>
      </c>
      <c r="V16" s="44">
        <f t="shared" si="14"/>
        <v>-1.9000000000009001</v>
      </c>
      <c r="W16" s="45">
        <f t="shared" si="15"/>
        <v>0.50000000000061096</v>
      </c>
      <c r="X16" s="29">
        <v>11.9436</v>
      </c>
      <c r="Y16" s="43">
        <f t="shared" si="16"/>
        <v>-0.19999999999953399</v>
      </c>
      <c r="Z16" s="44">
        <f t="shared" si="17"/>
        <v>-1.7999999999993599</v>
      </c>
      <c r="AA16" s="45">
        <f t="shared" si="18"/>
        <v>-0.19999999999953399</v>
      </c>
      <c r="AB16" s="49">
        <v>8.6996000000000002</v>
      </c>
      <c r="AC16" s="43">
        <f t="shared" si="19"/>
        <v>9.99999999997669E-2</v>
      </c>
      <c r="AD16" s="44">
        <f t="shared" si="20"/>
        <v>-1.6999999999995901</v>
      </c>
      <c r="AE16" s="45">
        <f t="shared" si="21"/>
        <v>9.99999999997669E-2</v>
      </c>
      <c r="AF16" s="50">
        <v>80250</v>
      </c>
      <c r="AG16" s="58">
        <f t="shared" si="22"/>
        <v>50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44805</v>
      </c>
      <c r="B17" s="22">
        <v>791.80629999999996</v>
      </c>
      <c r="C17" s="27">
        <v>5.5678000000000001</v>
      </c>
      <c r="D17" s="23">
        <f t="shared" si="0"/>
        <v>797.3741</v>
      </c>
      <c r="E17" s="24">
        <f t="shared" si="4"/>
        <v>-0.49999999998817701</v>
      </c>
      <c r="F17" s="25">
        <f t="shared" si="5"/>
        <v>-1.9999999999527101</v>
      </c>
      <c r="G17" s="26">
        <f t="shared" si="6"/>
        <v>-0.49999999998817701</v>
      </c>
      <c r="H17" s="6">
        <v>7.1043000000000003</v>
      </c>
      <c r="I17" s="35">
        <f t="shared" si="1"/>
        <v>798.91060000000004</v>
      </c>
      <c r="J17" s="24">
        <f t="shared" si="7"/>
        <v>-0.20000000006348301</v>
      </c>
      <c r="K17" s="25">
        <f t="shared" si="8"/>
        <v>-2.2000000000161899</v>
      </c>
      <c r="L17" s="26">
        <f t="shared" si="9"/>
        <v>-0.20000000006348301</v>
      </c>
      <c r="M17" s="6">
        <v>5.6824000000000003</v>
      </c>
      <c r="N17" s="35">
        <f t="shared" si="2"/>
        <v>797.48869999999999</v>
      </c>
      <c r="O17" s="24">
        <f t="shared" si="10"/>
        <v>-0.29999999992469401</v>
      </c>
      <c r="P17" s="25">
        <f t="shared" si="11"/>
        <v>-1.8000000000029099</v>
      </c>
      <c r="Q17" s="26">
        <f t="shared" si="12"/>
        <v>-0.29999999992469401</v>
      </c>
      <c r="R17" s="41"/>
      <c r="S17" s="21">
        <f t="shared" si="3"/>
        <v>44805</v>
      </c>
      <c r="T17" s="42">
        <v>9.1538000000000004</v>
      </c>
      <c r="U17" s="43">
        <f t="shared" si="13"/>
        <v>-0.19999999999953399</v>
      </c>
      <c r="V17" s="44">
        <f t="shared" si="14"/>
        <v>-2.10000000000043</v>
      </c>
      <c r="W17" s="45">
        <f t="shared" si="15"/>
        <v>0.19999999999953399</v>
      </c>
      <c r="X17" s="29">
        <v>11.9435</v>
      </c>
      <c r="Y17" s="43">
        <f t="shared" si="16"/>
        <v>-9.99999999997669E-2</v>
      </c>
      <c r="Z17" s="44">
        <f t="shared" si="17"/>
        <v>-1.8999999999991199</v>
      </c>
      <c r="AA17" s="45">
        <f t="shared" si="18"/>
        <v>-9.99999999997669E-2</v>
      </c>
      <c r="AB17" s="49">
        <v>8.6990999999999996</v>
      </c>
      <c r="AC17" s="43">
        <f t="shared" si="19"/>
        <v>-0.50000000000061096</v>
      </c>
      <c r="AD17" s="44">
        <f t="shared" si="20"/>
        <v>-2.2000000000002</v>
      </c>
      <c r="AE17" s="45">
        <f t="shared" si="21"/>
        <v>-0.50000000000061096</v>
      </c>
      <c r="AF17" s="50">
        <v>80254</v>
      </c>
      <c r="AG17" s="58">
        <f t="shared" si="22"/>
        <v>54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44806</v>
      </c>
      <c r="B18" s="22">
        <v>791.80629999999996</v>
      </c>
      <c r="C18" s="27">
        <v>5.5675999999999997</v>
      </c>
      <c r="D18" s="23">
        <f t="shared" si="0"/>
        <v>797.37390000000005</v>
      </c>
      <c r="E18" s="24">
        <f t="shared" si="4"/>
        <v>-0.20000000006348301</v>
      </c>
      <c r="F18" s="25">
        <f t="shared" si="5"/>
        <v>-2.2000000000161899</v>
      </c>
      <c r="G18" s="26">
        <f t="shared" si="6"/>
        <v>-0.20000000006348301</v>
      </c>
      <c r="H18" s="6">
        <v>7.1041000000000096</v>
      </c>
      <c r="I18" s="35">
        <f t="shared" si="1"/>
        <v>798.91039999999998</v>
      </c>
      <c r="J18" s="24">
        <f t="shared" si="7"/>
        <v>-0.199999999949796</v>
      </c>
      <c r="K18" s="25">
        <f t="shared" si="8"/>
        <v>-2.39999999996598</v>
      </c>
      <c r="L18" s="26">
        <f t="shared" si="9"/>
        <v>-0.199999999949796</v>
      </c>
      <c r="M18" s="6">
        <v>5.6821999999999999</v>
      </c>
      <c r="N18" s="35">
        <f t="shared" si="2"/>
        <v>797.48850000000004</v>
      </c>
      <c r="O18" s="24">
        <f t="shared" si="10"/>
        <v>-0.20000000006348301</v>
      </c>
      <c r="P18" s="25">
        <f t="shared" si="11"/>
        <v>-2.00000000006639</v>
      </c>
      <c r="Q18" s="26">
        <f t="shared" si="12"/>
        <v>-0.20000000006348301</v>
      </c>
      <c r="R18" s="41"/>
      <c r="S18" s="21">
        <f t="shared" si="3"/>
        <v>44806</v>
      </c>
      <c r="T18" s="42">
        <v>9.1532999999999998</v>
      </c>
      <c r="U18" s="43">
        <f t="shared" si="13"/>
        <v>-0.50000000000061096</v>
      </c>
      <c r="V18" s="44">
        <f t="shared" si="14"/>
        <v>-2.6000000000010499</v>
      </c>
      <c r="W18" s="45">
        <f t="shared" si="15"/>
        <v>0.50000000000061096</v>
      </c>
      <c r="X18" s="29">
        <v>11.943199999999999</v>
      </c>
      <c r="Y18" s="43">
        <f t="shared" si="16"/>
        <v>-0.30000000000107702</v>
      </c>
      <c r="Z18" s="44">
        <f t="shared" si="17"/>
        <v>-2.2000000000002</v>
      </c>
      <c r="AA18" s="45">
        <f t="shared" si="18"/>
        <v>-0.30000000000107702</v>
      </c>
      <c r="AB18" s="49">
        <v>8.6989000000000107</v>
      </c>
      <c r="AC18" s="43">
        <f t="shared" si="19"/>
        <v>-0.19999999998887599</v>
      </c>
      <c r="AD18" s="44">
        <f t="shared" si="20"/>
        <v>-2.3999999999890802</v>
      </c>
      <c r="AE18" s="45">
        <f t="shared" si="21"/>
        <v>-0.19999999998887599</v>
      </c>
      <c r="AF18" s="50">
        <v>80258</v>
      </c>
      <c r="AG18" s="58">
        <f t="shared" si="22"/>
        <v>58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44807</v>
      </c>
      <c r="B19" s="22">
        <v>791.80629999999996</v>
      </c>
      <c r="C19" s="27">
        <v>5.5679999999999996</v>
      </c>
      <c r="D19" s="23">
        <f t="shared" si="0"/>
        <v>797.37429999999995</v>
      </c>
      <c r="E19" s="24">
        <f t="shared" si="4"/>
        <v>0.40000000001327901</v>
      </c>
      <c r="F19" s="25">
        <f t="shared" si="5"/>
        <v>-1.8000000000029099</v>
      </c>
      <c r="G19" s="26">
        <f t="shared" si="6"/>
        <v>0.40000000001327901</v>
      </c>
      <c r="H19" s="6">
        <v>7.1041999999999996</v>
      </c>
      <c r="I19" s="35">
        <f t="shared" si="1"/>
        <v>798.91049999999996</v>
      </c>
      <c r="J19" s="24">
        <f t="shared" si="7"/>
        <v>9.9999999974897905E-2</v>
      </c>
      <c r="K19" s="25">
        <f t="shared" si="8"/>
        <v>-2.2999999999910901</v>
      </c>
      <c r="L19" s="26">
        <f t="shared" si="9"/>
        <v>9.9999999974897905E-2</v>
      </c>
      <c r="M19" s="6">
        <v>5.6820000000000004</v>
      </c>
      <c r="N19" s="35">
        <f t="shared" si="2"/>
        <v>797.48829999999998</v>
      </c>
      <c r="O19" s="24">
        <f t="shared" si="10"/>
        <v>-0.199999999949796</v>
      </c>
      <c r="P19" s="25">
        <f t="shared" si="11"/>
        <v>-2.2000000000161899</v>
      </c>
      <c r="Q19" s="26">
        <f t="shared" si="12"/>
        <v>-0.199999999949796</v>
      </c>
      <c r="R19" s="41"/>
      <c r="S19" s="21">
        <f t="shared" si="3"/>
        <v>44807</v>
      </c>
      <c r="T19" s="42">
        <v>9.1533999999999995</v>
      </c>
      <c r="U19" s="43">
        <f t="shared" si="13"/>
        <v>9.99999999997669E-2</v>
      </c>
      <c r="V19" s="44">
        <f t="shared" si="14"/>
        <v>-2.5000000000012799</v>
      </c>
      <c r="W19" s="45">
        <f t="shared" si="15"/>
        <v>-9.99999999997669E-2</v>
      </c>
      <c r="X19" s="29">
        <v>11.943</v>
      </c>
      <c r="Y19" s="43">
        <f t="shared" si="16"/>
        <v>-0.19999999999953399</v>
      </c>
      <c r="Z19" s="44">
        <f t="shared" si="17"/>
        <v>-2.3999999999997401</v>
      </c>
      <c r="AA19" s="45">
        <f t="shared" si="18"/>
        <v>-0.19999999999953399</v>
      </c>
      <c r="AB19" s="49">
        <v>8.6987000000000094</v>
      </c>
      <c r="AC19" s="43">
        <f t="shared" si="19"/>
        <v>-0.20000000000130999</v>
      </c>
      <c r="AD19" s="44">
        <f t="shared" si="20"/>
        <v>-2.59999999999039</v>
      </c>
      <c r="AE19" s="45">
        <f t="shared" si="21"/>
        <v>-0.20000000000130999</v>
      </c>
      <c r="AF19" s="50">
        <v>80262</v>
      </c>
      <c r="AG19" s="58">
        <f t="shared" si="22"/>
        <v>62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44808</v>
      </c>
      <c r="B20" s="22">
        <v>791.80629999999996</v>
      </c>
      <c r="C20" s="27">
        <v>5.5672000000000104</v>
      </c>
      <c r="D20" s="23">
        <f t="shared" si="0"/>
        <v>797.37350000000004</v>
      </c>
      <c r="E20" s="24">
        <f t="shared" si="4"/>
        <v>-0.80000000002655702</v>
      </c>
      <c r="F20" s="25">
        <f t="shared" si="5"/>
        <v>-2.6000000000294698</v>
      </c>
      <c r="G20" s="26">
        <f t="shared" si="6"/>
        <v>-0.80000000002655702</v>
      </c>
      <c r="H20" s="6">
        <v>7.1037000000000097</v>
      </c>
      <c r="I20" s="35">
        <f t="shared" si="1"/>
        <v>798.91</v>
      </c>
      <c r="J20" s="24">
        <f t="shared" si="7"/>
        <v>-0.49999999998817701</v>
      </c>
      <c r="K20" s="25">
        <f t="shared" si="8"/>
        <v>-2.79999999997926</v>
      </c>
      <c r="L20" s="26">
        <f t="shared" si="9"/>
        <v>-0.49999999998817701</v>
      </c>
      <c r="M20" s="6">
        <v>5.6818</v>
      </c>
      <c r="N20" s="35">
        <f t="shared" si="2"/>
        <v>797.48810000000003</v>
      </c>
      <c r="O20" s="24">
        <f t="shared" si="10"/>
        <v>-0.20000000006348301</v>
      </c>
      <c r="P20" s="25">
        <f t="shared" si="11"/>
        <v>-2.40000000007967</v>
      </c>
      <c r="Q20" s="26">
        <f t="shared" si="12"/>
        <v>-0.20000000006348301</v>
      </c>
      <c r="R20" s="41"/>
      <c r="S20" s="21">
        <f t="shared" si="3"/>
        <v>44808</v>
      </c>
      <c r="T20" s="42">
        <v>9.1532000000000107</v>
      </c>
      <c r="U20" s="43">
        <f t="shared" si="13"/>
        <v>-0.19999999998887599</v>
      </c>
      <c r="V20" s="44">
        <f t="shared" si="14"/>
        <v>-2.6999999999901498</v>
      </c>
      <c r="W20" s="45">
        <f t="shared" si="15"/>
        <v>0.19999999998887599</v>
      </c>
      <c r="X20" s="29">
        <v>11.943199999999999</v>
      </c>
      <c r="Y20" s="43">
        <f t="shared" si="16"/>
        <v>0.19999999999953399</v>
      </c>
      <c r="Z20" s="44">
        <f t="shared" si="17"/>
        <v>-2.2000000000002</v>
      </c>
      <c r="AA20" s="45">
        <f t="shared" si="18"/>
        <v>0.19999999999953399</v>
      </c>
      <c r="AB20" s="49">
        <v>8.6986000000000008</v>
      </c>
      <c r="AC20" s="43">
        <f t="shared" si="19"/>
        <v>-0.100000000008649</v>
      </c>
      <c r="AD20" s="44">
        <f t="shared" si="20"/>
        <v>-2.6999999999990401</v>
      </c>
      <c r="AE20" s="45">
        <f t="shared" si="21"/>
        <v>-0.100000000008649</v>
      </c>
      <c r="AF20" s="50">
        <v>80266</v>
      </c>
      <c r="AG20" s="58">
        <f t="shared" si="22"/>
        <v>66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44810</v>
      </c>
      <c r="B21" s="22">
        <v>791.80629999999996</v>
      </c>
      <c r="C21" s="27">
        <v>5.5670000000000099</v>
      </c>
      <c r="D21" s="23">
        <f t="shared" si="0"/>
        <v>797.37329999999997</v>
      </c>
      <c r="E21" s="24">
        <f t="shared" si="4"/>
        <v>-0.199999999949796</v>
      </c>
      <c r="F21" s="25">
        <f t="shared" si="5"/>
        <v>-2.79999999997926</v>
      </c>
      <c r="G21" s="26">
        <f t="shared" si="6"/>
        <v>-9.9999999974897905E-2</v>
      </c>
      <c r="H21" s="6">
        <v>7.1035000000000101</v>
      </c>
      <c r="I21" s="35">
        <f t="shared" si="1"/>
        <v>798.90980000000002</v>
      </c>
      <c r="J21" s="24">
        <f t="shared" si="7"/>
        <v>-0.199999999949796</v>
      </c>
      <c r="K21" s="25">
        <f t="shared" si="8"/>
        <v>-2.9999999999290599</v>
      </c>
      <c r="L21" s="26">
        <f t="shared" si="9"/>
        <v>-9.9999999974897905E-2</v>
      </c>
      <c r="M21" s="6">
        <v>5.6818</v>
      </c>
      <c r="N21" s="35">
        <f t="shared" si="2"/>
        <v>797.48810000000003</v>
      </c>
      <c r="O21" s="24">
        <f t="shared" si="10"/>
        <v>0</v>
      </c>
      <c r="P21" s="25">
        <f t="shared" si="11"/>
        <v>-2.40000000007967</v>
      </c>
      <c r="Q21" s="26">
        <f t="shared" si="12"/>
        <v>0</v>
      </c>
      <c r="R21" s="41"/>
      <c r="S21" s="21">
        <f t="shared" si="3"/>
        <v>44810</v>
      </c>
      <c r="T21" s="42">
        <v>9.1533999999999995</v>
      </c>
      <c r="U21" s="43">
        <f t="shared" si="13"/>
        <v>0.19999999998887599</v>
      </c>
      <c r="V21" s="44">
        <f t="shared" si="14"/>
        <v>-2.5000000000012799</v>
      </c>
      <c r="W21" s="45">
        <f t="shared" si="15"/>
        <v>-9.9999999994437899E-2</v>
      </c>
      <c r="X21" s="29">
        <v>11.942600000000001</v>
      </c>
      <c r="Y21" s="43">
        <f t="shared" si="16"/>
        <v>-0.59999999999860198</v>
      </c>
      <c r="Z21" s="44">
        <f t="shared" si="17"/>
        <v>-2.7999999999987999</v>
      </c>
      <c r="AA21" s="45">
        <f t="shared" si="18"/>
        <v>-0.29999999999930099</v>
      </c>
      <c r="AB21" s="49">
        <v>8.6983000000000104</v>
      </c>
      <c r="AC21" s="43">
        <f t="shared" si="19"/>
        <v>-0.29999999999041899</v>
      </c>
      <c r="AD21" s="44">
        <f t="shared" si="20"/>
        <v>-2.99999999998946</v>
      </c>
      <c r="AE21" s="45">
        <f t="shared" si="21"/>
        <v>-0.14999999999520999</v>
      </c>
      <c r="AF21" s="50">
        <v>80270</v>
      </c>
      <c r="AG21" s="58">
        <f t="shared" si="22"/>
        <v>70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44812</v>
      </c>
      <c r="B22" s="22">
        <v>791.80629999999996</v>
      </c>
      <c r="C22" s="27">
        <v>5.5670999999999999</v>
      </c>
      <c r="D22" s="23">
        <f t="shared" si="0"/>
        <v>797.37339999999995</v>
      </c>
      <c r="E22" s="24">
        <f t="shared" si="4"/>
        <v>9.9999999974897905E-2</v>
      </c>
      <c r="F22" s="25">
        <f t="shared" si="5"/>
        <v>-2.70000000000437</v>
      </c>
      <c r="G22" s="26">
        <f t="shared" si="6"/>
        <v>4.9999999987449001E-2</v>
      </c>
      <c r="H22" s="6">
        <v>7.1033999999999997</v>
      </c>
      <c r="I22" s="35">
        <f t="shared" si="1"/>
        <v>798.90970000000004</v>
      </c>
      <c r="J22" s="24">
        <f t="shared" si="7"/>
        <v>-0.10000000008858501</v>
      </c>
      <c r="K22" s="25">
        <f t="shared" si="8"/>
        <v>-3.1000000000176402</v>
      </c>
      <c r="L22" s="26">
        <f t="shared" si="9"/>
        <v>-5.0000000044292399E-2</v>
      </c>
      <c r="M22" s="6">
        <v>5.6813999999999902</v>
      </c>
      <c r="N22" s="35">
        <f t="shared" si="2"/>
        <v>797.48770000000002</v>
      </c>
      <c r="O22" s="24">
        <f t="shared" si="10"/>
        <v>-0.40000000001327901</v>
      </c>
      <c r="P22" s="25">
        <f t="shared" si="11"/>
        <v>-2.8000000000929499</v>
      </c>
      <c r="Q22" s="26">
        <f t="shared" si="12"/>
        <v>-0.20000000000663901</v>
      </c>
      <c r="R22" s="41"/>
      <c r="S22" s="21">
        <f t="shared" si="3"/>
        <v>44812</v>
      </c>
      <c r="T22" s="42">
        <v>9.1528000000000098</v>
      </c>
      <c r="U22" s="43">
        <f t="shared" si="13"/>
        <v>-0.59999999998971998</v>
      </c>
      <c r="V22" s="44">
        <f t="shared" si="14"/>
        <v>-3.0999999999910002</v>
      </c>
      <c r="W22" s="45">
        <f t="shared" si="15"/>
        <v>0.29999999999485999</v>
      </c>
      <c r="X22" s="29">
        <v>11.942399999999999</v>
      </c>
      <c r="Y22" s="43">
        <f t="shared" si="16"/>
        <v>-0.20000000000130999</v>
      </c>
      <c r="Z22" s="44">
        <f t="shared" si="17"/>
        <v>-3.0000000000001101</v>
      </c>
      <c r="AA22" s="45">
        <f t="shared" si="18"/>
        <v>-0.100000000000655</v>
      </c>
      <c r="AB22" s="49">
        <v>8.6981000000000108</v>
      </c>
      <c r="AC22" s="43">
        <f t="shared" si="19"/>
        <v>-0.19999999999953399</v>
      </c>
      <c r="AD22" s="44">
        <f t="shared" si="20"/>
        <v>-3.1999999999889899</v>
      </c>
      <c r="AE22" s="45">
        <f t="shared" si="21"/>
        <v>-9.99999999997669E-2</v>
      </c>
      <c r="AF22" s="50">
        <v>80274</v>
      </c>
      <c r="AG22" s="58">
        <f t="shared" si="22"/>
        <v>74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44814</v>
      </c>
      <c r="B23" s="22">
        <v>791.80629999999996</v>
      </c>
      <c r="C23" s="27">
        <v>5.56660000000001</v>
      </c>
      <c r="D23" s="23">
        <f t="shared" si="0"/>
        <v>797.37289999999996</v>
      </c>
      <c r="E23" s="24">
        <f t="shared" si="4"/>
        <v>-0.49999999998817701</v>
      </c>
      <c r="F23" s="25">
        <f t="shared" si="5"/>
        <v>-3.1999999999925399</v>
      </c>
      <c r="G23" s="26">
        <f t="shared" si="6"/>
        <v>-0.24999999999408801</v>
      </c>
      <c r="H23" s="6">
        <v>7.1031000000000102</v>
      </c>
      <c r="I23" s="35">
        <f t="shared" si="1"/>
        <v>798.90940000000001</v>
      </c>
      <c r="J23" s="24">
        <f t="shared" si="7"/>
        <v>-0.29999999992469401</v>
      </c>
      <c r="K23" s="25">
        <f t="shared" si="8"/>
        <v>-3.3999999999423398</v>
      </c>
      <c r="L23" s="26">
        <f t="shared" si="9"/>
        <v>-0.149999999962347</v>
      </c>
      <c r="M23" s="6">
        <v>5.6811999999999898</v>
      </c>
      <c r="N23" s="35">
        <f t="shared" si="2"/>
        <v>797.48749999999995</v>
      </c>
      <c r="O23" s="24">
        <f t="shared" si="10"/>
        <v>-0.199999999949796</v>
      </c>
      <c r="P23" s="25">
        <f t="shared" si="11"/>
        <v>-3.0000000000427498</v>
      </c>
      <c r="Q23" s="26">
        <f t="shared" si="12"/>
        <v>-9.9999999974897905E-2</v>
      </c>
      <c r="R23" s="41"/>
      <c r="S23" s="21">
        <f t="shared" si="3"/>
        <v>44814</v>
      </c>
      <c r="T23" s="42">
        <v>9.1529000000000007</v>
      </c>
      <c r="U23" s="43">
        <f t="shared" si="13"/>
        <v>9.9999999990885199E-2</v>
      </c>
      <c r="V23" s="44">
        <f t="shared" si="14"/>
        <v>-3.0000000000001101</v>
      </c>
      <c r="W23" s="45">
        <f t="shared" si="15"/>
        <v>-4.99999999954426E-2</v>
      </c>
      <c r="X23" s="29">
        <v>11.942500000000001</v>
      </c>
      <c r="Y23" s="43">
        <f t="shared" si="16"/>
        <v>0.10000000000154299</v>
      </c>
      <c r="Z23" s="44">
        <f t="shared" si="17"/>
        <v>-2.8999999999985699</v>
      </c>
      <c r="AA23" s="45">
        <f t="shared" si="18"/>
        <v>5.0000000000771601E-2</v>
      </c>
      <c r="AB23" s="49">
        <v>8.6982999999999997</v>
      </c>
      <c r="AC23" s="43">
        <f t="shared" si="19"/>
        <v>0.19999999998887599</v>
      </c>
      <c r="AD23" s="44">
        <f t="shared" si="20"/>
        <v>-3.0000000000001101</v>
      </c>
      <c r="AE23" s="45">
        <f t="shared" si="21"/>
        <v>9.9999999994437899E-2</v>
      </c>
      <c r="AF23" s="50">
        <v>80278</v>
      </c>
      <c r="AG23" s="58">
        <f t="shared" si="22"/>
        <v>78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44816</v>
      </c>
      <c r="B24" s="22">
        <v>791.80629999999996</v>
      </c>
      <c r="C24" s="27">
        <v>5.5664000000000096</v>
      </c>
      <c r="D24" s="23">
        <f t="shared" si="0"/>
        <v>797.37270000000001</v>
      </c>
      <c r="E24" s="24">
        <f t="shared" si="4"/>
        <v>-0.199999999949796</v>
      </c>
      <c r="F24" s="25">
        <f t="shared" si="5"/>
        <v>-3.3999999999423398</v>
      </c>
      <c r="G24" s="26">
        <f t="shared" si="6"/>
        <v>-9.9999999974897905E-2</v>
      </c>
      <c r="H24" s="6">
        <v>7.1029000000000098</v>
      </c>
      <c r="I24" s="35">
        <f t="shared" si="1"/>
        <v>798.90920000000006</v>
      </c>
      <c r="J24" s="24">
        <f t="shared" si="7"/>
        <v>-0.20000000006348301</v>
      </c>
      <c r="K24" s="25">
        <f t="shared" si="8"/>
        <v>-3.6000000000058199</v>
      </c>
      <c r="L24" s="26">
        <f t="shared" si="9"/>
        <v>-0.100000000031741</v>
      </c>
      <c r="M24" s="6">
        <v>5.6814</v>
      </c>
      <c r="N24" s="35">
        <f t="shared" si="2"/>
        <v>797.48770000000002</v>
      </c>
      <c r="O24" s="24">
        <f t="shared" si="10"/>
        <v>0.20000000006348301</v>
      </c>
      <c r="P24" s="25">
        <f t="shared" si="11"/>
        <v>-2.79999999997926</v>
      </c>
      <c r="Q24" s="26">
        <f t="shared" si="12"/>
        <v>0.100000000031741</v>
      </c>
      <c r="R24" s="41"/>
      <c r="S24" s="21">
        <f t="shared" si="3"/>
        <v>44816</v>
      </c>
      <c r="T24" s="42">
        <v>9.1524000000000107</v>
      </c>
      <c r="U24" s="43">
        <f t="shared" si="13"/>
        <v>-0.49999999998995298</v>
      </c>
      <c r="V24" s="44">
        <f t="shared" si="14"/>
        <v>-3.4999999999900702</v>
      </c>
      <c r="W24" s="45">
        <f t="shared" si="15"/>
        <v>0.24999999999497599</v>
      </c>
      <c r="X24" s="29">
        <v>11.942</v>
      </c>
      <c r="Y24" s="43">
        <f t="shared" si="16"/>
        <v>-0.50000000000061096</v>
      </c>
      <c r="Z24" s="44">
        <f t="shared" si="17"/>
        <v>-3.3999999999991801</v>
      </c>
      <c r="AA24" s="45">
        <f t="shared" si="18"/>
        <v>-0.25000000000030598</v>
      </c>
      <c r="AB24" s="49">
        <v>8.69770000000001</v>
      </c>
      <c r="AC24" s="43">
        <f t="shared" si="19"/>
        <v>-0.59999999998971998</v>
      </c>
      <c r="AD24" s="44">
        <f t="shared" si="20"/>
        <v>-3.59999999998983</v>
      </c>
      <c r="AE24" s="45">
        <f t="shared" si="21"/>
        <v>-0.29999999999485999</v>
      </c>
      <c r="AF24" s="50">
        <v>80282</v>
      </c>
      <c r="AG24" s="58">
        <f t="shared" si="22"/>
        <v>82</v>
      </c>
      <c r="AH24" s="59"/>
      <c r="AI24" s="60"/>
      <c r="AJ24" s="52"/>
      <c r="AK24" s="52"/>
      <c r="AL24" s="52"/>
      <c r="AM24" s="52"/>
    </row>
    <row r="25" spans="1:48">
      <c r="A25" s="21">
        <v>44818</v>
      </c>
      <c r="B25" s="22">
        <v>791.80629999999996</v>
      </c>
      <c r="C25" s="27">
        <v>5.5664999999999996</v>
      </c>
      <c r="D25" s="23">
        <f t="shared" si="0"/>
        <v>797.37279999999998</v>
      </c>
      <c r="E25" s="24">
        <f t="shared" si="4"/>
        <v>9.9999999974897905E-2</v>
      </c>
      <c r="F25" s="25">
        <f t="shared" si="5"/>
        <v>-3.2999999999674401</v>
      </c>
      <c r="G25" s="26">
        <f t="shared" si="6"/>
        <v>4.9999999987449001E-2</v>
      </c>
      <c r="H25" s="6">
        <v>7.1029999999999998</v>
      </c>
      <c r="I25" s="35">
        <f t="shared" si="1"/>
        <v>798.90930000000003</v>
      </c>
      <c r="J25" s="24">
        <f t="shared" si="7"/>
        <v>9.9999999974897905E-2</v>
      </c>
      <c r="K25" s="25">
        <f t="shared" si="8"/>
        <v>-3.5000000000309202</v>
      </c>
      <c r="L25" s="26">
        <f t="shared" si="9"/>
        <v>4.9999999987449001E-2</v>
      </c>
      <c r="M25" s="6">
        <v>5.6807999999999899</v>
      </c>
      <c r="N25" s="35">
        <f t="shared" si="2"/>
        <v>797.48710000000005</v>
      </c>
      <c r="O25" s="24">
        <f t="shared" si="10"/>
        <v>-0.60000000007676102</v>
      </c>
      <c r="P25" s="25">
        <f t="shared" si="11"/>
        <v>-3.40000000005602</v>
      </c>
      <c r="Q25" s="26">
        <f t="shared" si="12"/>
        <v>-0.30000000003838101</v>
      </c>
      <c r="R25" s="41"/>
      <c r="S25" s="21">
        <f t="shared" si="3"/>
        <v>44818</v>
      </c>
      <c r="T25" s="42">
        <v>9.1522000000000094</v>
      </c>
      <c r="U25" s="43">
        <f t="shared" si="13"/>
        <v>-0.20000000000130999</v>
      </c>
      <c r="V25" s="44">
        <f t="shared" si="14"/>
        <v>-3.69999999999138</v>
      </c>
      <c r="W25" s="45">
        <f t="shared" si="15"/>
        <v>0.100000000000655</v>
      </c>
      <c r="X25" s="29">
        <v>11.941800000000001</v>
      </c>
      <c r="Y25" s="43">
        <f t="shared" si="16"/>
        <v>-0.19999999999953399</v>
      </c>
      <c r="Z25" s="44">
        <f t="shared" si="17"/>
        <v>-3.5999999999987198</v>
      </c>
      <c r="AA25" s="45">
        <f t="shared" si="18"/>
        <v>-9.99999999997669E-2</v>
      </c>
      <c r="AB25" s="49">
        <v>8.6975000000000104</v>
      </c>
      <c r="AC25" s="43">
        <f t="shared" si="19"/>
        <v>-0.19999999999953399</v>
      </c>
      <c r="AD25" s="44">
        <f t="shared" si="20"/>
        <v>-3.7999999999893701</v>
      </c>
      <c r="AE25" s="45">
        <f t="shared" si="21"/>
        <v>-9.99999999997669E-2</v>
      </c>
      <c r="AF25" s="50">
        <v>80286</v>
      </c>
      <c r="AG25" s="58">
        <f t="shared" si="22"/>
        <v>86</v>
      </c>
      <c r="AH25" s="61"/>
      <c r="AI25" s="60"/>
      <c r="AJ25" s="52"/>
      <c r="AK25" s="52"/>
      <c r="AL25" s="52"/>
      <c r="AM25" s="52"/>
    </row>
    <row r="26" spans="1:48">
      <c r="A26" s="21">
        <v>44820</v>
      </c>
      <c r="B26" s="22">
        <v>791.80629999999996</v>
      </c>
      <c r="C26" s="27">
        <v>5.5660000000000096</v>
      </c>
      <c r="D26" s="23">
        <f t="shared" si="0"/>
        <v>797.3723</v>
      </c>
      <c r="E26" s="24">
        <f t="shared" si="4"/>
        <v>-0.49999999998817701</v>
      </c>
      <c r="F26" s="25">
        <f t="shared" si="5"/>
        <v>-3.7999999999556202</v>
      </c>
      <c r="G26" s="26">
        <f t="shared" si="6"/>
        <v>-0.24999999999408801</v>
      </c>
      <c r="H26" s="6">
        <v>7.1025000000000098</v>
      </c>
      <c r="I26" s="35">
        <f t="shared" si="1"/>
        <v>798.90880000000004</v>
      </c>
      <c r="J26" s="24">
        <f t="shared" si="7"/>
        <v>-0.49999999998817701</v>
      </c>
      <c r="K26" s="25">
        <f t="shared" si="8"/>
        <v>-4.0000000000191003</v>
      </c>
      <c r="L26" s="26">
        <f t="shared" si="9"/>
        <v>-0.24999999999408801</v>
      </c>
      <c r="M26" s="6">
        <v>5.6805000000000003</v>
      </c>
      <c r="N26" s="35">
        <f t="shared" si="2"/>
        <v>797.48680000000002</v>
      </c>
      <c r="O26" s="24">
        <f t="shared" si="10"/>
        <v>-0.29999999992469401</v>
      </c>
      <c r="P26" s="25">
        <f t="shared" si="11"/>
        <v>-3.69999999998072</v>
      </c>
      <c r="Q26" s="26">
        <f t="shared" si="12"/>
        <v>-0.149999999962347</v>
      </c>
      <c r="R26" s="41"/>
      <c r="S26" s="21">
        <f t="shared" si="3"/>
        <v>44820</v>
      </c>
      <c r="T26" s="42">
        <v>9.1520000000000099</v>
      </c>
      <c r="U26" s="43">
        <f t="shared" si="13"/>
        <v>-0.19999999999953399</v>
      </c>
      <c r="V26" s="44">
        <f t="shared" si="14"/>
        <v>-3.8999999999909098</v>
      </c>
      <c r="W26" s="45">
        <f t="shared" si="15"/>
        <v>9.99999999997669E-2</v>
      </c>
      <c r="X26" s="29">
        <v>11.9419</v>
      </c>
      <c r="Y26" s="43">
        <f t="shared" si="16"/>
        <v>9.99999999997669E-2</v>
      </c>
      <c r="Z26" s="44">
        <f t="shared" si="17"/>
        <v>-3.4999999999989502</v>
      </c>
      <c r="AA26" s="45">
        <f t="shared" si="18"/>
        <v>4.9999999999883499E-2</v>
      </c>
      <c r="AB26" s="49">
        <v>8.6975999999999996</v>
      </c>
      <c r="AC26" s="43">
        <f t="shared" si="19"/>
        <v>9.9999999989108801E-2</v>
      </c>
      <c r="AD26" s="44">
        <f t="shared" si="20"/>
        <v>-3.70000000000026</v>
      </c>
      <c r="AE26" s="45">
        <f t="shared" si="21"/>
        <v>4.99999999945544E-2</v>
      </c>
      <c r="AF26" s="50">
        <v>80290</v>
      </c>
      <c r="AG26" s="58">
        <f t="shared" si="22"/>
        <v>90</v>
      </c>
      <c r="AH26" s="59"/>
      <c r="AI26" s="60"/>
      <c r="AJ26" s="61"/>
      <c r="AK26" s="62"/>
      <c r="AL26" s="60"/>
      <c r="AM26" s="64"/>
    </row>
    <row r="27" spans="1:48">
      <c r="A27" s="21">
        <v>44822</v>
      </c>
      <c r="B27" s="22">
        <v>791.80629999999996</v>
      </c>
      <c r="C27" s="27">
        <v>5.5662000000000003</v>
      </c>
      <c r="D27" s="23">
        <f t="shared" si="0"/>
        <v>797.37249999999995</v>
      </c>
      <c r="E27" s="24">
        <f t="shared" ref="E27:E28" si="23">(D27-D26)*1000</f>
        <v>0.199999999949796</v>
      </c>
      <c r="F27" s="25">
        <f t="shared" ref="F27:F28" si="24">F26+E27</f>
        <v>-3.6000000000058199</v>
      </c>
      <c r="G27" s="26">
        <f t="shared" ref="G27:G28" si="25">E27/(A27-A26)</f>
        <v>9.9999999974897905E-2</v>
      </c>
      <c r="H27" s="6">
        <v>7.1025999999999998</v>
      </c>
      <c r="I27" s="35">
        <f t="shared" si="1"/>
        <v>798.90890000000002</v>
      </c>
      <c r="J27" s="24">
        <f t="shared" ref="J27:J28" si="26">(I27-I26)*1000</f>
        <v>0.10000000008858501</v>
      </c>
      <c r="K27" s="25">
        <f t="shared" ref="K27:K28" si="27">K26+J27</f>
        <v>-3.8999999999305102</v>
      </c>
      <c r="L27" s="26">
        <f t="shared" ref="L27:L28" si="28">J27/(A27-A26)</f>
        <v>5.0000000044292399E-2</v>
      </c>
      <c r="M27" s="6">
        <v>5.6802999999999999</v>
      </c>
      <c r="N27" s="35">
        <f t="shared" si="2"/>
        <v>797.48659999999995</v>
      </c>
      <c r="O27" s="24">
        <f t="shared" ref="O27:O28" si="29">(N27-N26)*1000</f>
        <v>-0.20000000006348301</v>
      </c>
      <c r="P27" s="25">
        <f t="shared" ref="P27:P28" si="30">P26+O27</f>
        <v>-3.9000000000442001</v>
      </c>
      <c r="Q27" s="26">
        <f t="shared" ref="Q27:Q28" si="31">O27/(A27-A26)</f>
        <v>-0.100000000031741</v>
      </c>
      <c r="R27" s="41"/>
      <c r="S27" s="21">
        <f t="shared" si="3"/>
        <v>44822</v>
      </c>
      <c r="T27" s="42">
        <v>9.1518999999999995</v>
      </c>
      <c r="U27" s="43">
        <f t="shared" ref="U27:U28" si="32">(T27-T26)*1000</f>
        <v>-0.100000000010425</v>
      </c>
      <c r="V27" s="44">
        <f t="shared" ref="V27:V28" si="33">V26+U27</f>
        <v>-4.0000000000013403</v>
      </c>
      <c r="W27" s="45">
        <f t="shared" ref="W27:W28" si="34">U27/(S26-S27)</f>
        <v>5.00000000052125E-2</v>
      </c>
      <c r="X27" s="29">
        <v>11.941800000000001</v>
      </c>
      <c r="Y27" s="43">
        <f t="shared" ref="Y27:Y28" si="35">(X27-X26)*1000</f>
        <v>-9.99999999997669E-2</v>
      </c>
      <c r="Z27" s="44">
        <f t="shared" ref="Z27:Z28" si="36">Z26+Y27</f>
        <v>-3.5999999999987198</v>
      </c>
      <c r="AA27" s="45">
        <f t="shared" ref="AA27:AA28" si="37">Y27/(S27-S26)</f>
        <v>-4.9999999999883499E-2</v>
      </c>
      <c r="AB27" s="49">
        <v>8.6974</v>
      </c>
      <c r="AC27" s="43">
        <f t="shared" ref="AC27:AC28" si="38">(AB27-AB26)*1000</f>
        <v>-0.19999999999953399</v>
      </c>
      <c r="AD27" s="44">
        <f t="shared" ref="AD27:AD28" si="39">AD26+AC27</f>
        <v>-3.8999999999997899</v>
      </c>
      <c r="AE27" s="45">
        <f t="shared" ref="AE27:AE28" si="40">AC27/(S27-S26)</f>
        <v>-9.99999999997669E-2</v>
      </c>
      <c r="AF27" s="50">
        <v>80294</v>
      </c>
      <c r="AG27" s="58">
        <f t="shared" si="22"/>
        <v>94</v>
      </c>
      <c r="AH27" s="59"/>
      <c r="AI27" s="60"/>
      <c r="AJ27" s="61"/>
      <c r="AK27" s="62"/>
      <c r="AL27" s="60"/>
      <c r="AM27" s="64"/>
    </row>
    <row r="28" spans="1:48">
      <c r="A28" s="21">
        <v>44824</v>
      </c>
      <c r="B28" s="22">
        <v>791.80629999999996</v>
      </c>
      <c r="C28" s="27">
        <v>5.5660999999999996</v>
      </c>
      <c r="D28" s="23">
        <f t="shared" si="0"/>
        <v>797.37239999999997</v>
      </c>
      <c r="E28" s="24">
        <f t="shared" si="23"/>
        <v>-9.9999999974897905E-2</v>
      </c>
      <c r="F28" s="25">
        <f t="shared" si="24"/>
        <v>-3.69999999998072</v>
      </c>
      <c r="G28" s="26">
        <f t="shared" si="25"/>
        <v>-4.9999999987449001E-2</v>
      </c>
      <c r="H28" s="6">
        <v>7.1028000000000002</v>
      </c>
      <c r="I28" s="35">
        <f t="shared" si="1"/>
        <v>798.90909999999997</v>
      </c>
      <c r="J28" s="24">
        <f t="shared" si="26"/>
        <v>0.199999999949796</v>
      </c>
      <c r="K28" s="25">
        <f t="shared" si="27"/>
        <v>-3.69999999998072</v>
      </c>
      <c r="L28" s="26">
        <f t="shared" si="28"/>
        <v>9.9999999974897905E-2</v>
      </c>
      <c r="M28" s="6">
        <v>5.6806000000000001</v>
      </c>
      <c r="N28" s="35">
        <f t="shared" si="2"/>
        <v>797.48689999999999</v>
      </c>
      <c r="O28" s="24">
        <f t="shared" si="29"/>
        <v>0.30000000003838101</v>
      </c>
      <c r="P28" s="25">
        <f t="shared" si="30"/>
        <v>-3.6000000000058199</v>
      </c>
      <c r="Q28" s="26">
        <f t="shared" si="31"/>
        <v>0.15000000001919001</v>
      </c>
      <c r="R28" s="41"/>
      <c r="S28" s="21">
        <f t="shared" si="3"/>
        <v>44824</v>
      </c>
      <c r="T28" s="42">
        <v>9.1521000000000008</v>
      </c>
      <c r="U28" s="43">
        <f t="shared" si="32"/>
        <v>0.20000000000130999</v>
      </c>
      <c r="V28" s="44">
        <f t="shared" si="33"/>
        <v>-3.80000000000003</v>
      </c>
      <c r="W28" s="45">
        <f t="shared" si="34"/>
        <v>-0.100000000000655</v>
      </c>
      <c r="X28" s="29">
        <v>11.942</v>
      </c>
      <c r="Y28" s="43">
        <f t="shared" si="35"/>
        <v>0.19999999999953399</v>
      </c>
      <c r="Z28" s="44">
        <f t="shared" si="36"/>
        <v>-3.3999999999991801</v>
      </c>
      <c r="AA28" s="45">
        <f t="shared" si="37"/>
        <v>9.99999999997669E-2</v>
      </c>
      <c r="AB28" s="49">
        <v>8.6976999999999993</v>
      </c>
      <c r="AC28" s="43">
        <f t="shared" si="38"/>
        <v>0.29999999999930099</v>
      </c>
      <c r="AD28" s="44">
        <f t="shared" si="39"/>
        <v>-3.6000000000004899</v>
      </c>
      <c r="AE28" s="45">
        <f t="shared" si="40"/>
        <v>0.14999999999965</v>
      </c>
      <c r="AF28" s="50">
        <v>80297</v>
      </c>
      <c r="AG28" s="58">
        <f t="shared" si="22"/>
        <v>97</v>
      </c>
      <c r="AH28" s="59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65">
        <f>F28-F6</f>
        <v>-3.69999999998072</v>
      </c>
      <c r="F29" s="33">
        <f>K28-K6</f>
        <v>-3.69999999998072</v>
      </c>
      <c r="G29" s="33">
        <f>P28-P6</f>
        <v>-3.6000000000058199</v>
      </c>
      <c r="H29" s="33">
        <f>F28</f>
        <v>-3.69999999998072</v>
      </c>
      <c r="I29" s="66">
        <f>K28</f>
        <v>-3.69999999998072</v>
      </c>
      <c r="J29" s="65">
        <f>P28</f>
        <v>-3.6000000000058199</v>
      </c>
      <c r="K29" s="33">
        <f>(P28-P6)/31</f>
        <v>-0.116129032258252</v>
      </c>
      <c r="L29" s="26"/>
      <c r="N29" s="35"/>
      <c r="O29" s="24"/>
      <c r="P29" s="25"/>
      <c r="Q29" s="26"/>
      <c r="R29" s="41"/>
      <c r="S29" s="21"/>
      <c r="T29" s="42"/>
      <c r="U29" s="65">
        <f>V28-V6</f>
        <v>-3.80000000000003</v>
      </c>
      <c r="V29" s="33">
        <f>Z28-Z6</f>
        <v>-3.3999999999991801</v>
      </c>
      <c r="W29" s="33">
        <f>AD28-AD6</f>
        <v>-3.6000000000004899</v>
      </c>
      <c r="X29" s="33">
        <f>V28</f>
        <v>-3.80000000000003</v>
      </c>
      <c r="Y29" s="65">
        <f>Z28</f>
        <v>-3.3999999999991801</v>
      </c>
      <c r="Z29" s="33">
        <f>AD28</f>
        <v>-3.6000000000004899</v>
      </c>
      <c r="AA29" s="33">
        <f>(AD28-AD6)/31</f>
        <v>-0.11612903225807999</v>
      </c>
      <c r="AB29" s="49"/>
      <c r="AC29" s="43"/>
      <c r="AD29" s="44"/>
      <c r="AE29" s="45"/>
      <c r="AF29" s="50"/>
      <c r="AG29" s="58"/>
      <c r="AH29" s="61"/>
      <c r="AI29" s="60"/>
      <c r="AJ29"/>
      <c r="AK29"/>
      <c r="AL29"/>
      <c r="AM29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 t="s">
        <v>67</v>
      </c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47"/>
      <c r="Y38" s="24"/>
      <c r="Z38" s="25"/>
      <c r="AA38" s="26"/>
      <c r="AB38" s="47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2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26"/>
      <c r="AG40" s="26"/>
      <c r="AH40" s="51"/>
    </row>
    <row r="41" spans="1:39">
      <c r="A41" s="31"/>
      <c r="B41" s="30"/>
      <c r="C41" s="32"/>
      <c r="E41" s="24"/>
      <c r="F41" s="25"/>
      <c r="G41" s="26"/>
      <c r="H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0"/>
      <c r="C42" s="32"/>
      <c r="D42" s="32"/>
      <c r="E42" s="24"/>
      <c r="F42" s="25"/>
      <c r="G42" s="26"/>
      <c r="H42" s="29"/>
      <c r="I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>
        <v>3</v>
      </c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Q25" workbookViewId="0">
      <selection activeCell="U28" sqref="U28:AA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44800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44800</v>
      </c>
      <c r="B6" s="22">
        <v>791.80629999999996</v>
      </c>
      <c r="C6" s="27">
        <v>6.2854000000000001</v>
      </c>
      <c r="D6" s="23">
        <f t="shared" ref="D6:D27" si="0">C6+B6</f>
        <v>798.09169999999995</v>
      </c>
      <c r="E6" s="24">
        <v>0</v>
      </c>
      <c r="F6" s="25">
        <v>0</v>
      </c>
      <c r="G6" s="26">
        <v>0</v>
      </c>
      <c r="H6" s="6">
        <v>7.3342000000000001</v>
      </c>
      <c r="I6" s="35">
        <f t="shared" ref="I6:I27" si="1">H6+B6</f>
        <v>799.14049999999997</v>
      </c>
      <c r="J6" s="24">
        <v>0</v>
      </c>
      <c r="K6" s="25">
        <v>0</v>
      </c>
      <c r="L6" s="26">
        <v>0</v>
      </c>
      <c r="M6" s="6">
        <v>6.4881000000000002</v>
      </c>
      <c r="N6" s="35">
        <f t="shared" ref="N6:N27" si="2">M6+B6</f>
        <v>798.2944</v>
      </c>
      <c r="O6" s="24">
        <v>0</v>
      </c>
      <c r="P6" s="25">
        <v>0</v>
      </c>
      <c r="Q6" s="26">
        <v>0</v>
      </c>
      <c r="R6" s="41"/>
      <c r="S6" s="21">
        <f t="shared" ref="S6:S27" si="3">A6</f>
        <v>44800</v>
      </c>
      <c r="T6" s="42">
        <v>8.7746999999999993</v>
      </c>
      <c r="U6" s="43">
        <v>0</v>
      </c>
      <c r="V6" s="44">
        <v>0</v>
      </c>
      <c r="W6" s="45">
        <f>U6/(S6-S11)</f>
        <v>0</v>
      </c>
      <c r="X6" s="29">
        <v>11.892099999999999</v>
      </c>
      <c r="Y6" s="43">
        <v>0</v>
      </c>
      <c r="Z6" s="44">
        <v>0</v>
      </c>
      <c r="AA6" s="45">
        <v>0</v>
      </c>
      <c r="AB6" s="49">
        <v>9.032</v>
      </c>
      <c r="AC6" s="43">
        <v>0</v>
      </c>
      <c r="AD6" s="44">
        <v>0</v>
      </c>
      <c r="AE6" s="45">
        <v>0</v>
      </c>
      <c r="AF6" s="50">
        <v>80243</v>
      </c>
      <c r="AG6" s="58">
        <f>AF6-80235</f>
        <v>8</v>
      </c>
      <c r="AH6" s="59"/>
      <c r="AI6" s="60"/>
      <c r="AJ6" s="61"/>
      <c r="AK6" s="62"/>
      <c r="AL6" s="52"/>
      <c r="AM6" s="52"/>
    </row>
    <row r="7" spans="1:48">
      <c r="A7" s="21">
        <v>44801</v>
      </c>
      <c r="B7" s="22">
        <v>791.80629999999996</v>
      </c>
      <c r="C7" s="27">
        <v>6.2851999999999997</v>
      </c>
      <c r="D7" s="23">
        <f t="shared" si="0"/>
        <v>798.0915</v>
      </c>
      <c r="E7" s="24">
        <f t="shared" ref="E7:E27" si="4">(D7-D6)*1000</f>
        <v>-0.199999999949796</v>
      </c>
      <c r="F7" s="25">
        <f t="shared" ref="F7:F27" si="5">F6+E7</f>
        <v>-0.199999999949796</v>
      </c>
      <c r="G7" s="26">
        <f t="shared" ref="G7:G27" si="6">E7/(A7-A6)</f>
        <v>-0.199999999949796</v>
      </c>
      <c r="H7" s="6">
        <v>7.3339999999999996</v>
      </c>
      <c r="I7" s="35">
        <f t="shared" si="1"/>
        <v>799.14030000000002</v>
      </c>
      <c r="J7" s="24">
        <f t="shared" ref="J7:J27" si="7">(I7-I6)*1000</f>
        <v>-0.20000000006348301</v>
      </c>
      <c r="K7" s="25">
        <f t="shared" ref="K7:K27" si="8">K6+J7</f>
        <v>-0.20000000006348301</v>
      </c>
      <c r="L7" s="26">
        <f t="shared" ref="L7:L27" si="9">J7/(A7-A6)</f>
        <v>-0.20000000006348301</v>
      </c>
      <c r="M7" s="6">
        <v>6.4880000000000004</v>
      </c>
      <c r="N7" s="35">
        <f t="shared" si="2"/>
        <v>798.29430000000002</v>
      </c>
      <c r="O7" s="24">
        <f t="shared" ref="O7:O27" si="10">(N7-N6)*1000</f>
        <v>-9.9999999974897905E-2</v>
      </c>
      <c r="P7" s="25">
        <f t="shared" ref="P7:P27" si="11">P6+O7</f>
        <v>-9.9999999974897905E-2</v>
      </c>
      <c r="Q7" s="26">
        <f t="shared" ref="Q7:Q27" si="12">O7/(A7-A6)</f>
        <v>-9.9999999974897905E-2</v>
      </c>
      <c r="R7" s="41"/>
      <c r="S7" s="21">
        <f t="shared" si="3"/>
        <v>44801</v>
      </c>
      <c r="T7" s="42">
        <v>8.7744999999999997</v>
      </c>
      <c r="U7" s="43">
        <f t="shared" ref="U7:U27" si="13">(T7-T6)*1000</f>
        <v>-0.19999999999953399</v>
      </c>
      <c r="V7" s="44">
        <f t="shared" ref="V7:V27" si="14">V6+U7</f>
        <v>-0.19999999999953399</v>
      </c>
      <c r="W7" s="45">
        <f t="shared" ref="W7:W27" si="15">U7/(S6-S7)</f>
        <v>0.19999999999953399</v>
      </c>
      <c r="X7" s="29">
        <v>11.892200000000001</v>
      </c>
      <c r="Y7" s="43">
        <f t="shared" ref="Y7:Y27" si="16">(X7-X6)*1000</f>
        <v>0.10000000000154299</v>
      </c>
      <c r="Z7" s="44">
        <f t="shared" ref="Z7:Z27" si="17">Z6+Y7</f>
        <v>0.10000000000154299</v>
      </c>
      <c r="AA7" s="45">
        <f t="shared" ref="AA7:AA27" si="18">Y7/(S7-S6)</f>
        <v>0.10000000000154299</v>
      </c>
      <c r="AB7" s="49">
        <v>9.0325000000000006</v>
      </c>
      <c r="AC7" s="43">
        <f t="shared" ref="AC7:AC27" si="19">(AB7-AB6)*1000</f>
        <v>0.50000000000061096</v>
      </c>
      <c r="AD7" s="44">
        <f t="shared" ref="AD7:AD27" si="20">AD6+AC7</f>
        <v>0.50000000000061096</v>
      </c>
      <c r="AE7" s="45">
        <f t="shared" ref="AE7:AE27" si="21">AC7/(S7-S6)</f>
        <v>0.50000000000061096</v>
      </c>
      <c r="AF7" s="50">
        <v>80247</v>
      </c>
      <c r="AG7" s="58">
        <f t="shared" ref="AG7:AG27" si="22">AF7-80235</f>
        <v>12</v>
      </c>
      <c r="AH7" s="59"/>
      <c r="AI7" s="60"/>
      <c r="AJ7" s="61"/>
      <c r="AK7" s="62"/>
      <c r="AL7" s="52"/>
      <c r="AM7" s="52"/>
    </row>
    <row r="8" spans="1:48">
      <c r="A8" s="21">
        <v>44802</v>
      </c>
      <c r="B8" s="22">
        <v>791.80629999999996</v>
      </c>
      <c r="C8" s="27">
        <v>6.2850999999999999</v>
      </c>
      <c r="D8" s="23">
        <f t="shared" si="0"/>
        <v>798.09140000000002</v>
      </c>
      <c r="E8" s="24">
        <f t="shared" si="4"/>
        <v>-9.9999999974897905E-2</v>
      </c>
      <c r="F8" s="25">
        <f t="shared" si="5"/>
        <v>-0.29999999992469401</v>
      </c>
      <c r="G8" s="26">
        <f t="shared" si="6"/>
        <v>-9.9999999974897905E-2</v>
      </c>
      <c r="H8" s="6">
        <v>7.3341000000000003</v>
      </c>
      <c r="I8" s="35">
        <f t="shared" si="1"/>
        <v>799.1404</v>
      </c>
      <c r="J8" s="24">
        <f t="shared" si="7"/>
        <v>0.10000000008858501</v>
      </c>
      <c r="K8" s="25">
        <f t="shared" si="8"/>
        <v>-9.9999999974897905E-2</v>
      </c>
      <c r="L8" s="26">
        <f t="shared" si="9"/>
        <v>0.10000000008858501</v>
      </c>
      <c r="M8" s="6">
        <v>6.4874999999999998</v>
      </c>
      <c r="N8" s="35">
        <f t="shared" si="2"/>
        <v>798.29380000000003</v>
      </c>
      <c r="O8" s="24">
        <f t="shared" si="10"/>
        <v>-0.50000000010186296</v>
      </c>
      <c r="P8" s="25">
        <f t="shared" si="11"/>
        <v>-0.60000000007676102</v>
      </c>
      <c r="Q8" s="26">
        <f t="shared" si="12"/>
        <v>-0.50000000010186296</v>
      </c>
      <c r="R8" s="41"/>
      <c r="S8" s="21">
        <f t="shared" si="3"/>
        <v>44802</v>
      </c>
      <c r="T8" s="42">
        <v>8.7749000000000006</v>
      </c>
      <c r="U8" s="43">
        <f t="shared" si="13"/>
        <v>0.40000000000084401</v>
      </c>
      <c r="V8" s="44">
        <f t="shared" si="14"/>
        <v>0.20000000000130999</v>
      </c>
      <c r="W8" s="45">
        <f t="shared" si="15"/>
        <v>-0.40000000000084401</v>
      </c>
      <c r="X8" s="29">
        <v>11.891999999999999</v>
      </c>
      <c r="Y8" s="43">
        <f t="shared" si="16"/>
        <v>-0.20000000000130999</v>
      </c>
      <c r="Z8" s="44">
        <f t="shared" si="17"/>
        <v>-9.99999999997669E-2</v>
      </c>
      <c r="AA8" s="45">
        <f t="shared" si="18"/>
        <v>-0.20000000000130999</v>
      </c>
      <c r="AB8" s="49">
        <v>9.0318000000000005</v>
      </c>
      <c r="AC8" s="43">
        <f t="shared" si="19"/>
        <v>-0.70000000000014495</v>
      </c>
      <c r="AD8" s="44">
        <f t="shared" si="20"/>
        <v>-0.19999999999953399</v>
      </c>
      <c r="AE8" s="45">
        <f t="shared" si="21"/>
        <v>-0.70000000000014495</v>
      </c>
      <c r="AF8" s="50">
        <v>80251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44803</v>
      </c>
      <c r="B9" s="22">
        <v>791.80629999999996</v>
      </c>
      <c r="C9" s="27">
        <v>6.2847999999999997</v>
      </c>
      <c r="D9" s="23">
        <f t="shared" si="0"/>
        <v>798.09109999999998</v>
      </c>
      <c r="E9" s="24">
        <f t="shared" si="4"/>
        <v>-0.30000000003838101</v>
      </c>
      <c r="F9" s="25">
        <f t="shared" si="5"/>
        <v>-0.59999999996307496</v>
      </c>
      <c r="G9" s="26">
        <f t="shared" si="6"/>
        <v>-0.30000000003838101</v>
      </c>
      <c r="H9" s="6">
        <v>7.3338999999999999</v>
      </c>
      <c r="I9" s="35">
        <f t="shared" si="1"/>
        <v>799.14020000000005</v>
      </c>
      <c r="J9" s="24">
        <f t="shared" si="7"/>
        <v>-0.20000000006348301</v>
      </c>
      <c r="K9" s="25">
        <f t="shared" si="8"/>
        <v>-0.30000000003838101</v>
      </c>
      <c r="L9" s="26">
        <f t="shared" si="9"/>
        <v>-0.20000000006348301</v>
      </c>
      <c r="M9" s="6">
        <v>6.4871999999999996</v>
      </c>
      <c r="N9" s="35">
        <f t="shared" si="2"/>
        <v>798.29349999999999</v>
      </c>
      <c r="O9" s="24">
        <f t="shared" si="10"/>
        <v>-0.29999999992469401</v>
      </c>
      <c r="P9" s="25">
        <f t="shared" si="11"/>
        <v>-0.90000000000145497</v>
      </c>
      <c r="Q9" s="26">
        <f t="shared" si="12"/>
        <v>-0.29999999992469401</v>
      </c>
      <c r="R9" s="41"/>
      <c r="S9" s="21">
        <f t="shared" si="3"/>
        <v>44803</v>
      </c>
      <c r="T9" s="42">
        <v>8.7745999999999995</v>
      </c>
      <c r="U9" s="43">
        <f t="shared" si="13"/>
        <v>-0.30000000000107702</v>
      </c>
      <c r="V9" s="44">
        <f t="shared" si="14"/>
        <v>-9.99999999997669E-2</v>
      </c>
      <c r="W9" s="45">
        <f t="shared" si="15"/>
        <v>0.30000000000107702</v>
      </c>
      <c r="X9" s="29">
        <v>11.8918</v>
      </c>
      <c r="Y9" s="43">
        <f t="shared" si="16"/>
        <v>-0.19999999999953399</v>
      </c>
      <c r="Z9" s="44">
        <f t="shared" si="17"/>
        <v>-0.29999999999930099</v>
      </c>
      <c r="AA9" s="45">
        <f t="shared" si="18"/>
        <v>-0.19999999999953399</v>
      </c>
      <c r="AB9" s="49">
        <v>9.0315999999999992</v>
      </c>
      <c r="AC9" s="43">
        <f t="shared" si="19"/>
        <v>-0.20000000000130999</v>
      </c>
      <c r="AD9" s="44">
        <f t="shared" si="20"/>
        <v>-0.40000000000084401</v>
      </c>
      <c r="AE9" s="45">
        <f t="shared" si="21"/>
        <v>-0.20000000000130999</v>
      </c>
      <c r="AF9" s="50">
        <v>80255</v>
      </c>
      <c r="AG9" s="58">
        <f t="shared" si="22"/>
        <v>20</v>
      </c>
      <c r="AH9" s="61"/>
      <c r="AI9" s="60"/>
      <c r="AJ9"/>
      <c r="AK9"/>
      <c r="AL9"/>
      <c r="AM9"/>
    </row>
    <row r="10" spans="1:48">
      <c r="A10" s="21">
        <v>44804</v>
      </c>
      <c r="B10" s="22">
        <v>791.80629999999996</v>
      </c>
      <c r="C10" s="27">
        <v>6.2846000000000002</v>
      </c>
      <c r="D10" s="23">
        <f t="shared" si="0"/>
        <v>798.09090000000003</v>
      </c>
      <c r="E10" s="24">
        <f t="shared" si="4"/>
        <v>-0.20000000006348301</v>
      </c>
      <c r="F10" s="25">
        <f t="shared" si="5"/>
        <v>-0.80000000002655702</v>
      </c>
      <c r="G10" s="26">
        <f t="shared" si="6"/>
        <v>-0.20000000006348301</v>
      </c>
      <c r="H10" s="6">
        <v>7.3337000000000003</v>
      </c>
      <c r="I10" s="35">
        <f t="shared" si="1"/>
        <v>799.14</v>
      </c>
      <c r="J10" s="24">
        <f t="shared" si="7"/>
        <v>-0.199999999949796</v>
      </c>
      <c r="K10" s="25">
        <f t="shared" si="8"/>
        <v>-0.49999999998817701</v>
      </c>
      <c r="L10" s="26">
        <f t="shared" si="9"/>
        <v>-0.199999999949796</v>
      </c>
      <c r="M10" s="6">
        <v>6.4870000000000001</v>
      </c>
      <c r="N10" s="35">
        <f t="shared" si="2"/>
        <v>798.29330000000004</v>
      </c>
      <c r="O10" s="24">
        <f t="shared" si="10"/>
        <v>-0.20000000006348301</v>
      </c>
      <c r="P10" s="25">
        <f t="shared" si="11"/>
        <v>-1.1000000000649399</v>
      </c>
      <c r="Q10" s="26">
        <f t="shared" si="12"/>
        <v>-0.20000000006348301</v>
      </c>
      <c r="R10" s="41"/>
      <c r="S10" s="21">
        <f t="shared" si="3"/>
        <v>44804</v>
      </c>
      <c r="T10" s="42">
        <v>8.7744</v>
      </c>
      <c r="U10" s="43">
        <f t="shared" si="13"/>
        <v>-0.19999999999953399</v>
      </c>
      <c r="V10" s="44">
        <f t="shared" si="14"/>
        <v>-0.29999999999930099</v>
      </c>
      <c r="W10" s="45">
        <f t="shared" si="15"/>
        <v>0.19999999999953399</v>
      </c>
      <c r="X10" s="29">
        <v>11.891500000000001</v>
      </c>
      <c r="Y10" s="43">
        <f t="shared" si="16"/>
        <v>-0.29999999999930099</v>
      </c>
      <c r="Z10" s="44">
        <f t="shared" si="17"/>
        <v>-0.59999999999860198</v>
      </c>
      <c r="AA10" s="45">
        <f t="shared" si="18"/>
        <v>-0.29999999999930099</v>
      </c>
      <c r="AB10" s="49">
        <v>9.0313999999999997</v>
      </c>
      <c r="AC10" s="43">
        <f t="shared" si="19"/>
        <v>-0.19999999999953399</v>
      </c>
      <c r="AD10" s="44">
        <f t="shared" si="20"/>
        <v>-0.60000000000037801</v>
      </c>
      <c r="AE10" s="45">
        <f t="shared" si="21"/>
        <v>-0.19999999999953399</v>
      </c>
      <c r="AF10" s="50">
        <v>80259</v>
      </c>
      <c r="AG10" s="58">
        <f t="shared" si="22"/>
        <v>24</v>
      </c>
      <c r="AH10" s="59"/>
      <c r="AI10" s="60"/>
      <c r="AJ10" s="61"/>
      <c r="AK10" s="62"/>
      <c r="AL10" s="52"/>
      <c r="AM10" s="52"/>
    </row>
    <row r="11" spans="1:48">
      <c r="A11" s="21">
        <v>44805</v>
      </c>
      <c r="B11" s="22">
        <v>791.80629999999996</v>
      </c>
      <c r="C11" s="27">
        <v>6.2850000000000001</v>
      </c>
      <c r="D11" s="23">
        <f t="shared" si="0"/>
        <v>798.09130000000005</v>
      </c>
      <c r="E11" s="24">
        <f t="shared" si="4"/>
        <v>0.40000000001327901</v>
      </c>
      <c r="F11" s="25">
        <f t="shared" si="5"/>
        <v>-0.40000000001327901</v>
      </c>
      <c r="G11" s="26">
        <f t="shared" si="6"/>
        <v>0.40000000001327901</v>
      </c>
      <c r="H11" s="6">
        <v>7.3335999999999997</v>
      </c>
      <c r="I11" s="35">
        <f t="shared" si="1"/>
        <v>799.13990000000001</v>
      </c>
      <c r="J11" s="24">
        <f t="shared" si="7"/>
        <v>-9.9999999974897905E-2</v>
      </c>
      <c r="K11" s="25">
        <f t="shared" si="8"/>
        <v>-0.59999999996307496</v>
      </c>
      <c r="L11" s="26">
        <f t="shared" si="9"/>
        <v>-9.9999999974897905E-2</v>
      </c>
      <c r="M11" s="6">
        <v>6.4867999999999997</v>
      </c>
      <c r="N11" s="35">
        <f t="shared" si="2"/>
        <v>798.29309999999998</v>
      </c>
      <c r="O11" s="24">
        <f t="shared" si="10"/>
        <v>-0.199999999949796</v>
      </c>
      <c r="P11" s="25">
        <f t="shared" si="11"/>
        <v>-1.30000000001473</v>
      </c>
      <c r="Q11" s="26">
        <f t="shared" si="12"/>
        <v>-0.199999999949796</v>
      </c>
      <c r="R11" s="41"/>
      <c r="S11" s="21">
        <f t="shared" si="3"/>
        <v>44805</v>
      </c>
      <c r="T11" s="42">
        <v>8.7744999999999997</v>
      </c>
      <c r="U11" s="43">
        <f t="shared" si="13"/>
        <v>9.99999999997669E-2</v>
      </c>
      <c r="V11" s="44">
        <f t="shared" si="14"/>
        <v>-0.19999999999953399</v>
      </c>
      <c r="W11" s="45">
        <f t="shared" si="15"/>
        <v>-9.99999999997669E-2</v>
      </c>
      <c r="X11" s="29">
        <v>11.891400000000001</v>
      </c>
      <c r="Y11" s="43">
        <f t="shared" si="16"/>
        <v>-9.99999999997669E-2</v>
      </c>
      <c r="Z11" s="44">
        <f t="shared" si="17"/>
        <v>-0.69999999999836904</v>
      </c>
      <c r="AA11" s="45">
        <f t="shared" si="18"/>
        <v>-9.99999999997669E-2</v>
      </c>
      <c r="AB11" s="49">
        <v>9.0314999999999994</v>
      </c>
      <c r="AC11" s="43">
        <f t="shared" si="19"/>
        <v>9.99999999997669E-2</v>
      </c>
      <c r="AD11" s="44">
        <f t="shared" si="20"/>
        <v>-0.50000000000061096</v>
      </c>
      <c r="AE11" s="45">
        <f t="shared" si="21"/>
        <v>9.99999999997669E-2</v>
      </c>
      <c r="AF11" s="50">
        <v>80263</v>
      </c>
      <c r="AG11" s="58">
        <f t="shared" si="22"/>
        <v>28</v>
      </c>
      <c r="AH11" s="61"/>
      <c r="AI11" s="60"/>
      <c r="AJ11"/>
      <c r="AK11"/>
      <c r="AL11"/>
      <c r="AM11"/>
    </row>
    <row r="12" spans="1:48">
      <c r="A12" s="21">
        <v>44806</v>
      </c>
      <c r="B12" s="22">
        <v>791.80629999999996</v>
      </c>
      <c r="C12" s="27">
        <v>6.2842000000000002</v>
      </c>
      <c r="D12" s="23">
        <f t="shared" si="0"/>
        <v>798.09050000000002</v>
      </c>
      <c r="E12" s="24">
        <f t="shared" si="4"/>
        <v>-0.79999999991286996</v>
      </c>
      <c r="F12" s="25">
        <f t="shared" si="5"/>
        <v>-1.1999999999261499</v>
      </c>
      <c r="G12" s="26">
        <f t="shared" si="6"/>
        <v>-0.79999999991286996</v>
      </c>
      <c r="H12" s="6">
        <v>7.3333000000000004</v>
      </c>
      <c r="I12" s="35">
        <f t="shared" si="1"/>
        <v>799.13959999999997</v>
      </c>
      <c r="J12" s="24">
        <f t="shared" si="7"/>
        <v>-0.30000000003838101</v>
      </c>
      <c r="K12" s="25">
        <f t="shared" si="8"/>
        <v>-0.90000000000145497</v>
      </c>
      <c r="L12" s="26">
        <f t="shared" si="9"/>
        <v>-0.30000000003838101</v>
      </c>
      <c r="M12" s="6">
        <v>6.4866000000000001</v>
      </c>
      <c r="N12" s="35">
        <f t="shared" si="2"/>
        <v>798.29290000000003</v>
      </c>
      <c r="O12" s="24">
        <f t="shared" si="10"/>
        <v>-0.20000000006348301</v>
      </c>
      <c r="P12" s="25">
        <f t="shared" si="11"/>
        <v>-1.5000000000782201</v>
      </c>
      <c r="Q12" s="26">
        <f t="shared" si="12"/>
        <v>-0.20000000006348301</v>
      </c>
      <c r="R12" s="41"/>
      <c r="S12" s="21">
        <f t="shared" si="3"/>
        <v>44806</v>
      </c>
      <c r="T12" s="42">
        <v>8.7739999999999991</v>
      </c>
      <c r="U12" s="43">
        <f t="shared" si="13"/>
        <v>-0.50000000000061096</v>
      </c>
      <c r="V12" s="44">
        <f t="shared" si="14"/>
        <v>-0.70000000000014495</v>
      </c>
      <c r="W12" s="45">
        <f t="shared" si="15"/>
        <v>0.50000000000061096</v>
      </c>
      <c r="X12" s="29">
        <v>11.8912</v>
      </c>
      <c r="Y12" s="43">
        <f t="shared" si="16"/>
        <v>-0.20000000000130999</v>
      </c>
      <c r="Z12" s="44">
        <f t="shared" si="17"/>
        <v>-0.89999999999967895</v>
      </c>
      <c r="AA12" s="45">
        <f t="shared" si="18"/>
        <v>-0.20000000000130999</v>
      </c>
      <c r="AB12" s="49">
        <v>9.0310000000000006</v>
      </c>
      <c r="AC12" s="43">
        <f t="shared" si="19"/>
        <v>-0.49999999999883499</v>
      </c>
      <c r="AD12" s="44">
        <f t="shared" si="20"/>
        <v>-0.999999999999446</v>
      </c>
      <c r="AE12" s="45">
        <f t="shared" si="21"/>
        <v>-0.49999999999883499</v>
      </c>
      <c r="AF12" s="50">
        <v>80267</v>
      </c>
      <c r="AG12" s="58">
        <f t="shared" si="22"/>
        <v>32</v>
      </c>
      <c r="AH12" s="59"/>
      <c r="AI12" s="60"/>
      <c r="AJ12"/>
      <c r="AK12"/>
      <c r="AL12"/>
      <c r="AM12"/>
    </row>
    <row r="13" spans="1:48">
      <c r="A13" s="21">
        <v>44807</v>
      </c>
      <c r="B13" s="22">
        <v>791.80629999999996</v>
      </c>
      <c r="C13" s="27">
        <v>6.2839999999999998</v>
      </c>
      <c r="D13" s="23">
        <f t="shared" si="0"/>
        <v>798.09029999999996</v>
      </c>
      <c r="E13" s="24">
        <f t="shared" si="4"/>
        <v>-0.20000000006348301</v>
      </c>
      <c r="F13" s="25">
        <f t="shared" si="5"/>
        <v>-1.39999999998963</v>
      </c>
      <c r="G13" s="26">
        <f t="shared" si="6"/>
        <v>-0.20000000006348301</v>
      </c>
      <c r="H13" s="6">
        <v>7.3331</v>
      </c>
      <c r="I13" s="35">
        <f t="shared" si="1"/>
        <v>799.13940000000002</v>
      </c>
      <c r="J13" s="24">
        <f t="shared" si="7"/>
        <v>-0.20000000006348301</v>
      </c>
      <c r="K13" s="25">
        <f t="shared" si="8"/>
        <v>-1.1000000000649399</v>
      </c>
      <c r="L13" s="26">
        <f t="shared" si="9"/>
        <v>-0.20000000006348301</v>
      </c>
      <c r="M13" s="6">
        <v>6.4866999999999999</v>
      </c>
      <c r="N13" s="35">
        <f t="shared" si="2"/>
        <v>798.29300000000001</v>
      </c>
      <c r="O13" s="24">
        <f t="shared" si="10"/>
        <v>0.10000000008858501</v>
      </c>
      <c r="P13" s="25">
        <f t="shared" si="11"/>
        <v>-1.39999999998963</v>
      </c>
      <c r="Q13" s="26">
        <f t="shared" si="12"/>
        <v>0.10000000008858501</v>
      </c>
      <c r="R13" s="41"/>
      <c r="S13" s="21">
        <f t="shared" si="3"/>
        <v>44807</v>
      </c>
      <c r="T13" s="42">
        <v>8.7737999999999996</v>
      </c>
      <c r="U13" s="43">
        <f t="shared" si="13"/>
        <v>-0.19999999999953399</v>
      </c>
      <c r="V13" s="44">
        <f t="shared" si="14"/>
        <v>-0.89999999999967895</v>
      </c>
      <c r="W13" s="45">
        <f t="shared" si="15"/>
        <v>0.19999999999953399</v>
      </c>
      <c r="X13" s="29">
        <v>11.8912</v>
      </c>
      <c r="Y13" s="43">
        <f t="shared" si="16"/>
        <v>0</v>
      </c>
      <c r="Z13" s="44">
        <f t="shared" si="17"/>
        <v>-0.89999999999967895</v>
      </c>
      <c r="AA13" s="45">
        <f t="shared" si="18"/>
        <v>0</v>
      </c>
      <c r="AB13" s="49">
        <v>9.0307999999999904</v>
      </c>
      <c r="AC13" s="43">
        <f t="shared" si="19"/>
        <v>-0.200000000010192</v>
      </c>
      <c r="AD13" s="44">
        <f t="shared" si="20"/>
        <v>-1.20000000000964</v>
      </c>
      <c r="AE13" s="45">
        <f t="shared" si="21"/>
        <v>-0.200000000010192</v>
      </c>
      <c r="AF13" s="50">
        <v>80271</v>
      </c>
      <c r="AG13" s="58">
        <f t="shared" si="22"/>
        <v>36</v>
      </c>
      <c r="AH13" s="61"/>
      <c r="AI13" s="60"/>
      <c r="AJ13"/>
      <c r="AK13"/>
      <c r="AL13"/>
      <c r="AM13"/>
    </row>
    <row r="14" spans="1:48">
      <c r="A14" s="21">
        <v>44808</v>
      </c>
      <c r="B14" s="22">
        <v>791.80629999999996</v>
      </c>
      <c r="C14" s="27">
        <v>6.2840999999999996</v>
      </c>
      <c r="D14" s="23">
        <f t="shared" si="0"/>
        <v>798.09040000000005</v>
      </c>
      <c r="E14" s="24">
        <f t="shared" si="4"/>
        <v>9.9999999974897905E-2</v>
      </c>
      <c r="F14" s="25">
        <f t="shared" si="5"/>
        <v>-1.30000000001473</v>
      </c>
      <c r="G14" s="26">
        <f t="shared" si="6"/>
        <v>9.9999999974897905E-2</v>
      </c>
      <c r="H14" s="6">
        <v>7.3331999999999997</v>
      </c>
      <c r="I14" s="35">
        <f t="shared" si="1"/>
        <v>799.1395</v>
      </c>
      <c r="J14" s="24">
        <f t="shared" si="7"/>
        <v>0.10000000008858501</v>
      </c>
      <c r="K14" s="25">
        <f t="shared" si="8"/>
        <v>-0.99999999997635303</v>
      </c>
      <c r="L14" s="26">
        <f t="shared" si="9"/>
        <v>0.10000000008858501</v>
      </c>
      <c r="M14" s="6">
        <v>6.4862000000000002</v>
      </c>
      <c r="N14" s="35">
        <f t="shared" si="2"/>
        <v>798.29250000000002</v>
      </c>
      <c r="O14" s="24">
        <f t="shared" si="10"/>
        <v>-0.49999999998817701</v>
      </c>
      <c r="P14" s="25">
        <f t="shared" si="11"/>
        <v>-1.8999999999778101</v>
      </c>
      <c r="Q14" s="26">
        <f t="shared" si="12"/>
        <v>-0.49999999998817701</v>
      </c>
      <c r="R14" s="41"/>
      <c r="S14" s="21">
        <f t="shared" si="3"/>
        <v>44808</v>
      </c>
      <c r="T14" s="42">
        <v>8.7731999999999992</v>
      </c>
      <c r="U14" s="43">
        <f t="shared" si="13"/>
        <v>-0.60000000000037801</v>
      </c>
      <c r="V14" s="44">
        <f t="shared" si="14"/>
        <v>-1.50000000000006</v>
      </c>
      <c r="W14" s="45">
        <f t="shared" si="15"/>
        <v>0.60000000000037801</v>
      </c>
      <c r="X14" s="29">
        <v>11.8908</v>
      </c>
      <c r="Y14" s="43">
        <f t="shared" si="16"/>
        <v>-0.39999999999906799</v>
      </c>
      <c r="Z14" s="44">
        <f t="shared" si="17"/>
        <v>-1.2999999999987499</v>
      </c>
      <c r="AA14" s="45">
        <f t="shared" si="18"/>
        <v>-0.39999999999906799</v>
      </c>
      <c r="AB14" s="49">
        <v>9.0305999999999909</v>
      </c>
      <c r="AC14" s="43">
        <f t="shared" si="19"/>
        <v>-0.19999999999953399</v>
      </c>
      <c r="AD14" s="44">
        <f t="shared" si="20"/>
        <v>-1.4000000000091699</v>
      </c>
      <c r="AE14" s="45">
        <f t="shared" si="21"/>
        <v>-0.19999999999953399</v>
      </c>
      <c r="AF14" s="50">
        <v>80275</v>
      </c>
      <c r="AG14" s="58">
        <f t="shared" si="22"/>
        <v>40</v>
      </c>
      <c r="AH14" s="59"/>
      <c r="AI14" s="60"/>
      <c r="AJ14"/>
      <c r="AK14"/>
      <c r="AL14"/>
      <c r="AM14"/>
    </row>
    <row r="15" spans="1:48">
      <c r="A15" s="21">
        <v>44809</v>
      </c>
      <c r="B15" s="22">
        <v>791.80629999999996</v>
      </c>
      <c r="C15" s="27">
        <v>6.2835999999999999</v>
      </c>
      <c r="D15" s="23">
        <f t="shared" si="0"/>
        <v>798.08989999999994</v>
      </c>
      <c r="E15" s="24">
        <f t="shared" si="4"/>
        <v>-0.49999999998817701</v>
      </c>
      <c r="F15" s="25">
        <f t="shared" si="5"/>
        <v>-1.8000000000029099</v>
      </c>
      <c r="G15" s="26">
        <f t="shared" si="6"/>
        <v>-0.49999999998817701</v>
      </c>
      <c r="H15" s="6">
        <v>7.3327</v>
      </c>
      <c r="I15" s="35">
        <f t="shared" si="1"/>
        <v>799.13900000000001</v>
      </c>
      <c r="J15" s="24">
        <f t="shared" si="7"/>
        <v>-0.49999999998817701</v>
      </c>
      <c r="K15" s="25">
        <f t="shared" si="8"/>
        <v>-1.4999999999645299</v>
      </c>
      <c r="L15" s="26">
        <f t="shared" si="9"/>
        <v>-0.49999999998817701</v>
      </c>
      <c r="M15" s="6">
        <v>6.4859999999999998</v>
      </c>
      <c r="N15" s="35">
        <f t="shared" si="2"/>
        <v>798.29229999999995</v>
      </c>
      <c r="O15" s="24">
        <f t="shared" si="10"/>
        <v>-0.20000000006348301</v>
      </c>
      <c r="P15" s="25">
        <f t="shared" si="11"/>
        <v>-2.1000000000412902</v>
      </c>
      <c r="Q15" s="26">
        <f t="shared" si="12"/>
        <v>-0.20000000006348301</v>
      </c>
      <c r="R15" s="41"/>
      <c r="S15" s="21">
        <f t="shared" si="3"/>
        <v>44809</v>
      </c>
      <c r="T15" s="42">
        <v>8.7734000000000005</v>
      </c>
      <c r="U15" s="43">
        <f t="shared" si="13"/>
        <v>0.20000000000130999</v>
      </c>
      <c r="V15" s="44">
        <f t="shared" si="14"/>
        <v>-1.2999999999987499</v>
      </c>
      <c r="W15" s="45">
        <f t="shared" si="15"/>
        <v>-0.20000000000130999</v>
      </c>
      <c r="X15" s="29">
        <v>11.890599999999999</v>
      </c>
      <c r="Y15" s="43">
        <f t="shared" si="16"/>
        <v>-0.20000000000130999</v>
      </c>
      <c r="Z15" s="44">
        <f t="shared" si="17"/>
        <v>-1.50000000000006</v>
      </c>
      <c r="AA15" s="45">
        <f t="shared" si="18"/>
        <v>-0.20000000000130999</v>
      </c>
      <c r="AB15" s="49">
        <v>9.0310000000000006</v>
      </c>
      <c r="AC15" s="43">
        <f t="shared" si="19"/>
        <v>0.40000000000972602</v>
      </c>
      <c r="AD15" s="44">
        <f t="shared" si="20"/>
        <v>-0.999999999999446</v>
      </c>
      <c r="AE15" s="45">
        <f t="shared" si="21"/>
        <v>0.40000000000972602</v>
      </c>
      <c r="AF15" s="50">
        <v>80279</v>
      </c>
      <c r="AG15" s="58">
        <f t="shared" si="22"/>
        <v>44</v>
      </c>
      <c r="AH15" s="61"/>
      <c r="AI15" s="60"/>
      <c r="AJ15"/>
      <c r="AK15"/>
      <c r="AL15"/>
      <c r="AM15"/>
    </row>
    <row r="16" spans="1:48">
      <c r="A16" s="21">
        <v>44810</v>
      </c>
      <c r="B16" s="22">
        <v>791.80629999999996</v>
      </c>
      <c r="C16" s="27">
        <v>6.2834000000000003</v>
      </c>
      <c r="D16" s="23">
        <f t="shared" si="0"/>
        <v>798.08969999999999</v>
      </c>
      <c r="E16" s="24">
        <f t="shared" si="4"/>
        <v>-0.199999999949796</v>
      </c>
      <c r="F16" s="25">
        <f t="shared" si="5"/>
        <v>-1.9999999999527101</v>
      </c>
      <c r="G16" s="26">
        <f t="shared" si="6"/>
        <v>-0.199999999949796</v>
      </c>
      <c r="H16" s="6">
        <v>7.3324999999999996</v>
      </c>
      <c r="I16" s="35">
        <f t="shared" si="1"/>
        <v>799.13879999999995</v>
      </c>
      <c r="J16" s="24">
        <f t="shared" si="7"/>
        <v>-0.20000000006348301</v>
      </c>
      <c r="K16" s="25">
        <f t="shared" si="8"/>
        <v>-1.70000000002801</v>
      </c>
      <c r="L16" s="26">
        <f t="shared" si="9"/>
        <v>-0.20000000006348301</v>
      </c>
      <c r="M16" s="6">
        <v>6.4861000000000004</v>
      </c>
      <c r="N16" s="35">
        <f t="shared" si="2"/>
        <v>798.29240000000004</v>
      </c>
      <c r="O16" s="24">
        <f t="shared" si="10"/>
        <v>9.9999999974897905E-2</v>
      </c>
      <c r="P16" s="25">
        <f t="shared" si="11"/>
        <v>-2.00000000006639</v>
      </c>
      <c r="Q16" s="26">
        <f t="shared" si="12"/>
        <v>9.9999999974897905E-2</v>
      </c>
      <c r="R16" s="41"/>
      <c r="S16" s="21">
        <f t="shared" si="3"/>
        <v>44810</v>
      </c>
      <c r="T16" s="42">
        <v>8.7731999999999992</v>
      </c>
      <c r="U16" s="43">
        <f t="shared" si="13"/>
        <v>-0.20000000000130999</v>
      </c>
      <c r="V16" s="44">
        <f t="shared" si="14"/>
        <v>-1.50000000000006</v>
      </c>
      <c r="W16" s="45">
        <f t="shared" si="15"/>
        <v>0.20000000000130999</v>
      </c>
      <c r="X16" s="29">
        <v>11.8909</v>
      </c>
      <c r="Y16" s="43">
        <f t="shared" si="16"/>
        <v>0.30000000000107702</v>
      </c>
      <c r="Z16" s="44">
        <f t="shared" si="17"/>
        <v>-1.1999999999989801</v>
      </c>
      <c r="AA16" s="45">
        <f t="shared" si="18"/>
        <v>0.30000000000107702</v>
      </c>
      <c r="AB16" s="49">
        <v>9.03019999999999</v>
      </c>
      <c r="AC16" s="43">
        <f t="shared" si="19"/>
        <v>-0.80000000001057003</v>
      </c>
      <c r="AD16" s="44">
        <f t="shared" si="20"/>
        <v>-1.80000000001002</v>
      </c>
      <c r="AE16" s="45">
        <f t="shared" si="21"/>
        <v>-0.80000000001057003</v>
      </c>
      <c r="AF16" s="50">
        <v>80283</v>
      </c>
      <c r="AG16" s="58">
        <f t="shared" si="22"/>
        <v>48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44811</v>
      </c>
      <c r="B17" s="22">
        <v>791.80629999999996</v>
      </c>
      <c r="C17" s="27">
        <v>6.2835000000000001</v>
      </c>
      <c r="D17" s="23">
        <f t="shared" si="0"/>
        <v>798.08979999999997</v>
      </c>
      <c r="E17" s="24">
        <f t="shared" si="4"/>
        <v>9.9999999974897905E-2</v>
      </c>
      <c r="F17" s="25">
        <f t="shared" si="5"/>
        <v>-1.8999999999778101</v>
      </c>
      <c r="G17" s="26">
        <f t="shared" si="6"/>
        <v>9.9999999974897905E-2</v>
      </c>
      <c r="H17" s="6">
        <v>7.3330000000000002</v>
      </c>
      <c r="I17" s="35">
        <f t="shared" si="1"/>
        <v>799.13930000000005</v>
      </c>
      <c r="J17" s="24">
        <f t="shared" si="7"/>
        <v>0.49999999998817701</v>
      </c>
      <c r="K17" s="25">
        <f t="shared" si="8"/>
        <v>-1.2000000000398401</v>
      </c>
      <c r="L17" s="26">
        <f t="shared" si="9"/>
        <v>0.49999999998817701</v>
      </c>
      <c r="M17" s="6">
        <v>6.4855999999999998</v>
      </c>
      <c r="N17" s="35">
        <f t="shared" si="2"/>
        <v>798.29190000000006</v>
      </c>
      <c r="O17" s="24">
        <f t="shared" si="10"/>
        <v>-0.49999999998817701</v>
      </c>
      <c r="P17" s="25">
        <f t="shared" si="11"/>
        <v>-2.5000000000545701</v>
      </c>
      <c r="Q17" s="26">
        <f t="shared" si="12"/>
        <v>-0.49999999998817701</v>
      </c>
      <c r="R17" s="41"/>
      <c r="S17" s="21">
        <f t="shared" si="3"/>
        <v>44811</v>
      </c>
      <c r="T17" s="42">
        <v>8.7728000000000002</v>
      </c>
      <c r="U17" s="43">
        <f t="shared" si="13"/>
        <v>-0.39999999999906799</v>
      </c>
      <c r="V17" s="44">
        <f t="shared" si="14"/>
        <v>-1.8999999999991199</v>
      </c>
      <c r="W17" s="45">
        <f t="shared" si="15"/>
        <v>0.39999999999906799</v>
      </c>
      <c r="X17" s="29">
        <v>11.8902</v>
      </c>
      <c r="Y17" s="43">
        <f t="shared" si="16"/>
        <v>-0.70000000000014495</v>
      </c>
      <c r="Z17" s="44">
        <f t="shared" si="17"/>
        <v>-1.8999999999991199</v>
      </c>
      <c r="AA17" s="45">
        <f t="shared" si="18"/>
        <v>-0.70000000000014495</v>
      </c>
      <c r="AB17" s="49">
        <v>9.0299999999999905</v>
      </c>
      <c r="AC17" s="43">
        <f t="shared" si="19"/>
        <v>-0.19999999999953399</v>
      </c>
      <c r="AD17" s="44">
        <f t="shared" si="20"/>
        <v>-2.0000000000095501</v>
      </c>
      <c r="AE17" s="45">
        <f t="shared" si="21"/>
        <v>-0.19999999999953399</v>
      </c>
      <c r="AF17" s="50">
        <v>80287</v>
      </c>
      <c r="AG17" s="58">
        <f t="shared" si="22"/>
        <v>52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44812</v>
      </c>
      <c r="B18" s="22">
        <v>791.80629999999996</v>
      </c>
      <c r="C18" s="27">
        <v>6.2830000000000004</v>
      </c>
      <c r="D18" s="23">
        <f t="shared" si="0"/>
        <v>798.08929999999998</v>
      </c>
      <c r="E18" s="24">
        <f t="shared" si="4"/>
        <v>-0.49999999998817701</v>
      </c>
      <c r="F18" s="25">
        <f t="shared" si="5"/>
        <v>-2.39999999996598</v>
      </c>
      <c r="G18" s="26">
        <f t="shared" si="6"/>
        <v>-0.49999999998817701</v>
      </c>
      <c r="H18" s="6">
        <v>7.3320999999999996</v>
      </c>
      <c r="I18" s="35">
        <f t="shared" si="1"/>
        <v>799.13840000000005</v>
      </c>
      <c r="J18" s="24">
        <f t="shared" si="7"/>
        <v>-0.90000000000145497</v>
      </c>
      <c r="K18" s="25">
        <f t="shared" si="8"/>
        <v>-2.1000000000412902</v>
      </c>
      <c r="L18" s="26">
        <f t="shared" si="9"/>
        <v>-0.90000000000145497</v>
      </c>
      <c r="M18" s="6">
        <v>6.4854000000000003</v>
      </c>
      <c r="N18" s="35">
        <f t="shared" si="2"/>
        <v>798.29169999999999</v>
      </c>
      <c r="O18" s="24">
        <f t="shared" si="10"/>
        <v>-0.199999999949796</v>
      </c>
      <c r="P18" s="25">
        <f t="shared" si="11"/>
        <v>-2.70000000000437</v>
      </c>
      <c r="Q18" s="26">
        <f t="shared" si="12"/>
        <v>-0.199999999949796</v>
      </c>
      <c r="R18" s="41"/>
      <c r="S18" s="21">
        <f t="shared" si="3"/>
        <v>44812</v>
      </c>
      <c r="T18" s="42">
        <v>8.7728000000000002</v>
      </c>
      <c r="U18" s="43">
        <f t="shared" si="13"/>
        <v>0</v>
      </c>
      <c r="V18" s="44">
        <f t="shared" si="14"/>
        <v>-1.8999999999991199</v>
      </c>
      <c r="W18" s="45">
        <f t="shared" si="15"/>
        <v>0</v>
      </c>
      <c r="X18" s="29">
        <v>11.89</v>
      </c>
      <c r="Y18" s="43">
        <f t="shared" si="16"/>
        <v>-0.19999999999953399</v>
      </c>
      <c r="Z18" s="44">
        <f t="shared" si="17"/>
        <v>-2.0999999999986598</v>
      </c>
      <c r="AA18" s="45">
        <f t="shared" si="18"/>
        <v>-0.19999999999953399</v>
      </c>
      <c r="AB18" s="49">
        <v>9.0300999999999991</v>
      </c>
      <c r="AC18" s="43">
        <f t="shared" si="19"/>
        <v>0.100000000008649</v>
      </c>
      <c r="AD18" s="44">
        <f t="shared" si="20"/>
        <v>-1.9000000000009001</v>
      </c>
      <c r="AE18" s="45">
        <f t="shared" si="21"/>
        <v>0.100000000008649</v>
      </c>
      <c r="AF18" s="50">
        <v>80291</v>
      </c>
      <c r="AG18" s="58">
        <f t="shared" si="22"/>
        <v>56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44813</v>
      </c>
      <c r="B19" s="22">
        <v>791.80629999999996</v>
      </c>
      <c r="C19" s="27">
        <v>6.2827999999999902</v>
      </c>
      <c r="D19" s="23">
        <f t="shared" si="0"/>
        <v>798.08910000000003</v>
      </c>
      <c r="E19" s="24">
        <f t="shared" si="4"/>
        <v>-0.20000000006348301</v>
      </c>
      <c r="F19" s="25">
        <f t="shared" si="5"/>
        <v>-2.6000000000294698</v>
      </c>
      <c r="G19" s="26">
        <f t="shared" si="6"/>
        <v>-0.20000000006348301</v>
      </c>
      <c r="H19" s="6">
        <v>7.3319000000000001</v>
      </c>
      <c r="I19" s="35">
        <f t="shared" si="1"/>
        <v>799.13819999999998</v>
      </c>
      <c r="J19" s="24">
        <f t="shared" si="7"/>
        <v>-0.199999999949796</v>
      </c>
      <c r="K19" s="25">
        <f t="shared" si="8"/>
        <v>-2.2999999999910901</v>
      </c>
      <c r="L19" s="26">
        <f t="shared" si="9"/>
        <v>-0.199999999949796</v>
      </c>
      <c r="M19" s="6">
        <v>6.4855</v>
      </c>
      <c r="N19" s="35">
        <f t="shared" si="2"/>
        <v>798.29179999999997</v>
      </c>
      <c r="O19" s="24">
        <f t="shared" si="10"/>
        <v>9.9999999974897905E-2</v>
      </c>
      <c r="P19" s="25">
        <f t="shared" si="11"/>
        <v>-2.6000000000294698</v>
      </c>
      <c r="Q19" s="26">
        <f t="shared" si="12"/>
        <v>9.9999999974897905E-2</v>
      </c>
      <c r="R19" s="41"/>
      <c r="S19" s="21">
        <f t="shared" si="3"/>
        <v>44813</v>
      </c>
      <c r="T19" s="42">
        <v>8.7726000000000006</v>
      </c>
      <c r="U19" s="43">
        <f t="shared" si="13"/>
        <v>-0.19999999999953399</v>
      </c>
      <c r="V19" s="44">
        <f t="shared" si="14"/>
        <v>-2.0999999999986598</v>
      </c>
      <c r="W19" s="45">
        <f t="shared" si="15"/>
        <v>0.19999999999953399</v>
      </c>
      <c r="X19" s="29">
        <v>11.89</v>
      </c>
      <c r="Y19" s="43">
        <f t="shared" si="16"/>
        <v>0</v>
      </c>
      <c r="Z19" s="44">
        <f t="shared" si="17"/>
        <v>-2.0999999999986598</v>
      </c>
      <c r="AA19" s="45">
        <f t="shared" si="18"/>
        <v>0</v>
      </c>
      <c r="AB19" s="49">
        <v>9.0295999999999896</v>
      </c>
      <c r="AC19" s="43">
        <f t="shared" si="19"/>
        <v>-0.50000000000949296</v>
      </c>
      <c r="AD19" s="44">
        <f t="shared" si="20"/>
        <v>-2.4000000000103898</v>
      </c>
      <c r="AE19" s="45">
        <f t="shared" si="21"/>
        <v>-0.50000000000949296</v>
      </c>
      <c r="AF19" s="50">
        <v>80295</v>
      </c>
      <c r="AG19" s="58">
        <f t="shared" si="22"/>
        <v>60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44814</v>
      </c>
      <c r="B20" s="22">
        <v>791.80629999999996</v>
      </c>
      <c r="C20" s="27">
        <v>6.2827999999999999</v>
      </c>
      <c r="D20" s="23">
        <f t="shared" si="0"/>
        <v>798.08910000000003</v>
      </c>
      <c r="E20" s="24">
        <f t="shared" si="4"/>
        <v>0</v>
      </c>
      <c r="F20" s="25">
        <f t="shared" si="5"/>
        <v>-2.6000000000294698</v>
      </c>
      <c r="G20" s="26">
        <f t="shared" si="6"/>
        <v>0</v>
      </c>
      <c r="H20" s="6">
        <v>7.3316999999999997</v>
      </c>
      <c r="I20" s="35">
        <f t="shared" si="1"/>
        <v>799.13800000000003</v>
      </c>
      <c r="J20" s="24">
        <f t="shared" si="7"/>
        <v>-0.20000000006348301</v>
      </c>
      <c r="K20" s="25">
        <f t="shared" si="8"/>
        <v>-2.5000000000545701</v>
      </c>
      <c r="L20" s="26">
        <f t="shared" si="9"/>
        <v>-0.20000000006348301</v>
      </c>
      <c r="M20" s="6">
        <v>6.4850000000000003</v>
      </c>
      <c r="N20" s="35">
        <f t="shared" si="2"/>
        <v>798.29129999999998</v>
      </c>
      <c r="O20" s="24">
        <f t="shared" si="10"/>
        <v>-0.49999999998817701</v>
      </c>
      <c r="P20" s="25">
        <f t="shared" si="11"/>
        <v>-3.1000000000176402</v>
      </c>
      <c r="Q20" s="26">
        <f t="shared" si="12"/>
        <v>-0.49999999998817701</v>
      </c>
      <c r="R20" s="41"/>
      <c r="S20" s="21">
        <f t="shared" si="3"/>
        <v>44814</v>
      </c>
      <c r="T20" s="42">
        <v>8.7725000000000009</v>
      </c>
      <c r="U20" s="43">
        <f t="shared" si="13"/>
        <v>-9.99999999997669E-2</v>
      </c>
      <c r="V20" s="44">
        <f t="shared" si="14"/>
        <v>-2.1999999999984299</v>
      </c>
      <c r="W20" s="45">
        <f t="shared" si="15"/>
        <v>9.99999999997669E-2</v>
      </c>
      <c r="X20" s="29">
        <v>11.8896</v>
      </c>
      <c r="Y20" s="43">
        <f t="shared" si="16"/>
        <v>-0.40000000000084401</v>
      </c>
      <c r="Z20" s="44">
        <f t="shared" si="17"/>
        <v>-2.4999999999995</v>
      </c>
      <c r="AA20" s="45">
        <f t="shared" si="18"/>
        <v>-0.40000000000084401</v>
      </c>
      <c r="AB20" s="49">
        <v>9.0293999999999794</v>
      </c>
      <c r="AC20" s="43">
        <f t="shared" si="19"/>
        <v>-0.200000000010192</v>
      </c>
      <c r="AD20" s="44">
        <f t="shared" si="20"/>
        <v>-2.6000000000205898</v>
      </c>
      <c r="AE20" s="45">
        <f t="shared" si="21"/>
        <v>-0.200000000010192</v>
      </c>
      <c r="AF20" s="50">
        <v>80299</v>
      </c>
      <c r="AG20" s="58">
        <f t="shared" si="22"/>
        <v>64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44816</v>
      </c>
      <c r="B21" s="22">
        <v>791.80629999999996</v>
      </c>
      <c r="C21" s="27">
        <v>6.2823999999999902</v>
      </c>
      <c r="D21" s="23">
        <f t="shared" si="0"/>
        <v>798.08870000000002</v>
      </c>
      <c r="E21" s="24">
        <f t="shared" si="4"/>
        <v>-0.40000000001327901</v>
      </c>
      <c r="F21" s="25">
        <f t="shared" si="5"/>
        <v>-3.0000000000427498</v>
      </c>
      <c r="G21" s="26">
        <f t="shared" si="6"/>
        <v>-0.20000000000663901</v>
      </c>
      <c r="H21" s="6">
        <v>7.3319000000000001</v>
      </c>
      <c r="I21" s="35">
        <f t="shared" si="1"/>
        <v>799.13819999999998</v>
      </c>
      <c r="J21" s="24">
        <f t="shared" si="7"/>
        <v>0.20000000006348301</v>
      </c>
      <c r="K21" s="25">
        <f t="shared" si="8"/>
        <v>-2.2999999999910901</v>
      </c>
      <c r="L21" s="26">
        <f t="shared" si="9"/>
        <v>0.100000000031741</v>
      </c>
      <c r="M21" s="6">
        <v>6.4848000000000097</v>
      </c>
      <c r="N21" s="35">
        <f t="shared" si="2"/>
        <v>798.29110000000003</v>
      </c>
      <c r="O21" s="24">
        <f t="shared" si="10"/>
        <v>-0.199999999949796</v>
      </c>
      <c r="P21" s="25">
        <f t="shared" si="11"/>
        <v>-3.2999999999674401</v>
      </c>
      <c r="Q21" s="26">
        <f t="shared" si="12"/>
        <v>-9.9999999974897905E-2</v>
      </c>
      <c r="R21" s="41"/>
      <c r="S21" s="21">
        <f t="shared" si="3"/>
        <v>44816</v>
      </c>
      <c r="T21" s="42">
        <v>8.7722000000000104</v>
      </c>
      <c r="U21" s="43">
        <f t="shared" si="13"/>
        <v>-0.29999999999041899</v>
      </c>
      <c r="V21" s="44">
        <f t="shared" si="14"/>
        <v>-2.49999999998884</v>
      </c>
      <c r="W21" s="45">
        <f t="shared" si="15"/>
        <v>0.14999999999520999</v>
      </c>
      <c r="X21" s="29">
        <v>11.8894</v>
      </c>
      <c r="Y21" s="43">
        <f t="shared" si="16"/>
        <v>-0.19999999999953399</v>
      </c>
      <c r="Z21" s="44">
        <f t="shared" si="17"/>
        <v>-2.6999999999990401</v>
      </c>
      <c r="AA21" s="45">
        <f t="shared" si="18"/>
        <v>-9.99999999997669E-2</v>
      </c>
      <c r="AB21" s="49">
        <v>9.0291999999999799</v>
      </c>
      <c r="AC21" s="43">
        <f t="shared" si="19"/>
        <v>-0.19999999999953399</v>
      </c>
      <c r="AD21" s="44">
        <f t="shared" si="20"/>
        <v>-2.8000000000201202</v>
      </c>
      <c r="AE21" s="45">
        <f t="shared" si="21"/>
        <v>-9.99999999997669E-2</v>
      </c>
      <c r="AF21" s="50">
        <v>80303</v>
      </c>
      <c r="AG21" s="58">
        <f t="shared" si="22"/>
        <v>68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44818</v>
      </c>
      <c r="B22" s="22">
        <v>791.80629999999996</v>
      </c>
      <c r="C22" s="27">
        <v>6.2821999999999898</v>
      </c>
      <c r="D22" s="23">
        <f t="shared" si="0"/>
        <v>798.08849999999995</v>
      </c>
      <c r="E22" s="24">
        <f t="shared" si="4"/>
        <v>-0.199999999949796</v>
      </c>
      <c r="F22" s="25">
        <f t="shared" si="5"/>
        <v>-3.1999999999925399</v>
      </c>
      <c r="G22" s="26">
        <f t="shared" si="6"/>
        <v>-9.9999999974897905E-2</v>
      </c>
      <c r="H22" s="6">
        <v>7.3312999999999899</v>
      </c>
      <c r="I22" s="35">
        <f t="shared" si="1"/>
        <v>799.13760000000002</v>
      </c>
      <c r="J22" s="24">
        <f t="shared" si="7"/>
        <v>-0.60000000007676102</v>
      </c>
      <c r="K22" s="25">
        <f t="shared" si="8"/>
        <v>-2.9000000000678501</v>
      </c>
      <c r="L22" s="26">
        <f t="shared" si="9"/>
        <v>-0.30000000003838101</v>
      </c>
      <c r="M22" s="6">
        <v>6.4851000000000001</v>
      </c>
      <c r="N22" s="35">
        <f t="shared" si="2"/>
        <v>798.29139999999995</v>
      </c>
      <c r="O22" s="24">
        <f t="shared" si="10"/>
        <v>0.29999999992469401</v>
      </c>
      <c r="P22" s="25">
        <f t="shared" si="11"/>
        <v>-3.0000000000427498</v>
      </c>
      <c r="Q22" s="26">
        <f t="shared" si="12"/>
        <v>0.149999999962347</v>
      </c>
      <c r="R22" s="41"/>
      <c r="S22" s="21">
        <f t="shared" si="3"/>
        <v>44818</v>
      </c>
      <c r="T22" s="42">
        <v>8.7720000000000091</v>
      </c>
      <c r="U22" s="43">
        <f t="shared" si="13"/>
        <v>-0.20000000000130999</v>
      </c>
      <c r="V22" s="44">
        <f t="shared" si="14"/>
        <v>-2.6999999999901498</v>
      </c>
      <c r="W22" s="45">
        <f t="shared" si="15"/>
        <v>0.100000000000655</v>
      </c>
      <c r="X22" s="29">
        <v>11.8895</v>
      </c>
      <c r="Y22" s="43">
        <f t="shared" si="16"/>
        <v>9.99999999997669E-2</v>
      </c>
      <c r="Z22" s="44">
        <f t="shared" si="17"/>
        <v>-2.59999999999927</v>
      </c>
      <c r="AA22" s="45">
        <f t="shared" si="18"/>
        <v>4.9999999999883499E-2</v>
      </c>
      <c r="AB22" s="49">
        <v>9.0295000000000005</v>
      </c>
      <c r="AC22" s="43">
        <f t="shared" si="19"/>
        <v>0.300000000020617</v>
      </c>
      <c r="AD22" s="44">
        <f t="shared" si="20"/>
        <v>-2.4999999999995</v>
      </c>
      <c r="AE22" s="45">
        <f t="shared" si="21"/>
        <v>0.150000000010309</v>
      </c>
      <c r="AF22" s="50">
        <v>80307</v>
      </c>
      <c r="AG22" s="58">
        <f t="shared" si="22"/>
        <v>72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44820</v>
      </c>
      <c r="B23" s="22">
        <v>791.80629999999996</v>
      </c>
      <c r="C23" s="27">
        <v>6.2820999999999998</v>
      </c>
      <c r="D23" s="23">
        <f t="shared" si="0"/>
        <v>798.08839999999998</v>
      </c>
      <c r="E23" s="24">
        <f t="shared" si="4"/>
        <v>-9.9999999974897905E-2</v>
      </c>
      <c r="F23" s="25">
        <f t="shared" si="5"/>
        <v>-3.2999999999674401</v>
      </c>
      <c r="G23" s="26">
        <f t="shared" si="6"/>
        <v>-4.9999999987449001E-2</v>
      </c>
      <c r="H23" s="6">
        <v>7.3310999999999904</v>
      </c>
      <c r="I23" s="35">
        <f t="shared" si="1"/>
        <v>799.13739999999996</v>
      </c>
      <c r="J23" s="24">
        <f t="shared" si="7"/>
        <v>-0.199999999949796</v>
      </c>
      <c r="K23" s="25">
        <f t="shared" si="8"/>
        <v>-3.1000000000176402</v>
      </c>
      <c r="L23" s="26">
        <f t="shared" si="9"/>
        <v>-9.9999999974897905E-2</v>
      </c>
      <c r="M23" s="6">
        <v>6.4844000000000097</v>
      </c>
      <c r="N23" s="35">
        <f t="shared" si="2"/>
        <v>798.29070000000002</v>
      </c>
      <c r="O23" s="24">
        <f t="shared" si="10"/>
        <v>-0.69999999993797202</v>
      </c>
      <c r="P23" s="25">
        <f t="shared" si="11"/>
        <v>-3.69999999998072</v>
      </c>
      <c r="Q23" s="26">
        <f t="shared" si="12"/>
        <v>-0.34999999996898601</v>
      </c>
      <c r="R23" s="41"/>
      <c r="S23" s="21">
        <f t="shared" si="3"/>
        <v>44820</v>
      </c>
      <c r="T23" s="42">
        <v>8.7718000000000096</v>
      </c>
      <c r="U23" s="43">
        <f t="shared" si="13"/>
        <v>-0.19999999999953399</v>
      </c>
      <c r="V23" s="44">
        <f t="shared" si="14"/>
        <v>-2.8999999999896899</v>
      </c>
      <c r="W23" s="45">
        <f t="shared" si="15"/>
        <v>9.99999999997669E-2</v>
      </c>
      <c r="X23" s="29">
        <v>11.888999999999999</v>
      </c>
      <c r="Y23" s="43">
        <f t="shared" si="16"/>
        <v>-0.50000000000061096</v>
      </c>
      <c r="Z23" s="44">
        <f t="shared" si="17"/>
        <v>-3.0999999999998802</v>
      </c>
      <c r="AA23" s="45">
        <f t="shared" si="18"/>
        <v>-0.25000000000030598</v>
      </c>
      <c r="AB23" s="49">
        <v>9.0287999999999808</v>
      </c>
      <c r="AC23" s="43">
        <f t="shared" si="19"/>
        <v>-0.70000000001968499</v>
      </c>
      <c r="AD23" s="44">
        <f t="shared" si="20"/>
        <v>-3.2000000000191902</v>
      </c>
      <c r="AE23" s="45">
        <f t="shared" si="21"/>
        <v>-0.35000000000984199</v>
      </c>
      <c r="AF23" s="50">
        <v>80311</v>
      </c>
      <c r="AG23" s="58">
        <f t="shared" si="22"/>
        <v>76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44822</v>
      </c>
      <c r="B24" s="22">
        <v>791.80629999999996</v>
      </c>
      <c r="C24" s="27">
        <v>6.2817999999999898</v>
      </c>
      <c r="D24" s="23">
        <f t="shared" si="0"/>
        <v>798.08810000000005</v>
      </c>
      <c r="E24" s="24">
        <f t="shared" si="4"/>
        <v>-0.30000000003838101</v>
      </c>
      <c r="F24" s="25">
        <f t="shared" si="5"/>
        <v>-3.6000000000058199</v>
      </c>
      <c r="G24" s="26">
        <f t="shared" si="6"/>
        <v>-0.15000000001919001</v>
      </c>
      <c r="H24" s="6">
        <v>7.3311999999999999</v>
      </c>
      <c r="I24" s="35">
        <f t="shared" si="1"/>
        <v>799.13750000000005</v>
      </c>
      <c r="J24" s="24">
        <f t="shared" si="7"/>
        <v>9.9999999974897905E-2</v>
      </c>
      <c r="K24" s="25">
        <f t="shared" si="8"/>
        <v>-3.0000000000427498</v>
      </c>
      <c r="L24" s="26">
        <f t="shared" si="9"/>
        <v>4.9999999987449001E-2</v>
      </c>
      <c r="M24" s="6">
        <v>6.4842000000000102</v>
      </c>
      <c r="N24" s="35">
        <f t="shared" si="2"/>
        <v>798.29049999999995</v>
      </c>
      <c r="O24" s="24">
        <f t="shared" si="10"/>
        <v>-0.20000000006348301</v>
      </c>
      <c r="P24" s="25">
        <f t="shared" si="11"/>
        <v>-3.9000000000442001</v>
      </c>
      <c r="Q24" s="26">
        <f t="shared" si="12"/>
        <v>-0.100000000031741</v>
      </c>
      <c r="R24" s="41"/>
      <c r="S24" s="21">
        <f t="shared" si="3"/>
        <v>44822</v>
      </c>
      <c r="T24" s="42">
        <v>8.7714999999999996</v>
      </c>
      <c r="U24" s="43">
        <f t="shared" si="13"/>
        <v>-0.30000000000995902</v>
      </c>
      <c r="V24" s="44">
        <f t="shared" si="14"/>
        <v>-3.1999999999996498</v>
      </c>
      <c r="W24" s="45">
        <f t="shared" si="15"/>
        <v>0.15000000000497901</v>
      </c>
      <c r="X24" s="29">
        <v>11.8888</v>
      </c>
      <c r="Y24" s="43">
        <f t="shared" si="16"/>
        <v>-0.19999999999953399</v>
      </c>
      <c r="Z24" s="44">
        <f t="shared" si="17"/>
        <v>-3.2999999999994101</v>
      </c>
      <c r="AA24" s="45">
        <f t="shared" si="18"/>
        <v>-9.99999999997669E-2</v>
      </c>
      <c r="AB24" s="49">
        <v>9.0285999999999795</v>
      </c>
      <c r="AC24" s="43">
        <f t="shared" si="19"/>
        <v>-0.20000000000130999</v>
      </c>
      <c r="AD24" s="44">
        <f t="shared" si="20"/>
        <v>-3.4000000000205</v>
      </c>
      <c r="AE24" s="45">
        <f t="shared" si="21"/>
        <v>-0.100000000000655</v>
      </c>
      <c r="AF24" s="50">
        <v>80315</v>
      </c>
      <c r="AG24" s="58">
        <f t="shared" si="22"/>
        <v>80</v>
      </c>
      <c r="AH24" s="59"/>
      <c r="AI24" s="60"/>
      <c r="AJ24" s="52"/>
      <c r="AK24" s="52"/>
      <c r="AL24" s="52"/>
      <c r="AM24" s="52"/>
    </row>
    <row r="25" spans="1:48">
      <c r="A25" s="21">
        <v>44824</v>
      </c>
      <c r="B25" s="22">
        <v>791.80629999999996</v>
      </c>
      <c r="C25" s="27">
        <v>6.2815999999999903</v>
      </c>
      <c r="D25" s="23">
        <f t="shared" si="0"/>
        <v>798.08789999999999</v>
      </c>
      <c r="E25" s="24">
        <f t="shared" si="4"/>
        <v>-0.199999999949796</v>
      </c>
      <c r="F25" s="25">
        <f t="shared" si="5"/>
        <v>-3.7999999999556202</v>
      </c>
      <c r="G25" s="26">
        <f t="shared" si="6"/>
        <v>-9.9999999974897905E-2</v>
      </c>
      <c r="H25" s="6">
        <v>7.3310000000000004</v>
      </c>
      <c r="I25" s="35">
        <f t="shared" si="1"/>
        <v>799.13729999999998</v>
      </c>
      <c r="J25" s="24">
        <f t="shared" si="7"/>
        <v>-0.199999999949796</v>
      </c>
      <c r="K25" s="25">
        <f t="shared" si="8"/>
        <v>-3.1999999999925399</v>
      </c>
      <c r="L25" s="26">
        <f t="shared" si="9"/>
        <v>-9.9999999974897905E-2</v>
      </c>
      <c r="M25" s="6">
        <v>6.484</v>
      </c>
      <c r="N25" s="35">
        <f t="shared" si="2"/>
        <v>798.2903</v>
      </c>
      <c r="O25" s="24">
        <f t="shared" si="10"/>
        <v>-0.199999999949796</v>
      </c>
      <c r="P25" s="25">
        <f t="shared" si="11"/>
        <v>-4.099999999994</v>
      </c>
      <c r="Q25" s="26">
        <f t="shared" si="12"/>
        <v>-9.9999999974897905E-2</v>
      </c>
      <c r="R25" s="41"/>
      <c r="S25" s="21">
        <f t="shared" si="3"/>
        <v>44824</v>
      </c>
      <c r="T25" s="42">
        <v>8.7713000000000001</v>
      </c>
      <c r="U25" s="43">
        <f t="shared" si="13"/>
        <v>-0.19999999999953399</v>
      </c>
      <c r="V25" s="44">
        <f t="shared" si="14"/>
        <v>-3.3999999999991801</v>
      </c>
      <c r="W25" s="45">
        <f t="shared" si="15"/>
        <v>9.99999999997669E-2</v>
      </c>
      <c r="X25" s="29">
        <v>11.888500000000001</v>
      </c>
      <c r="Y25" s="43">
        <f t="shared" si="16"/>
        <v>-0.29999999999930099</v>
      </c>
      <c r="Z25" s="44">
        <f t="shared" si="17"/>
        <v>-3.5999999999987198</v>
      </c>
      <c r="AA25" s="45">
        <f t="shared" si="18"/>
        <v>-0.14999999999965</v>
      </c>
      <c r="AB25" s="49">
        <v>9.0284999999999993</v>
      </c>
      <c r="AC25" s="43">
        <f t="shared" si="19"/>
        <v>-9.9999999980227003E-2</v>
      </c>
      <c r="AD25" s="44">
        <f t="shared" si="20"/>
        <v>-3.5000000000007199</v>
      </c>
      <c r="AE25" s="45">
        <f t="shared" si="21"/>
        <v>-4.9999999990113501E-2</v>
      </c>
      <c r="AF25" s="50">
        <v>80319</v>
      </c>
      <c r="AG25" s="58">
        <f t="shared" si="22"/>
        <v>84</v>
      </c>
      <c r="AH25" s="61"/>
      <c r="AI25" s="60"/>
      <c r="AJ25" s="52"/>
      <c r="AK25" s="52"/>
      <c r="AL25" s="52"/>
      <c r="AM25" s="52"/>
    </row>
    <row r="26" spans="1:48">
      <c r="A26" s="21">
        <v>44826</v>
      </c>
      <c r="B26" s="22">
        <v>791.80629999999996</v>
      </c>
      <c r="C26" s="27">
        <v>6.2813999999999899</v>
      </c>
      <c r="D26" s="23">
        <f t="shared" si="0"/>
        <v>798.08770000000004</v>
      </c>
      <c r="E26" s="24">
        <f t="shared" si="4"/>
        <v>-0.20000000006348301</v>
      </c>
      <c r="F26" s="25">
        <f t="shared" si="5"/>
        <v>-4.0000000000191003</v>
      </c>
      <c r="G26" s="26">
        <f t="shared" si="6"/>
        <v>-0.100000000031741</v>
      </c>
      <c r="H26" s="6">
        <v>7.3308</v>
      </c>
      <c r="I26" s="35">
        <f t="shared" si="1"/>
        <v>799.13710000000003</v>
      </c>
      <c r="J26" s="24">
        <f t="shared" si="7"/>
        <v>-0.20000000006348301</v>
      </c>
      <c r="K26" s="25">
        <f t="shared" si="8"/>
        <v>-3.40000000005602</v>
      </c>
      <c r="L26" s="26">
        <f t="shared" si="9"/>
        <v>-0.100000000031741</v>
      </c>
      <c r="M26" s="6">
        <v>6.4837999999999898</v>
      </c>
      <c r="N26" s="35">
        <f t="shared" si="2"/>
        <v>798.29010000000005</v>
      </c>
      <c r="O26" s="24">
        <f t="shared" si="10"/>
        <v>-0.20000000006348301</v>
      </c>
      <c r="P26" s="25">
        <f t="shared" si="11"/>
        <v>-4.3000000000574801</v>
      </c>
      <c r="Q26" s="26">
        <f t="shared" si="12"/>
        <v>-0.100000000031741</v>
      </c>
      <c r="R26" s="41"/>
      <c r="S26" s="21">
        <f t="shared" si="3"/>
        <v>44826</v>
      </c>
      <c r="T26" s="42">
        <v>8.7711000000000006</v>
      </c>
      <c r="U26" s="43">
        <f t="shared" si="13"/>
        <v>-0.19999999999953399</v>
      </c>
      <c r="V26" s="44">
        <f t="shared" si="14"/>
        <v>-3.5999999999987198</v>
      </c>
      <c r="W26" s="45">
        <f t="shared" si="15"/>
        <v>9.99999999997669E-2</v>
      </c>
      <c r="X26" s="29">
        <v>11.888199999999999</v>
      </c>
      <c r="Y26" s="43">
        <f t="shared" si="16"/>
        <v>-0.30000000000107702</v>
      </c>
      <c r="Z26" s="44">
        <f t="shared" si="17"/>
        <v>-3.8999999999997899</v>
      </c>
      <c r="AA26" s="45">
        <f t="shared" si="18"/>
        <v>-0.15000000000053901</v>
      </c>
      <c r="AB26" s="49">
        <v>9.0284000000000209</v>
      </c>
      <c r="AC26" s="43">
        <f t="shared" si="19"/>
        <v>-9.9999999978450702E-2</v>
      </c>
      <c r="AD26" s="44">
        <f t="shared" si="20"/>
        <v>-3.5999999999791799</v>
      </c>
      <c r="AE26" s="45">
        <f t="shared" si="21"/>
        <v>-4.9999999989225302E-2</v>
      </c>
      <c r="AF26" s="50">
        <v>80323</v>
      </c>
      <c r="AG26" s="58">
        <f t="shared" si="22"/>
        <v>88</v>
      </c>
      <c r="AH26" s="59"/>
      <c r="AI26" s="60"/>
      <c r="AJ26"/>
      <c r="AK26"/>
      <c r="AL26"/>
      <c r="AM26"/>
    </row>
    <row r="27" spans="1:48">
      <c r="A27" s="21">
        <v>44828</v>
      </c>
      <c r="B27" s="22">
        <v>791.80629999999996</v>
      </c>
      <c r="C27" s="27">
        <v>6.2811999999999903</v>
      </c>
      <c r="D27" s="23">
        <f t="shared" si="0"/>
        <v>798.08749999999998</v>
      </c>
      <c r="E27" s="24">
        <f t="shared" si="4"/>
        <v>-0.199999999949796</v>
      </c>
      <c r="F27" s="25">
        <f t="shared" si="5"/>
        <v>-4.1999999999688997</v>
      </c>
      <c r="G27" s="26">
        <f t="shared" si="6"/>
        <v>-9.9999999974897905E-2</v>
      </c>
      <c r="H27" s="6">
        <v>7.3305999999999996</v>
      </c>
      <c r="I27" s="35">
        <f t="shared" si="1"/>
        <v>799.13689999999997</v>
      </c>
      <c r="J27" s="24">
        <f t="shared" si="7"/>
        <v>-0.199999999949796</v>
      </c>
      <c r="K27" s="25">
        <f t="shared" si="8"/>
        <v>-3.6000000000058199</v>
      </c>
      <c r="L27" s="26">
        <f t="shared" si="9"/>
        <v>-9.9999999974897905E-2</v>
      </c>
      <c r="M27" s="6">
        <v>6.4835999999999796</v>
      </c>
      <c r="N27" s="35">
        <f t="shared" si="2"/>
        <v>798.28989999999999</v>
      </c>
      <c r="O27" s="24">
        <f t="shared" si="10"/>
        <v>-0.199999999949796</v>
      </c>
      <c r="P27" s="25">
        <f t="shared" si="11"/>
        <v>-4.5000000000072804</v>
      </c>
      <c r="Q27" s="26">
        <f t="shared" si="12"/>
        <v>-9.9999999974897905E-2</v>
      </c>
      <c r="R27" s="41"/>
      <c r="S27" s="21">
        <f t="shared" si="3"/>
        <v>44828</v>
      </c>
      <c r="T27" s="42">
        <v>8.7708999999999993</v>
      </c>
      <c r="U27" s="43">
        <f t="shared" si="13"/>
        <v>-0.20000000000130999</v>
      </c>
      <c r="V27" s="44">
        <f t="shared" si="14"/>
        <v>-3.80000000000003</v>
      </c>
      <c r="W27" s="45">
        <f t="shared" si="15"/>
        <v>0.100000000000655</v>
      </c>
      <c r="X27" s="29">
        <v>11.8879</v>
      </c>
      <c r="Y27" s="43">
        <f t="shared" si="16"/>
        <v>-0.29999999999930099</v>
      </c>
      <c r="Z27" s="44">
        <f t="shared" si="17"/>
        <v>-4.1999999999990898</v>
      </c>
      <c r="AA27" s="45">
        <f t="shared" si="18"/>
        <v>-0.14999999999965</v>
      </c>
      <c r="AB27" s="49">
        <v>9.0283000000000406</v>
      </c>
      <c r="AC27" s="43">
        <f t="shared" si="19"/>
        <v>-9.9999999980227003E-2</v>
      </c>
      <c r="AD27" s="44">
        <f t="shared" si="20"/>
        <v>-3.6999999999594002</v>
      </c>
      <c r="AE27" s="45">
        <f t="shared" si="21"/>
        <v>-4.9999999990113501E-2</v>
      </c>
      <c r="AF27" s="50">
        <v>80327</v>
      </c>
      <c r="AG27" s="58">
        <f t="shared" si="22"/>
        <v>92</v>
      </c>
      <c r="AH27" s="61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F27-F25</f>
        <v>-0.40000000001327901</v>
      </c>
      <c r="F28" s="33">
        <f>K27-K25</f>
        <v>-0.40000000001327901</v>
      </c>
      <c r="G28" s="33">
        <f>P27-P25</f>
        <v>-0.40000000001327901</v>
      </c>
      <c r="H28" s="33">
        <f>F27</f>
        <v>-4.1999999999688997</v>
      </c>
      <c r="I28" s="66">
        <f>K27</f>
        <v>-3.6000000000058199</v>
      </c>
      <c r="J28" s="65">
        <f>P27</f>
        <v>-4.5000000000072804</v>
      </c>
      <c r="K28" s="33">
        <f>(P27-P25)/5</f>
        <v>-8.0000000002655697E-2</v>
      </c>
      <c r="L28" s="26"/>
      <c r="N28" s="35"/>
      <c r="O28" s="24"/>
      <c r="P28" s="25"/>
      <c r="Q28" s="26"/>
      <c r="R28" s="41"/>
      <c r="S28" s="21"/>
      <c r="T28" s="42"/>
      <c r="U28" s="65">
        <f>V27-V25</f>
        <v>-0.40000000000084401</v>
      </c>
      <c r="V28" s="33">
        <f>Z27-Z25</f>
        <v>-0.60000000000037801</v>
      </c>
      <c r="W28" s="33">
        <f>AD27-AD25</f>
        <v>-0.19999999995867801</v>
      </c>
      <c r="X28" s="33">
        <f>V27</f>
        <v>-3.80000000000003</v>
      </c>
      <c r="Y28" s="65">
        <f>Z27</f>
        <v>-4.1999999999990898</v>
      </c>
      <c r="Z28" s="33">
        <f>AD27</f>
        <v>-3.6999999999594002</v>
      </c>
      <c r="AA28" s="33">
        <f>(Z27-Z25)/5</f>
        <v>-0.120000000000076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6"/>
  <sheetViews>
    <sheetView topLeftCell="Q31" workbookViewId="0">
      <selection activeCell="E30" sqref="E30:K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69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44812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44812</v>
      </c>
      <c r="B6" s="22">
        <v>791.80629999999996</v>
      </c>
      <c r="C6" s="27">
        <v>5.3524000000000003</v>
      </c>
      <c r="D6" s="23">
        <f t="shared" ref="D6:D20" si="0">C6+B6</f>
        <v>797.15869999999995</v>
      </c>
      <c r="E6" s="24">
        <v>0</v>
      </c>
      <c r="F6" s="25">
        <v>0</v>
      </c>
      <c r="G6" s="26">
        <v>0</v>
      </c>
      <c r="H6" s="6">
        <v>6.5566000000000004</v>
      </c>
      <c r="I6" s="35">
        <f t="shared" ref="I6:I20" si="1">H6+B6</f>
        <v>798.36289999999997</v>
      </c>
      <c r="J6" s="24">
        <v>0</v>
      </c>
      <c r="K6" s="25">
        <v>0</v>
      </c>
      <c r="L6" s="26">
        <v>0</v>
      </c>
      <c r="M6" s="6">
        <v>5.0872999999999999</v>
      </c>
      <c r="N6" s="35">
        <f t="shared" ref="N6:N20" si="2">M6+B6</f>
        <v>796.89359999999999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44812</v>
      </c>
      <c r="T6" s="42">
        <v>8.8091000000000008</v>
      </c>
      <c r="U6" s="43">
        <v>0</v>
      </c>
      <c r="V6" s="44">
        <v>0</v>
      </c>
      <c r="W6" s="45">
        <f>U6/(S6-S11)</f>
        <v>0</v>
      </c>
      <c r="X6" s="29">
        <v>12.0296</v>
      </c>
      <c r="Y6" s="43">
        <v>0</v>
      </c>
      <c r="Z6" s="44">
        <v>0</v>
      </c>
      <c r="AA6" s="45">
        <v>0</v>
      </c>
      <c r="AB6" s="49">
        <v>9.0557999999999996</v>
      </c>
      <c r="AC6" s="43">
        <v>0</v>
      </c>
      <c r="AD6" s="44">
        <v>0</v>
      </c>
      <c r="AE6" s="45">
        <v>0</v>
      </c>
      <c r="AF6" s="50">
        <v>80283</v>
      </c>
      <c r="AG6" s="58">
        <f>AF6-80275</f>
        <v>8</v>
      </c>
      <c r="AH6" s="59"/>
      <c r="AI6" s="60"/>
      <c r="AJ6" s="61"/>
      <c r="AK6" s="62"/>
      <c r="AL6" s="52"/>
      <c r="AM6" s="52"/>
    </row>
    <row r="7" spans="1:48">
      <c r="A7" s="21">
        <v>44813</v>
      </c>
      <c r="B7" s="22">
        <v>791.80629999999996</v>
      </c>
      <c r="C7" s="27">
        <v>5.3521999999999998</v>
      </c>
      <c r="D7" s="23">
        <f t="shared" si="0"/>
        <v>797.1585</v>
      </c>
      <c r="E7" s="24">
        <f t="shared" ref="E7:E20" si="4">(D7-D6)*1000</f>
        <v>-0.199999999949796</v>
      </c>
      <c r="F7" s="25">
        <f t="shared" ref="F7:F20" si="5">F6+E7</f>
        <v>-0.199999999949796</v>
      </c>
      <c r="G7" s="26">
        <f t="shared" ref="G7:G20" si="6">E7/(A7-A6)</f>
        <v>-0.199999999949796</v>
      </c>
      <c r="H7" s="6">
        <v>6.5561999999999996</v>
      </c>
      <c r="I7" s="35">
        <f t="shared" si="1"/>
        <v>798.36249999999995</v>
      </c>
      <c r="J7" s="24">
        <f t="shared" ref="J7:J20" si="7">(I7-I6)*1000</f>
        <v>-0.40000000001327901</v>
      </c>
      <c r="K7" s="25">
        <f t="shared" ref="K7:K20" si="8">K6+J7</f>
        <v>-0.40000000001327901</v>
      </c>
      <c r="L7" s="26">
        <f t="shared" ref="L7:L20" si="9">J7/(A7-A6)</f>
        <v>-0.40000000001327901</v>
      </c>
      <c r="M7" s="6">
        <v>5.0875000000000004</v>
      </c>
      <c r="N7" s="35">
        <f t="shared" si="2"/>
        <v>796.89380000000006</v>
      </c>
      <c r="O7" s="24">
        <f t="shared" ref="O7:O20" si="10">(N7-N6)*1000</f>
        <v>0.199999999949796</v>
      </c>
      <c r="P7" s="25">
        <f t="shared" ref="P7:P20" si="11">P6+O7</f>
        <v>0.199999999949796</v>
      </c>
      <c r="Q7" s="26">
        <f t="shared" ref="Q7:Q20" si="12">O7/(A7-A6)</f>
        <v>0.199999999949796</v>
      </c>
      <c r="R7" s="41"/>
      <c r="S7" s="21">
        <f t="shared" si="3"/>
        <v>44813</v>
      </c>
      <c r="T7" s="42">
        <v>8.8094999999999999</v>
      </c>
      <c r="U7" s="43">
        <f t="shared" ref="U7:U18" si="13">(T7-T6)*1000</f>
        <v>0.39999999999906799</v>
      </c>
      <c r="V7" s="44">
        <f t="shared" ref="V7:V18" si="14">V6+U7</f>
        <v>0.39999999999906799</v>
      </c>
      <c r="W7" s="45">
        <f t="shared" ref="W7:W18" si="15">U7/(S6-S7)</f>
        <v>-0.39999999999906799</v>
      </c>
      <c r="X7" s="29">
        <v>12.029400000000001</v>
      </c>
      <c r="Y7" s="43">
        <f t="shared" ref="Y7:Y18" si="16">(X7-X6)*1000</f>
        <v>-0.19999999999953399</v>
      </c>
      <c r="Z7" s="44">
        <f t="shared" ref="Z7:Z18" si="17">Z6+Y7</f>
        <v>-0.19999999999953399</v>
      </c>
      <c r="AA7" s="45">
        <f t="shared" ref="AA7:AA18" si="18">Y7/(S7-S6)</f>
        <v>-0.19999999999953399</v>
      </c>
      <c r="AB7" s="49">
        <v>9.0555000000000003</v>
      </c>
      <c r="AC7" s="43">
        <f t="shared" ref="AC7:AC18" si="19">(AB7-AB6)*1000</f>
        <v>-0.29999999999930099</v>
      </c>
      <c r="AD7" s="44">
        <f t="shared" ref="AD7:AD18" si="20">AD6+AC7</f>
        <v>-0.29999999999930099</v>
      </c>
      <c r="AE7" s="45">
        <f t="shared" ref="AE7:AE18" si="21">AC7/(S7-S6)</f>
        <v>-0.29999999999930099</v>
      </c>
      <c r="AF7" s="50">
        <v>80286</v>
      </c>
      <c r="AG7" s="58">
        <f t="shared" ref="AG7:AG18" si="22">AF7-80275</f>
        <v>11</v>
      </c>
      <c r="AH7" s="59"/>
      <c r="AI7" s="60"/>
      <c r="AJ7" s="61"/>
      <c r="AK7" s="62"/>
      <c r="AL7" s="52"/>
      <c r="AM7" s="52"/>
    </row>
    <row r="8" spans="1:48">
      <c r="A8" s="21">
        <v>44814</v>
      </c>
      <c r="B8" s="22">
        <v>791.80629999999996</v>
      </c>
      <c r="C8" s="27">
        <v>5.3521000000000001</v>
      </c>
      <c r="D8" s="23">
        <f t="shared" si="0"/>
        <v>797.15840000000003</v>
      </c>
      <c r="E8" s="24">
        <f t="shared" si="4"/>
        <v>-0.10000000008858501</v>
      </c>
      <c r="F8" s="25">
        <f t="shared" si="5"/>
        <v>-0.30000000003838101</v>
      </c>
      <c r="G8" s="26">
        <f t="shared" si="6"/>
        <v>-0.10000000008858501</v>
      </c>
      <c r="H8" s="6">
        <v>6.556</v>
      </c>
      <c r="I8" s="35">
        <f t="shared" si="1"/>
        <v>798.3623</v>
      </c>
      <c r="J8" s="24">
        <f t="shared" si="7"/>
        <v>-0.199999999949796</v>
      </c>
      <c r="K8" s="25">
        <f t="shared" si="8"/>
        <v>-0.59999999996307496</v>
      </c>
      <c r="L8" s="26">
        <f t="shared" si="9"/>
        <v>-0.199999999949796</v>
      </c>
      <c r="M8" s="6">
        <v>5.0869999999999997</v>
      </c>
      <c r="N8" s="35">
        <f t="shared" si="2"/>
        <v>796.89329999999995</v>
      </c>
      <c r="O8" s="24">
        <f t="shared" si="10"/>
        <v>-0.49999999998817701</v>
      </c>
      <c r="P8" s="25">
        <f t="shared" si="11"/>
        <v>-0.30000000003838101</v>
      </c>
      <c r="Q8" s="26">
        <f t="shared" si="12"/>
        <v>-0.49999999998817701</v>
      </c>
      <c r="R8" s="41"/>
      <c r="S8" s="21">
        <f t="shared" si="3"/>
        <v>44814</v>
      </c>
      <c r="T8" s="42">
        <v>8.8092000000000006</v>
      </c>
      <c r="U8" s="43">
        <f t="shared" si="13"/>
        <v>-0.29999999999930099</v>
      </c>
      <c r="V8" s="44">
        <f t="shared" si="14"/>
        <v>9.99999999997669E-2</v>
      </c>
      <c r="W8" s="45">
        <f t="shared" si="15"/>
        <v>0.29999999999930099</v>
      </c>
      <c r="X8" s="29">
        <v>12.029500000000001</v>
      </c>
      <c r="Y8" s="43">
        <f t="shared" si="16"/>
        <v>9.99999999997669E-2</v>
      </c>
      <c r="Z8" s="44">
        <f t="shared" si="17"/>
        <v>-9.99999999997669E-2</v>
      </c>
      <c r="AA8" s="45">
        <f t="shared" si="18"/>
        <v>9.99999999997669E-2</v>
      </c>
      <c r="AB8" s="49">
        <v>9.0554000000000006</v>
      </c>
      <c r="AC8" s="43">
        <f t="shared" si="19"/>
        <v>-9.99999999997669E-2</v>
      </c>
      <c r="AD8" s="44">
        <f t="shared" si="20"/>
        <v>-0.39999999999906799</v>
      </c>
      <c r="AE8" s="45">
        <f t="shared" si="21"/>
        <v>-9.99999999997669E-2</v>
      </c>
      <c r="AF8" s="50">
        <v>80289</v>
      </c>
      <c r="AG8" s="58">
        <f t="shared" si="22"/>
        <v>14</v>
      </c>
      <c r="AH8" s="59"/>
      <c r="AI8" s="60"/>
      <c r="AJ8" s="61"/>
      <c r="AK8" s="62"/>
      <c r="AL8" s="52"/>
      <c r="AM8" s="52"/>
    </row>
    <row r="9" spans="1:48">
      <c r="A9" s="21">
        <v>44815</v>
      </c>
      <c r="B9" s="22">
        <v>791.80629999999996</v>
      </c>
      <c r="C9" s="27">
        <v>5.3518999999999997</v>
      </c>
      <c r="D9" s="23">
        <f t="shared" si="0"/>
        <v>797.15819999999997</v>
      </c>
      <c r="E9" s="24">
        <f t="shared" si="4"/>
        <v>-0.199999999949796</v>
      </c>
      <c r="F9" s="25">
        <f t="shared" si="5"/>
        <v>-0.49999999998817701</v>
      </c>
      <c r="G9" s="26">
        <f t="shared" si="6"/>
        <v>-0.199999999949796</v>
      </c>
      <c r="H9" s="6">
        <v>6.5557999999999996</v>
      </c>
      <c r="I9" s="35">
        <f t="shared" si="1"/>
        <v>798.36210000000005</v>
      </c>
      <c r="J9" s="24">
        <f t="shared" si="7"/>
        <v>-0.20000000006348301</v>
      </c>
      <c r="K9" s="25">
        <f t="shared" si="8"/>
        <v>-0.80000000002655702</v>
      </c>
      <c r="L9" s="26">
        <f t="shared" si="9"/>
        <v>-0.20000000006348301</v>
      </c>
      <c r="M9" s="6">
        <v>5.0868000000000002</v>
      </c>
      <c r="N9" s="35">
        <f t="shared" si="2"/>
        <v>796.8931</v>
      </c>
      <c r="O9" s="24">
        <f t="shared" si="10"/>
        <v>-0.199999999949796</v>
      </c>
      <c r="P9" s="25">
        <f t="shared" si="11"/>
        <v>-0.49999999998817701</v>
      </c>
      <c r="Q9" s="26">
        <f t="shared" si="12"/>
        <v>-0.199999999949796</v>
      </c>
      <c r="R9" s="41"/>
      <c r="S9" s="21">
        <f t="shared" si="3"/>
        <v>44815</v>
      </c>
      <c r="T9" s="42">
        <v>8.8089999999999993</v>
      </c>
      <c r="U9" s="43">
        <f t="shared" si="13"/>
        <v>-0.20000000000130999</v>
      </c>
      <c r="V9" s="44">
        <f t="shared" si="14"/>
        <v>-0.10000000000154299</v>
      </c>
      <c r="W9" s="45">
        <f t="shared" si="15"/>
        <v>0.20000000000130999</v>
      </c>
      <c r="X9" s="29">
        <v>12.029</v>
      </c>
      <c r="Y9" s="43">
        <f t="shared" si="16"/>
        <v>-0.50000000000061096</v>
      </c>
      <c r="Z9" s="44">
        <f t="shared" si="17"/>
        <v>-0.60000000000037801</v>
      </c>
      <c r="AA9" s="45">
        <f t="shared" si="18"/>
        <v>-0.50000000000061096</v>
      </c>
      <c r="AB9" s="49">
        <v>9.0553000000000008</v>
      </c>
      <c r="AC9" s="43">
        <f t="shared" si="19"/>
        <v>-9.99999999997669E-2</v>
      </c>
      <c r="AD9" s="44">
        <f t="shared" si="20"/>
        <v>-0.49999999999883499</v>
      </c>
      <c r="AE9" s="45">
        <f t="shared" si="21"/>
        <v>-9.99999999997669E-2</v>
      </c>
      <c r="AF9" s="50">
        <v>80292</v>
      </c>
      <c r="AG9" s="58">
        <f t="shared" si="22"/>
        <v>17</v>
      </c>
      <c r="AH9" s="61"/>
      <c r="AI9" s="60"/>
      <c r="AJ9"/>
      <c r="AK9"/>
      <c r="AL9"/>
      <c r="AM9"/>
    </row>
    <row r="10" spans="1:48">
      <c r="A10" s="21">
        <v>44816</v>
      </c>
      <c r="B10" s="22">
        <v>791.80629999999996</v>
      </c>
      <c r="C10" s="27">
        <v>5.3517000000000001</v>
      </c>
      <c r="D10" s="23">
        <f t="shared" si="0"/>
        <v>797.15800000000002</v>
      </c>
      <c r="E10" s="24">
        <f t="shared" si="4"/>
        <v>-0.199999999949796</v>
      </c>
      <c r="F10" s="25">
        <f t="shared" si="5"/>
        <v>-0.69999999993797202</v>
      </c>
      <c r="G10" s="26">
        <f t="shared" si="6"/>
        <v>-0.199999999949796</v>
      </c>
      <c r="H10" s="6">
        <v>6.556</v>
      </c>
      <c r="I10" s="35">
        <f t="shared" si="1"/>
        <v>798.3623</v>
      </c>
      <c r="J10" s="24">
        <f t="shared" si="7"/>
        <v>0.20000000006348301</v>
      </c>
      <c r="K10" s="25">
        <f t="shared" si="8"/>
        <v>-0.59999999996307496</v>
      </c>
      <c r="L10" s="26">
        <f t="shared" si="9"/>
        <v>0.20000000006348301</v>
      </c>
      <c r="M10" s="6">
        <v>5.0865999999999998</v>
      </c>
      <c r="N10" s="35">
        <f t="shared" si="2"/>
        <v>796.89290000000005</v>
      </c>
      <c r="O10" s="24">
        <f t="shared" si="10"/>
        <v>-0.20000000006348301</v>
      </c>
      <c r="P10" s="25">
        <f t="shared" si="11"/>
        <v>-0.70000000005165897</v>
      </c>
      <c r="Q10" s="26">
        <f t="shared" si="12"/>
        <v>-0.20000000006348301</v>
      </c>
      <c r="R10" s="41"/>
      <c r="S10" s="21">
        <f t="shared" si="3"/>
        <v>44816</v>
      </c>
      <c r="T10" s="42">
        <v>8.8085000000000004</v>
      </c>
      <c r="U10" s="43">
        <f t="shared" si="13"/>
        <v>-0.49999999999883499</v>
      </c>
      <c r="V10" s="44">
        <f t="shared" si="14"/>
        <v>-0.60000000000037801</v>
      </c>
      <c r="W10" s="45">
        <f t="shared" si="15"/>
        <v>0.49999999999883499</v>
      </c>
      <c r="X10" s="29">
        <v>12.0288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9.0549999999999997</v>
      </c>
      <c r="AC10" s="43">
        <f t="shared" si="19"/>
        <v>-0.30000000000107702</v>
      </c>
      <c r="AD10" s="44">
        <f t="shared" si="20"/>
        <v>-0.799999999999912</v>
      </c>
      <c r="AE10" s="45">
        <f t="shared" si="21"/>
        <v>-0.30000000000107702</v>
      </c>
      <c r="AF10" s="50">
        <v>80295</v>
      </c>
      <c r="AG10" s="58">
        <f t="shared" si="22"/>
        <v>20</v>
      </c>
      <c r="AH10" s="59"/>
      <c r="AI10" s="60"/>
      <c r="AJ10" s="61"/>
      <c r="AK10" s="62"/>
      <c r="AL10" s="52"/>
      <c r="AM10" s="52"/>
    </row>
    <row r="11" spans="1:48">
      <c r="A11" s="21">
        <v>44817</v>
      </c>
      <c r="B11" s="22">
        <v>791.80629999999996</v>
      </c>
      <c r="C11" s="27">
        <v>5.3517999999999999</v>
      </c>
      <c r="D11" s="23">
        <f t="shared" si="0"/>
        <v>797.15809999999999</v>
      </c>
      <c r="E11" s="24">
        <f t="shared" si="4"/>
        <v>9.9999999974897905E-2</v>
      </c>
      <c r="F11" s="25">
        <f t="shared" si="5"/>
        <v>-0.59999999996307496</v>
      </c>
      <c r="G11" s="26">
        <f t="shared" si="6"/>
        <v>9.9999999974897905E-2</v>
      </c>
      <c r="H11" s="6">
        <v>6.5553999999999997</v>
      </c>
      <c r="I11" s="35">
        <f t="shared" si="1"/>
        <v>798.36170000000004</v>
      </c>
      <c r="J11" s="24">
        <f t="shared" si="7"/>
        <v>-0.60000000007676102</v>
      </c>
      <c r="K11" s="25">
        <f t="shared" si="8"/>
        <v>-1.2000000000398401</v>
      </c>
      <c r="L11" s="26">
        <f t="shared" si="9"/>
        <v>-0.60000000007676102</v>
      </c>
      <c r="M11" s="6">
        <v>5.0865</v>
      </c>
      <c r="N11" s="35">
        <f t="shared" si="2"/>
        <v>796.89279999999997</v>
      </c>
      <c r="O11" s="24">
        <f t="shared" si="10"/>
        <v>-9.9999999974897905E-2</v>
      </c>
      <c r="P11" s="25">
        <f t="shared" si="11"/>
        <v>-0.80000000002655702</v>
      </c>
      <c r="Q11" s="26">
        <f t="shared" si="12"/>
        <v>-9.9999999974897905E-2</v>
      </c>
      <c r="R11" s="41"/>
      <c r="S11" s="21">
        <f t="shared" si="3"/>
        <v>44817</v>
      </c>
      <c r="T11" s="42">
        <v>8.8086000000000002</v>
      </c>
      <c r="U11" s="43">
        <f t="shared" si="13"/>
        <v>9.99999999997669E-2</v>
      </c>
      <c r="V11" s="44">
        <f t="shared" si="14"/>
        <v>-0.50000000000061096</v>
      </c>
      <c r="W11" s="45">
        <f t="shared" si="15"/>
        <v>-9.99999999997669E-2</v>
      </c>
      <c r="X11" s="29">
        <v>12.028700000000001</v>
      </c>
      <c r="Y11" s="43">
        <f t="shared" si="16"/>
        <v>-9.99999999997669E-2</v>
      </c>
      <c r="Z11" s="44">
        <f t="shared" si="17"/>
        <v>-0.89999999999967895</v>
      </c>
      <c r="AA11" s="45">
        <f t="shared" si="18"/>
        <v>-9.99999999997669E-2</v>
      </c>
      <c r="AB11" s="49">
        <v>9.0550999999999995</v>
      </c>
      <c r="AC11" s="43">
        <f t="shared" si="19"/>
        <v>9.99999999997669E-2</v>
      </c>
      <c r="AD11" s="44">
        <f t="shared" si="20"/>
        <v>-0.70000000000014495</v>
      </c>
      <c r="AE11" s="45">
        <f t="shared" si="21"/>
        <v>9.99999999997669E-2</v>
      </c>
      <c r="AF11" s="50">
        <v>80298</v>
      </c>
      <c r="AG11" s="58">
        <f t="shared" si="22"/>
        <v>23</v>
      </c>
      <c r="AH11" s="61"/>
      <c r="AI11" s="60"/>
      <c r="AJ11"/>
      <c r="AK11"/>
      <c r="AL11"/>
      <c r="AM11"/>
    </row>
    <row r="12" spans="1:48">
      <c r="A12" s="21">
        <v>44818</v>
      </c>
      <c r="B12" s="22">
        <v>791.80629999999996</v>
      </c>
      <c r="C12" s="27">
        <v>5.3513000000000002</v>
      </c>
      <c r="D12" s="23">
        <f t="shared" si="0"/>
        <v>797.1576</v>
      </c>
      <c r="E12" s="24">
        <f t="shared" si="4"/>
        <v>-0.49999999998817701</v>
      </c>
      <c r="F12" s="25">
        <f t="shared" si="5"/>
        <v>-1.09999999995125</v>
      </c>
      <c r="G12" s="26">
        <f t="shared" si="6"/>
        <v>-0.49999999998817701</v>
      </c>
      <c r="H12" s="6">
        <v>6.5552000000000001</v>
      </c>
      <c r="I12" s="35">
        <f t="shared" si="1"/>
        <v>798.36149999999998</v>
      </c>
      <c r="J12" s="24">
        <f t="shared" si="7"/>
        <v>-0.199999999949796</v>
      </c>
      <c r="K12" s="25">
        <f t="shared" si="8"/>
        <v>-1.39999999998963</v>
      </c>
      <c r="L12" s="26">
        <f t="shared" si="9"/>
        <v>-0.199999999949796</v>
      </c>
      <c r="M12" s="6">
        <v>5.0861999999999998</v>
      </c>
      <c r="N12" s="35">
        <f t="shared" si="2"/>
        <v>796.89250000000004</v>
      </c>
      <c r="O12" s="24">
        <f t="shared" si="10"/>
        <v>-0.30000000003838101</v>
      </c>
      <c r="P12" s="25">
        <f t="shared" si="11"/>
        <v>-1.1000000000649399</v>
      </c>
      <c r="Q12" s="26">
        <f t="shared" si="12"/>
        <v>-0.30000000003838101</v>
      </c>
      <c r="R12" s="41"/>
      <c r="S12" s="21">
        <f t="shared" si="3"/>
        <v>44818</v>
      </c>
      <c r="T12" s="42">
        <v>8.8085000000000004</v>
      </c>
      <c r="U12" s="43">
        <f t="shared" si="13"/>
        <v>-9.99999999997669E-2</v>
      </c>
      <c r="V12" s="44">
        <f t="shared" si="14"/>
        <v>-0.60000000000037801</v>
      </c>
      <c r="W12" s="45">
        <f t="shared" si="15"/>
        <v>9.99999999997669E-2</v>
      </c>
      <c r="X12" s="29">
        <v>12.0284</v>
      </c>
      <c r="Y12" s="43">
        <f t="shared" si="16"/>
        <v>-0.30000000000107702</v>
      </c>
      <c r="Z12" s="44">
        <f t="shared" si="17"/>
        <v>-1.20000000000076</v>
      </c>
      <c r="AA12" s="45">
        <f t="shared" si="18"/>
        <v>-0.30000000000107702</v>
      </c>
      <c r="AB12" s="49">
        <v>9.0549999999999997</v>
      </c>
      <c r="AC12" s="43">
        <f t="shared" si="19"/>
        <v>-9.99999999997669E-2</v>
      </c>
      <c r="AD12" s="44">
        <f t="shared" si="20"/>
        <v>-0.799999999999912</v>
      </c>
      <c r="AE12" s="45">
        <f t="shared" si="21"/>
        <v>-9.99999999997669E-2</v>
      </c>
      <c r="AF12" s="50">
        <v>80301</v>
      </c>
      <c r="AG12" s="58">
        <f t="shared" si="22"/>
        <v>26</v>
      </c>
      <c r="AH12" s="59"/>
      <c r="AI12" s="60"/>
      <c r="AJ12"/>
      <c r="AK12"/>
      <c r="AL12"/>
      <c r="AM12"/>
    </row>
    <row r="13" spans="1:48">
      <c r="A13" s="21">
        <v>44819</v>
      </c>
      <c r="B13" s="22">
        <v>791.80629999999996</v>
      </c>
      <c r="C13" s="27">
        <v>5.3510999999999997</v>
      </c>
      <c r="D13" s="23">
        <f t="shared" si="0"/>
        <v>797.15740000000005</v>
      </c>
      <c r="E13" s="24">
        <f t="shared" si="4"/>
        <v>-0.20000000006348301</v>
      </c>
      <c r="F13" s="25">
        <f t="shared" si="5"/>
        <v>-1.30000000001473</v>
      </c>
      <c r="G13" s="26">
        <f t="shared" si="6"/>
        <v>-0.20000000006348301</v>
      </c>
      <c r="H13" s="6">
        <v>6.5551000000000004</v>
      </c>
      <c r="I13" s="35">
        <f t="shared" si="1"/>
        <v>798.3614</v>
      </c>
      <c r="J13" s="24">
        <f t="shared" si="7"/>
        <v>-9.9999999974897905E-2</v>
      </c>
      <c r="K13" s="25">
        <f t="shared" si="8"/>
        <v>-1.4999999999645299</v>
      </c>
      <c r="L13" s="26">
        <f t="shared" si="9"/>
        <v>-9.9999999974897905E-2</v>
      </c>
      <c r="M13" s="6">
        <v>5.0860000000000003</v>
      </c>
      <c r="N13" s="35">
        <f t="shared" si="2"/>
        <v>796.89229999999998</v>
      </c>
      <c r="O13" s="24">
        <f t="shared" si="10"/>
        <v>-0.199999999949796</v>
      </c>
      <c r="P13" s="25">
        <f t="shared" si="11"/>
        <v>-1.30000000001473</v>
      </c>
      <c r="Q13" s="26">
        <f t="shared" si="12"/>
        <v>-0.199999999949796</v>
      </c>
      <c r="R13" s="41"/>
      <c r="S13" s="21">
        <f t="shared" si="3"/>
        <v>44819</v>
      </c>
      <c r="T13" s="42">
        <v>8.8081999999999905</v>
      </c>
      <c r="U13" s="43">
        <f t="shared" si="13"/>
        <v>-0.30000000000995902</v>
      </c>
      <c r="V13" s="44">
        <f t="shared" si="14"/>
        <v>-0.90000000001033698</v>
      </c>
      <c r="W13" s="45">
        <f t="shared" si="15"/>
        <v>0.30000000000995902</v>
      </c>
      <c r="X13" s="29">
        <v>12.0282</v>
      </c>
      <c r="Y13" s="43">
        <f t="shared" si="16"/>
        <v>-0.19999999999953399</v>
      </c>
      <c r="Z13" s="44">
        <f t="shared" si="17"/>
        <v>-1.4000000000002899</v>
      </c>
      <c r="AA13" s="45">
        <f t="shared" si="18"/>
        <v>-0.19999999999953399</v>
      </c>
      <c r="AB13" s="49">
        <v>9.0545000000000009</v>
      </c>
      <c r="AC13" s="43">
        <f t="shared" si="19"/>
        <v>-0.49999999999883499</v>
      </c>
      <c r="AD13" s="44">
        <f t="shared" si="20"/>
        <v>-1.2999999999987499</v>
      </c>
      <c r="AE13" s="45">
        <f t="shared" si="21"/>
        <v>-0.49999999999883499</v>
      </c>
      <c r="AF13" s="50">
        <v>80304</v>
      </c>
      <c r="AG13" s="58">
        <f t="shared" si="22"/>
        <v>29</v>
      </c>
      <c r="AH13" s="61"/>
      <c r="AI13" s="60"/>
      <c r="AJ13"/>
      <c r="AK13"/>
      <c r="AL13"/>
      <c r="AM13"/>
    </row>
    <row r="14" spans="1:48">
      <c r="A14" s="21">
        <v>44820</v>
      </c>
      <c r="B14" s="22">
        <v>791.80629999999996</v>
      </c>
      <c r="C14" s="27">
        <v>5.3512000000000004</v>
      </c>
      <c r="D14" s="23">
        <f t="shared" si="0"/>
        <v>797.15750000000003</v>
      </c>
      <c r="E14" s="24">
        <f t="shared" si="4"/>
        <v>9.9999999974897905E-2</v>
      </c>
      <c r="F14" s="25">
        <f t="shared" si="5"/>
        <v>-1.2000000000398401</v>
      </c>
      <c r="G14" s="26">
        <f t="shared" si="6"/>
        <v>9.9999999974897905E-2</v>
      </c>
      <c r="H14" s="6">
        <v>6.5548000000000002</v>
      </c>
      <c r="I14" s="35">
        <f t="shared" si="1"/>
        <v>798.36109999999996</v>
      </c>
      <c r="J14" s="24">
        <f t="shared" si="7"/>
        <v>-0.30000000003838101</v>
      </c>
      <c r="K14" s="25">
        <f t="shared" si="8"/>
        <v>-1.8000000000029099</v>
      </c>
      <c r="L14" s="26">
        <f t="shared" si="9"/>
        <v>-0.30000000003838101</v>
      </c>
      <c r="M14" s="6">
        <v>5.0857999999999999</v>
      </c>
      <c r="N14" s="35">
        <f t="shared" si="2"/>
        <v>796.89210000000003</v>
      </c>
      <c r="O14" s="24">
        <f t="shared" si="10"/>
        <v>-0.20000000006348301</v>
      </c>
      <c r="P14" s="25">
        <f t="shared" si="11"/>
        <v>-1.5000000000782201</v>
      </c>
      <c r="Q14" s="26">
        <f t="shared" si="12"/>
        <v>-0.20000000006348301</v>
      </c>
      <c r="R14" s="41"/>
      <c r="S14" s="21">
        <f t="shared" si="3"/>
        <v>44820</v>
      </c>
      <c r="T14" s="42">
        <v>8.8079999999999892</v>
      </c>
      <c r="U14" s="43">
        <f t="shared" si="13"/>
        <v>-0.20000000000130999</v>
      </c>
      <c r="V14" s="44">
        <f t="shared" si="14"/>
        <v>-1.1000000000116501</v>
      </c>
      <c r="W14" s="45">
        <f t="shared" si="15"/>
        <v>0.20000000000130999</v>
      </c>
      <c r="X14" s="29">
        <v>12.0284</v>
      </c>
      <c r="Y14" s="43">
        <f t="shared" si="16"/>
        <v>0.19999999999953399</v>
      </c>
      <c r="Z14" s="44">
        <f t="shared" si="17"/>
        <v>-1.20000000000076</v>
      </c>
      <c r="AA14" s="45">
        <f t="shared" si="18"/>
        <v>0.19999999999953399</v>
      </c>
      <c r="AB14" s="49">
        <v>9.0548000000000002</v>
      </c>
      <c r="AC14" s="43">
        <f t="shared" si="19"/>
        <v>0.29999999999930099</v>
      </c>
      <c r="AD14" s="44">
        <f t="shared" si="20"/>
        <v>-0.999999999999446</v>
      </c>
      <c r="AE14" s="45">
        <f t="shared" si="21"/>
        <v>0.29999999999930099</v>
      </c>
      <c r="AF14" s="50">
        <v>80307</v>
      </c>
      <c r="AG14" s="58">
        <f t="shared" si="22"/>
        <v>32</v>
      </c>
      <c r="AH14" s="59"/>
      <c r="AI14" s="60"/>
      <c r="AJ14"/>
      <c r="AK14"/>
      <c r="AL14"/>
      <c r="AM14"/>
    </row>
    <row r="15" spans="1:48">
      <c r="A15" s="21">
        <v>44821</v>
      </c>
      <c r="B15" s="22">
        <v>791.80629999999996</v>
      </c>
      <c r="C15" s="27">
        <v>5.3506999999999998</v>
      </c>
      <c r="D15" s="23">
        <f t="shared" si="0"/>
        <v>797.15700000000004</v>
      </c>
      <c r="E15" s="24">
        <f t="shared" si="4"/>
        <v>-0.49999999998817701</v>
      </c>
      <c r="F15" s="25">
        <f t="shared" si="5"/>
        <v>-1.70000000002801</v>
      </c>
      <c r="G15" s="26">
        <f t="shared" si="6"/>
        <v>-0.49999999998817701</v>
      </c>
      <c r="H15" s="6">
        <v>6.5545999999999998</v>
      </c>
      <c r="I15" s="35">
        <f t="shared" si="1"/>
        <v>798.36090000000002</v>
      </c>
      <c r="J15" s="24">
        <f t="shared" si="7"/>
        <v>-0.199999999949796</v>
      </c>
      <c r="K15" s="25">
        <f t="shared" si="8"/>
        <v>-1.9999999999527101</v>
      </c>
      <c r="L15" s="26">
        <f t="shared" si="9"/>
        <v>-0.199999999949796</v>
      </c>
      <c r="M15" s="6">
        <v>5.0861000000000001</v>
      </c>
      <c r="N15" s="35">
        <f t="shared" si="2"/>
        <v>796.89239999999995</v>
      </c>
      <c r="O15" s="24">
        <f t="shared" si="10"/>
        <v>0.30000000003838101</v>
      </c>
      <c r="P15" s="25">
        <f t="shared" si="11"/>
        <v>-1.2000000000398401</v>
      </c>
      <c r="Q15" s="26">
        <f t="shared" si="12"/>
        <v>0.30000000003838101</v>
      </c>
      <c r="R15" s="41"/>
      <c r="S15" s="21">
        <f t="shared" si="3"/>
        <v>44821</v>
      </c>
      <c r="T15" s="42">
        <v>8.8080999999999996</v>
      </c>
      <c r="U15" s="43">
        <f t="shared" si="13"/>
        <v>0.100000000010425</v>
      </c>
      <c r="V15" s="44">
        <f t="shared" si="14"/>
        <v>-1.0000000000012199</v>
      </c>
      <c r="W15" s="45">
        <f t="shared" si="15"/>
        <v>-0.100000000010425</v>
      </c>
      <c r="X15" s="29">
        <v>12.027799999999999</v>
      </c>
      <c r="Y15" s="43">
        <f t="shared" si="16"/>
        <v>-0.60000000000037801</v>
      </c>
      <c r="Z15" s="44">
        <f t="shared" si="17"/>
        <v>-1.80000000000113</v>
      </c>
      <c r="AA15" s="45">
        <f t="shared" si="18"/>
        <v>-0.60000000000037801</v>
      </c>
      <c r="AB15" s="49">
        <v>9.0547000000000004</v>
      </c>
      <c r="AC15" s="43">
        <f t="shared" si="19"/>
        <v>-9.99999999997669E-2</v>
      </c>
      <c r="AD15" s="44">
        <f t="shared" si="20"/>
        <v>-1.0999999999992101</v>
      </c>
      <c r="AE15" s="45">
        <f t="shared" si="21"/>
        <v>-9.99999999997669E-2</v>
      </c>
      <c r="AF15" s="50">
        <v>80310</v>
      </c>
      <c r="AG15" s="58">
        <f t="shared" si="22"/>
        <v>35</v>
      </c>
      <c r="AH15" s="61"/>
      <c r="AI15" s="60"/>
      <c r="AJ15"/>
      <c r="AK15"/>
      <c r="AL15"/>
      <c r="AM15"/>
    </row>
    <row r="16" spans="1:48">
      <c r="A16" s="21">
        <v>44822</v>
      </c>
      <c r="B16" s="22">
        <v>791.80629999999996</v>
      </c>
      <c r="C16" s="27">
        <v>5.3505000000000003</v>
      </c>
      <c r="D16" s="23">
        <f t="shared" si="0"/>
        <v>797.15679999999998</v>
      </c>
      <c r="E16" s="24">
        <f t="shared" si="4"/>
        <v>-0.199999999949796</v>
      </c>
      <c r="F16" s="25">
        <f t="shared" si="5"/>
        <v>-1.8999999999778101</v>
      </c>
      <c r="G16" s="26">
        <f t="shared" si="6"/>
        <v>-0.199999999949796</v>
      </c>
      <c r="H16" s="6">
        <v>6.5545</v>
      </c>
      <c r="I16" s="35">
        <f t="shared" si="1"/>
        <v>798.36080000000004</v>
      </c>
      <c r="J16" s="24">
        <f t="shared" si="7"/>
        <v>-0.10000000008858501</v>
      </c>
      <c r="K16" s="25">
        <f t="shared" si="8"/>
        <v>-2.1000000000412902</v>
      </c>
      <c r="L16" s="26">
        <f t="shared" si="9"/>
        <v>-0.10000000008858501</v>
      </c>
      <c r="M16" s="6">
        <v>5.0853999999999999</v>
      </c>
      <c r="N16" s="35">
        <f t="shared" si="2"/>
        <v>796.89170000000001</v>
      </c>
      <c r="O16" s="24">
        <f t="shared" si="10"/>
        <v>-0.69999999993797202</v>
      </c>
      <c r="P16" s="25">
        <f t="shared" si="11"/>
        <v>-1.8999999999778101</v>
      </c>
      <c r="Q16" s="26">
        <f t="shared" si="12"/>
        <v>-0.69999999993797202</v>
      </c>
      <c r="R16" s="41"/>
      <c r="S16" s="21">
        <f t="shared" si="3"/>
        <v>44822</v>
      </c>
      <c r="T16" s="42">
        <v>8.8075999999999901</v>
      </c>
      <c r="U16" s="43">
        <f t="shared" si="13"/>
        <v>-0.50000000000949296</v>
      </c>
      <c r="V16" s="44">
        <f t="shared" si="14"/>
        <v>-1.5000000000107101</v>
      </c>
      <c r="W16" s="45">
        <f t="shared" si="15"/>
        <v>0.50000000000949296</v>
      </c>
      <c r="X16" s="29">
        <v>12.0275</v>
      </c>
      <c r="Y16" s="43">
        <f t="shared" si="16"/>
        <v>-0.29999999999930099</v>
      </c>
      <c r="Z16" s="44">
        <f t="shared" si="17"/>
        <v>-2.10000000000043</v>
      </c>
      <c r="AA16" s="45">
        <f t="shared" si="18"/>
        <v>-0.29999999999930099</v>
      </c>
      <c r="AB16" s="49">
        <v>9.0541</v>
      </c>
      <c r="AC16" s="43">
        <f t="shared" si="19"/>
        <v>-0.60000000000037801</v>
      </c>
      <c r="AD16" s="44">
        <f t="shared" si="20"/>
        <v>-1.6999999999995901</v>
      </c>
      <c r="AE16" s="45">
        <f t="shared" si="21"/>
        <v>-0.60000000000037801</v>
      </c>
      <c r="AF16" s="50">
        <v>80313</v>
      </c>
      <c r="AG16" s="58">
        <f t="shared" si="22"/>
        <v>38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44823</v>
      </c>
      <c r="B17" s="22">
        <v>791.80629999999996</v>
      </c>
      <c r="C17" s="27">
        <v>5.3503999999999996</v>
      </c>
      <c r="D17" s="23">
        <f t="shared" si="0"/>
        <v>797.1567</v>
      </c>
      <c r="E17" s="24">
        <f t="shared" si="4"/>
        <v>-9.9999999974897905E-2</v>
      </c>
      <c r="F17" s="25">
        <f t="shared" si="5"/>
        <v>-1.9999999999527101</v>
      </c>
      <c r="G17" s="26">
        <f t="shared" si="6"/>
        <v>-9.9999999974897905E-2</v>
      </c>
      <c r="H17" s="6">
        <v>6.5541999999999998</v>
      </c>
      <c r="I17" s="35">
        <f t="shared" si="1"/>
        <v>798.3605</v>
      </c>
      <c r="J17" s="24">
        <f t="shared" si="7"/>
        <v>-0.29999999992469401</v>
      </c>
      <c r="K17" s="25">
        <f t="shared" si="8"/>
        <v>-2.39999999996598</v>
      </c>
      <c r="L17" s="26">
        <f t="shared" si="9"/>
        <v>-0.29999999992469401</v>
      </c>
      <c r="M17" s="6">
        <v>5.0852000000000004</v>
      </c>
      <c r="N17" s="35">
        <f t="shared" si="2"/>
        <v>796.89149999999995</v>
      </c>
      <c r="O17" s="24">
        <f t="shared" si="10"/>
        <v>-0.20000000006348301</v>
      </c>
      <c r="P17" s="25">
        <f t="shared" si="11"/>
        <v>-2.1000000000412902</v>
      </c>
      <c r="Q17" s="26">
        <f t="shared" si="12"/>
        <v>-0.20000000006348301</v>
      </c>
      <c r="R17" s="41"/>
      <c r="S17" s="21">
        <f t="shared" si="3"/>
        <v>44823</v>
      </c>
      <c r="T17" s="42">
        <v>8.8073999999999906</v>
      </c>
      <c r="U17" s="43">
        <f t="shared" si="13"/>
        <v>-0.19999999999953399</v>
      </c>
      <c r="V17" s="44">
        <f t="shared" si="14"/>
        <v>-1.70000000001025</v>
      </c>
      <c r="W17" s="45">
        <f t="shared" si="15"/>
        <v>0.19999999999953399</v>
      </c>
      <c r="X17" s="29">
        <v>12.0274</v>
      </c>
      <c r="Y17" s="43">
        <f t="shared" si="16"/>
        <v>-9.99999999997669E-2</v>
      </c>
      <c r="Z17" s="44">
        <f t="shared" si="17"/>
        <v>-2.2000000000002</v>
      </c>
      <c r="AA17" s="45">
        <f t="shared" si="18"/>
        <v>-9.99999999997669E-2</v>
      </c>
      <c r="AB17" s="49">
        <v>9.0545000000000009</v>
      </c>
      <c r="AC17" s="43">
        <f t="shared" si="19"/>
        <v>0.40000000000084401</v>
      </c>
      <c r="AD17" s="44">
        <f t="shared" si="20"/>
        <v>-1.2999999999987499</v>
      </c>
      <c r="AE17" s="45">
        <f t="shared" si="21"/>
        <v>0.40000000000084401</v>
      </c>
      <c r="AF17" s="50">
        <v>80316</v>
      </c>
      <c r="AG17" s="58">
        <f t="shared" si="22"/>
        <v>41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44824</v>
      </c>
      <c r="B18" s="22">
        <v>791.80629999999996</v>
      </c>
      <c r="C18" s="27">
        <v>5.3502000000000001</v>
      </c>
      <c r="D18" s="23">
        <f t="shared" si="0"/>
        <v>797.15650000000005</v>
      </c>
      <c r="E18" s="24">
        <f t="shared" si="4"/>
        <v>-0.20000000006348301</v>
      </c>
      <c r="F18" s="25">
        <f t="shared" si="5"/>
        <v>-2.2000000000161899</v>
      </c>
      <c r="G18" s="26">
        <f t="shared" si="6"/>
        <v>-0.20000000006348301</v>
      </c>
      <c r="H18" s="6">
        <v>6.5540000000000003</v>
      </c>
      <c r="I18" s="35">
        <f t="shared" si="1"/>
        <v>798.36030000000005</v>
      </c>
      <c r="J18" s="24">
        <f t="shared" si="7"/>
        <v>-0.20000000006348301</v>
      </c>
      <c r="K18" s="25">
        <f t="shared" si="8"/>
        <v>-2.6000000000294698</v>
      </c>
      <c r="L18" s="26">
        <f t="shared" si="9"/>
        <v>-0.20000000006348301</v>
      </c>
      <c r="M18" s="6">
        <v>5.085</v>
      </c>
      <c r="N18" s="35">
        <f t="shared" si="2"/>
        <v>796.8913</v>
      </c>
      <c r="O18" s="24">
        <f t="shared" si="10"/>
        <v>-0.199999999949796</v>
      </c>
      <c r="P18" s="25">
        <f t="shared" si="11"/>
        <v>-2.2999999999910901</v>
      </c>
      <c r="Q18" s="26">
        <f t="shared" si="12"/>
        <v>-0.199999999949796</v>
      </c>
      <c r="R18" s="41"/>
      <c r="S18" s="21">
        <f t="shared" si="3"/>
        <v>44824</v>
      </c>
      <c r="T18" s="42">
        <v>8.8071999999999893</v>
      </c>
      <c r="U18" s="43">
        <f t="shared" si="13"/>
        <v>-0.20000000000130999</v>
      </c>
      <c r="V18" s="44">
        <f t="shared" si="14"/>
        <v>-1.90000000001156</v>
      </c>
      <c r="W18" s="45">
        <f t="shared" si="15"/>
        <v>0.20000000000130999</v>
      </c>
      <c r="X18" s="29">
        <v>12.027200000000001</v>
      </c>
      <c r="Y18" s="43">
        <f t="shared" si="16"/>
        <v>-0.19999999999953399</v>
      </c>
      <c r="Z18" s="44">
        <f t="shared" si="17"/>
        <v>-2.3999999999997401</v>
      </c>
      <c r="AA18" s="45">
        <f t="shared" si="18"/>
        <v>-0.19999999999953399</v>
      </c>
      <c r="AB18" s="49">
        <v>9.0542999999999996</v>
      </c>
      <c r="AC18" s="43">
        <f t="shared" si="19"/>
        <v>-0.20000000000130999</v>
      </c>
      <c r="AD18" s="44">
        <f t="shared" si="20"/>
        <v>-1.50000000000006</v>
      </c>
      <c r="AE18" s="45">
        <f t="shared" si="21"/>
        <v>-0.20000000000130999</v>
      </c>
      <c r="AF18" s="50">
        <v>80319</v>
      </c>
      <c r="AG18" s="58">
        <f t="shared" si="22"/>
        <v>44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44825</v>
      </c>
      <c r="B19" s="22">
        <v>791.80629999999996</v>
      </c>
      <c r="C19" s="27">
        <v>5.35</v>
      </c>
      <c r="D19" s="23">
        <f t="shared" si="0"/>
        <v>797.15629999999999</v>
      </c>
      <c r="E19" s="24">
        <f t="shared" si="4"/>
        <v>-0.199999999949796</v>
      </c>
      <c r="F19" s="25">
        <f t="shared" si="5"/>
        <v>-2.39999999996598</v>
      </c>
      <c r="G19" s="26">
        <f t="shared" si="6"/>
        <v>-0.199999999949796</v>
      </c>
      <c r="H19" s="6">
        <v>6.5537999999999998</v>
      </c>
      <c r="I19" s="35">
        <f t="shared" si="1"/>
        <v>798.36009999999999</v>
      </c>
      <c r="J19" s="24">
        <f t="shared" si="7"/>
        <v>-0.199999999949796</v>
      </c>
      <c r="K19" s="25">
        <f t="shared" si="8"/>
        <v>-2.79999999997926</v>
      </c>
      <c r="L19" s="26">
        <f t="shared" si="9"/>
        <v>-0.199999999949796</v>
      </c>
      <c r="M19" s="6">
        <v>5.0846</v>
      </c>
      <c r="N19" s="35">
        <f t="shared" si="2"/>
        <v>796.89089999999999</v>
      </c>
      <c r="O19" s="24">
        <f t="shared" si="10"/>
        <v>-0.40000000001327901</v>
      </c>
      <c r="P19" s="25">
        <f t="shared" si="11"/>
        <v>-2.70000000000437</v>
      </c>
      <c r="Q19" s="26">
        <f t="shared" si="12"/>
        <v>-0.40000000001327901</v>
      </c>
      <c r="R19" s="41"/>
      <c r="S19" s="21">
        <f t="shared" ref="S19:S29" si="23">A19</f>
        <v>44825</v>
      </c>
      <c r="T19" s="42">
        <v>8.8071000000000002</v>
      </c>
      <c r="U19" s="43">
        <f t="shared" ref="U19:U24" si="24">(T19-T18)*1000</f>
        <v>-9.9999999989108801E-2</v>
      </c>
      <c r="V19" s="44">
        <f t="shared" ref="V19:V24" si="25">V18+U19</f>
        <v>-2.0000000000006701</v>
      </c>
      <c r="W19" s="45">
        <f t="shared" ref="W19:W24" si="26">U19/(S18-S19)</f>
        <v>9.9999999989108801E-2</v>
      </c>
      <c r="X19" s="29">
        <v>12.026999999999999</v>
      </c>
      <c r="Y19" s="43">
        <f t="shared" ref="Y19:Y24" si="27">(X19-X18)*1000</f>
        <v>-0.20000000000130999</v>
      </c>
      <c r="Z19" s="44">
        <f t="shared" ref="Z19:Z24" si="28">Z18+Y19</f>
        <v>-2.6000000000010499</v>
      </c>
      <c r="AA19" s="45">
        <f t="shared" ref="AA19:AA24" si="29">Y19/(S19-S18)</f>
        <v>-0.20000000000130999</v>
      </c>
      <c r="AB19" s="49">
        <v>9.0541</v>
      </c>
      <c r="AC19" s="43">
        <f t="shared" ref="AC19:AC24" si="30">(AB19-AB18)*1000</f>
        <v>-0.19999999999953399</v>
      </c>
      <c r="AD19" s="44">
        <f t="shared" ref="AD19:AD24" si="31">AD18+AC19</f>
        <v>-1.6999999999995901</v>
      </c>
      <c r="AE19" s="45">
        <f t="shared" ref="AE19:AE24" si="32">AC19/(S19-S18)</f>
        <v>-0.19999999999953399</v>
      </c>
      <c r="AF19" s="50">
        <v>80322</v>
      </c>
      <c r="AG19" s="58">
        <f t="shared" ref="AG19:AG29" si="33">AF19-80275</f>
        <v>47</v>
      </c>
      <c r="AH19" s="61"/>
      <c r="AI19" s="60"/>
      <c r="AJ19"/>
      <c r="AK19"/>
      <c r="AL19"/>
      <c r="AM19"/>
    </row>
    <row r="20" spans="1:48">
      <c r="A20" s="21">
        <v>44826</v>
      </c>
      <c r="B20" s="22">
        <v>791.80629999999996</v>
      </c>
      <c r="C20" s="27">
        <v>5.3501000000000003</v>
      </c>
      <c r="D20" s="23">
        <f t="shared" si="0"/>
        <v>797.15639999999996</v>
      </c>
      <c r="E20" s="24">
        <f t="shared" si="4"/>
        <v>9.9999999974897905E-2</v>
      </c>
      <c r="F20" s="25">
        <f t="shared" si="5"/>
        <v>-2.2999999999910901</v>
      </c>
      <c r="G20" s="26">
        <f t="shared" si="6"/>
        <v>9.9999999974897905E-2</v>
      </c>
      <c r="H20" s="6">
        <v>6.5536000000000003</v>
      </c>
      <c r="I20" s="35">
        <f t="shared" si="1"/>
        <v>798.35990000000004</v>
      </c>
      <c r="J20" s="24">
        <f t="shared" si="7"/>
        <v>-0.20000000006348301</v>
      </c>
      <c r="K20" s="25">
        <f t="shared" si="8"/>
        <v>-3.0000000000427498</v>
      </c>
      <c r="L20" s="26">
        <f t="shared" si="9"/>
        <v>-0.20000000006348301</v>
      </c>
      <c r="M20" s="6">
        <v>5.0846</v>
      </c>
      <c r="N20" s="35">
        <f t="shared" si="2"/>
        <v>796.89089999999999</v>
      </c>
      <c r="O20" s="24">
        <f t="shared" si="10"/>
        <v>0</v>
      </c>
      <c r="P20" s="25">
        <f t="shared" si="11"/>
        <v>-2.70000000000437</v>
      </c>
      <c r="Q20" s="26">
        <f t="shared" si="12"/>
        <v>0</v>
      </c>
      <c r="R20" s="41"/>
      <c r="S20" s="21">
        <f t="shared" si="23"/>
        <v>44826</v>
      </c>
      <c r="T20" s="42">
        <v>8.8067999999999902</v>
      </c>
      <c r="U20" s="43">
        <f t="shared" si="24"/>
        <v>-0.30000000000995902</v>
      </c>
      <c r="V20" s="44">
        <f t="shared" si="25"/>
        <v>-2.30000000001063</v>
      </c>
      <c r="W20" s="45">
        <f t="shared" si="26"/>
        <v>0.30000000000995902</v>
      </c>
      <c r="X20" s="29">
        <v>12.0268</v>
      </c>
      <c r="Y20" s="43">
        <f t="shared" si="27"/>
        <v>-0.19999999999953399</v>
      </c>
      <c r="Z20" s="44">
        <f t="shared" si="28"/>
        <v>-2.8000000000005798</v>
      </c>
      <c r="AA20" s="45">
        <f t="shared" si="29"/>
        <v>-0.19999999999953399</v>
      </c>
      <c r="AB20" s="49">
        <v>9.0534999999999997</v>
      </c>
      <c r="AC20" s="43">
        <f t="shared" si="30"/>
        <v>-0.60000000000037801</v>
      </c>
      <c r="AD20" s="44">
        <f t="shared" si="31"/>
        <v>-2.2999999999999701</v>
      </c>
      <c r="AE20" s="45">
        <f t="shared" si="32"/>
        <v>-0.60000000000037801</v>
      </c>
      <c r="AF20" s="50">
        <v>80325</v>
      </c>
      <c r="AG20" s="58">
        <f t="shared" si="33"/>
        <v>50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44828</v>
      </c>
      <c r="B21" s="22">
        <v>791.80629999999996</v>
      </c>
      <c r="C21" s="27">
        <v>5.3495999999999997</v>
      </c>
      <c r="D21" s="23">
        <f t="shared" ref="D21:D29" si="34">C21+B21</f>
        <v>797.15589999999997</v>
      </c>
      <c r="E21" s="24">
        <f t="shared" ref="E21:E24" si="35">(D21-D20)*1000</f>
        <v>-0.49999999998817701</v>
      </c>
      <c r="F21" s="25">
        <f t="shared" ref="F21:F24" si="36">F20+E21</f>
        <v>-2.79999999997926</v>
      </c>
      <c r="G21" s="26">
        <f t="shared" ref="G21:G24" si="37">E21/(A21-A20)</f>
        <v>-0.24999999999408801</v>
      </c>
      <c r="H21" s="6">
        <v>6.5536000000000003</v>
      </c>
      <c r="I21" s="35">
        <f t="shared" ref="I21:I29" si="38">H21+B21</f>
        <v>798.35990000000004</v>
      </c>
      <c r="J21" s="24">
        <f t="shared" ref="J21:J24" si="39">(I21-I20)*1000</f>
        <v>0</v>
      </c>
      <c r="K21" s="25">
        <f t="shared" ref="K21:K24" si="40">K20+J21</f>
        <v>-3.0000000000427498</v>
      </c>
      <c r="L21" s="26">
        <f t="shared" ref="L21:L24" si="41">J21/(A21-A20)</f>
        <v>0</v>
      </c>
      <c r="M21" s="6">
        <v>5.0843999999999996</v>
      </c>
      <c r="N21" s="35">
        <f t="shared" ref="N21:N29" si="42">M21+B21</f>
        <v>796.89070000000004</v>
      </c>
      <c r="O21" s="24">
        <f t="shared" ref="O21:O24" si="43">(N21-N20)*1000</f>
        <v>-0.20000000006348301</v>
      </c>
      <c r="P21" s="25">
        <f t="shared" ref="P21:P24" si="44">P20+O21</f>
        <v>-2.9000000000678501</v>
      </c>
      <c r="Q21" s="26">
        <f t="shared" ref="Q21:Q24" si="45">O21/(A21-A20)</f>
        <v>-0.100000000031741</v>
      </c>
      <c r="R21" s="41"/>
      <c r="S21" s="21">
        <f t="shared" si="23"/>
        <v>44828</v>
      </c>
      <c r="T21" s="42">
        <v>8.8064999999999998</v>
      </c>
      <c r="U21" s="43">
        <f t="shared" si="24"/>
        <v>-0.29999999999041899</v>
      </c>
      <c r="V21" s="44">
        <f t="shared" si="25"/>
        <v>-2.6000000000010499</v>
      </c>
      <c r="W21" s="45">
        <f t="shared" si="26"/>
        <v>0.14999999999520999</v>
      </c>
      <c r="X21" s="29">
        <v>12.0265</v>
      </c>
      <c r="Y21" s="43">
        <f t="shared" si="27"/>
        <v>-0.29999999999930099</v>
      </c>
      <c r="Z21" s="44">
        <f t="shared" si="28"/>
        <v>-3.0999999999998802</v>
      </c>
      <c r="AA21" s="45">
        <f t="shared" si="29"/>
        <v>-0.14999999999965</v>
      </c>
      <c r="AB21" s="49">
        <v>9.0536999999999992</v>
      </c>
      <c r="AC21" s="43">
        <f t="shared" si="30"/>
        <v>0.19999999999953399</v>
      </c>
      <c r="AD21" s="44">
        <f t="shared" si="31"/>
        <v>-2.10000000000043</v>
      </c>
      <c r="AE21" s="45">
        <f t="shared" si="32"/>
        <v>9.99999999997669E-2</v>
      </c>
      <c r="AF21" s="50">
        <v>80328</v>
      </c>
      <c r="AG21" s="58">
        <f t="shared" si="33"/>
        <v>53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44830</v>
      </c>
      <c r="B22" s="22">
        <v>791.80629999999996</v>
      </c>
      <c r="C22" s="27">
        <v>5.3494000000000002</v>
      </c>
      <c r="D22" s="23">
        <f t="shared" si="34"/>
        <v>797.15570000000002</v>
      </c>
      <c r="E22" s="24">
        <f t="shared" si="35"/>
        <v>-0.20000000006348301</v>
      </c>
      <c r="F22" s="25">
        <f t="shared" si="36"/>
        <v>-3.0000000000427498</v>
      </c>
      <c r="G22" s="26">
        <f t="shared" si="37"/>
        <v>-0.100000000031741</v>
      </c>
      <c r="H22" s="6">
        <v>6.5532000000000004</v>
      </c>
      <c r="I22" s="35">
        <f t="shared" si="38"/>
        <v>798.35950000000003</v>
      </c>
      <c r="J22" s="24">
        <f t="shared" si="39"/>
        <v>-0.40000000001327901</v>
      </c>
      <c r="K22" s="25">
        <f t="shared" si="40"/>
        <v>-3.40000000005602</v>
      </c>
      <c r="L22" s="26">
        <f t="shared" si="41"/>
        <v>-0.20000000000663901</v>
      </c>
      <c r="M22" s="6">
        <v>5.0845000000000002</v>
      </c>
      <c r="N22" s="35">
        <f t="shared" si="42"/>
        <v>796.89080000000001</v>
      </c>
      <c r="O22" s="24">
        <f t="shared" si="43"/>
        <v>0.10000000008858501</v>
      </c>
      <c r="P22" s="25">
        <f t="shared" si="44"/>
        <v>-2.79999999997926</v>
      </c>
      <c r="Q22" s="26">
        <f t="shared" si="45"/>
        <v>5.0000000044292399E-2</v>
      </c>
      <c r="R22" s="41"/>
      <c r="S22" s="21">
        <f t="shared" si="23"/>
        <v>44830</v>
      </c>
      <c r="T22" s="42">
        <v>8.8063999999999805</v>
      </c>
      <c r="U22" s="43">
        <f t="shared" si="24"/>
        <v>-0.10000000001930701</v>
      </c>
      <c r="V22" s="44">
        <f t="shared" si="25"/>
        <v>-2.7000000000203501</v>
      </c>
      <c r="W22" s="45">
        <f t="shared" si="26"/>
        <v>5.0000000009653399E-2</v>
      </c>
      <c r="X22" s="29">
        <v>12.026400000000001</v>
      </c>
      <c r="Y22" s="43">
        <f t="shared" si="27"/>
        <v>-9.99999999997669E-2</v>
      </c>
      <c r="Z22" s="44">
        <f t="shared" si="28"/>
        <v>-3.1999999999996498</v>
      </c>
      <c r="AA22" s="45">
        <f t="shared" si="29"/>
        <v>-4.9999999999883499E-2</v>
      </c>
      <c r="AB22" s="49">
        <v>9.0534999999999908</v>
      </c>
      <c r="AC22" s="43">
        <f t="shared" si="30"/>
        <v>-0.200000000008416</v>
      </c>
      <c r="AD22" s="44">
        <f t="shared" si="31"/>
        <v>-2.3000000000088501</v>
      </c>
      <c r="AE22" s="45">
        <f t="shared" si="32"/>
        <v>-0.100000000004208</v>
      </c>
      <c r="AF22" s="50">
        <v>80331</v>
      </c>
      <c r="AG22" s="58">
        <f t="shared" si="33"/>
        <v>56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44832</v>
      </c>
      <c r="B23" s="22">
        <v>791.80629999999996</v>
      </c>
      <c r="C23" s="27">
        <v>5.3494999999999999</v>
      </c>
      <c r="D23" s="23">
        <f t="shared" si="34"/>
        <v>797.1558</v>
      </c>
      <c r="E23" s="24">
        <f t="shared" si="35"/>
        <v>0.10000000008858501</v>
      </c>
      <c r="F23" s="25">
        <f t="shared" si="36"/>
        <v>-2.8999999999541601</v>
      </c>
      <c r="G23" s="26">
        <f t="shared" si="37"/>
        <v>5.0000000044292399E-2</v>
      </c>
      <c r="H23" s="6">
        <v>6.5529999999999999</v>
      </c>
      <c r="I23" s="35">
        <f t="shared" si="38"/>
        <v>798.35929999999996</v>
      </c>
      <c r="J23" s="24">
        <f t="shared" si="39"/>
        <v>-0.199999999949796</v>
      </c>
      <c r="K23" s="25">
        <f t="shared" si="40"/>
        <v>-3.6000000000058199</v>
      </c>
      <c r="L23" s="26">
        <f t="shared" si="41"/>
        <v>-9.9999999974897905E-2</v>
      </c>
      <c r="M23" s="6">
        <v>5.0839999999999996</v>
      </c>
      <c r="N23" s="35">
        <f t="shared" si="42"/>
        <v>796.89030000000002</v>
      </c>
      <c r="O23" s="24">
        <f t="shared" si="43"/>
        <v>-0.50000000010186296</v>
      </c>
      <c r="P23" s="25">
        <f t="shared" si="44"/>
        <v>-3.30000000008113</v>
      </c>
      <c r="Q23" s="26">
        <f t="shared" si="45"/>
        <v>-0.25000000005093198</v>
      </c>
      <c r="R23" s="41"/>
      <c r="S23" s="21">
        <f t="shared" si="23"/>
        <v>44832</v>
      </c>
      <c r="T23" s="42">
        <v>8.8061999999999792</v>
      </c>
      <c r="U23" s="43">
        <f t="shared" si="24"/>
        <v>-0.20000000000130999</v>
      </c>
      <c r="V23" s="44">
        <f t="shared" si="25"/>
        <v>-2.9000000000216599</v>
      </c>
      <c r="W23" s="45">
        <f t="shared" si="26"/>
        <v>0.100000000000655</v>
      </c>
      <c r="X23" s="29">
        <v>12.026199999999999</v>
      </c>
      <c r="Y23" s="43">
        <f t="shared" si="27"/>
        <v>-0.20000000000130999</v>
      </c>
      <c r="Z23" s="44">
        <f t="shared" si="28"/>
        <v>-3.40000000000096</v>
      </c>
      <c r="AA23" s="45">
        <f t="shared" si="29"/>
        <v>-0.100000000000655</v>
      </c>
      <c r="AB23" s="49">
        <v>9.0532999999999895</v>
      </c>
      <c r="AC23" s="43">
        <f t="shared" si="30"/>
        <v>-0.20000000000130999</v>
      </c>
      <c r="AD23" s="44">
        <f t="shared" si="31"/>
        <v>-2.5000000000101599</v>
      </c>
      <c r="AE23" s="45">
        <f t="shared" si="32"/>
        <v>-0.100000000000655</v>
      </c>
      <c r="AF23" s="50">
        <v>80334</v>
      </c>
      <c r="AG23" s="58">
        <f t="shared" si="33"/>
        <v>59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44834</v>
      </c>
      <c r="B24" s="22">
        <v>791.80629999999996</v>
      </c>
      <c r="C24" s="27">
        <v>5.3490000000000002</v>
      </c>
      <c r="D24" s="23">
        <f t="shared" si="34"/>
        <v>797.15530000000001</v>
      </c>
      <c r="E24" s="24">
        <f t="shared" si="35"/>
        <v>-0.49999999998817701</v>
      </c>
      <c r="F24" s="25">
        <f t="shared" si="36"/>
        <v>-3.3999999999423398</v>
      </c>
      <c r="G24" s="26">
        <f t="shared" si="37"/>
        <v>-0.24999999999408801</v>
      </c>
      <c r="H24" s="6">
        <v>6.5530999999999997</v>
      </c>
      <c r="I24" s="35">
        <f t="shared" si="38"/>
        <v>798.35940000000005</v>
      </c>
      <c r="J24" s="24">
        <f t="shared" si="39"/>
        <v>9.9999999974897905E-2</v>
      </c>
      <c r="K24" s="25">
        <f t="shared" si="40"/>
        <v>-3.5000000000309202</v>
      </c>
      <c r="L24" s="26">
        <f t="shared" si="41"/>
        <v>4.9999999987449001E-2</v>
      </c>
      <c r="M24" s="6">
        <v>5.0838000000000001</v>
      </c>
      <c r="N24" s="35">
        <f t="shared" si="42"/>
        <v>796.89009999999996</v>
      </c>
      <c r="O24" s="24">
        <f t="shared" si="43"/>
        <v>-0.199999999949796</v>
      </c>
      <c r="P24" s="25">
        <f t="shared" si="44"/>
        <v>-3.5000000000309202</v>
      </c>
      <c r="Q24" s="26">
        <f t="shared" si="45"/>
        <v>-9.9999999974897905E-2</v>
      </c>
      <c r="R24" s="41"/>
      <c r="S24" s="21">
        <f t="shared" si="23"/>
        <v>44834</v>
      </c>
      <c r="T24" s="42">
        <v>8.8059999999999796</v>
      </c>
      <c r="U24" s="43">
        <f t="shared" si="24"/>
        <v>-0.19999999999953399</v>
      </c>
      <c r="V24" s="44">
        <f t="shared" si="25"/>
        <v>-3.1000000000212</v>
      </c>
      <c r="W24" s="45">
        <f t="shared" si="26"/>
        <v>9.99999999997669E-2</v>
      </c>
      <c r="X24" s="29">
        <v>12.0261</v>
      </c>
      <c r="Y24" s="43">
        <f t="shared" si="27"/>
        <v>-9.99999999997669E-2</v>
      </c>
      <c r="Z24" s="44">
        <f t="shared" si="28"/>
        <v>-3.5000000000007199</v>
      </c>
      <c r="AA24" s="45">
        <f t="shared" si="29"/>
        <v>-4.9999999999883499E-2</v>
      </c>
      <c r="AB24" s="49">
        <v>9.0532000000000004</v>
      </c>
      <c r="AC24" s="43">
        <f t="shared" si="30"/>
        <v>-9.9999999989108801E-2</v>
      </c>
      <c r="AD24" s="44">
        <f t="shared" si="31"/>
        <v>-2.59999999999927</v>
      </c>
      <c r="AE24" s="45">
        <f t="shared" si="32"/>
        <v>-4.99999999945544E-2</v>
      </c>
      <c r="AF24" s="50">
        <v>80337</v>
      </c>
      <c r="AG24" s="58">
        <f t="shared" si="33"/>
        <v>62</v>
      </c>
      <c r="AH24" s="59"/>
      <c r="AI24" s="60"/>
      <c r="AJ24" s="52"/>
      <c r="AK24" s="52"/>
      <c r="AL24" s="52"/>
      <c r="AM24" s="52"/>
    </row>
    <row r="25" spans="1:48">
      <c r="A25" s="21">
        <v>44836</v>
      </c>
      <c r="B25" s="22">
        <v>791.80629999999996</v>
      </c>
      <c r="C25" s="27">
        <v>5.3487</v>
      </c>
      <c r="D25" s="23">
        <f t="shared" si="34"/>
        <v>797.15499999999997</v>
      </c>
      <c r="E25" s="24">
        <f t="shared" ref="E25:E29" si="46">(D25-D24)*1000</f>
        <v>-0.30000000003838101</v>
      </c>
      <c r="F25" s="25">
        <f t="shared" ref="F25:F29" si="47">F24+E25</f>
        <v>-3.69999999998072</v>
      </c>
      <c r="G25" s="26">
        <f t="shared" ref="G25:G29" si="48">E25/(A25-A24)</f>
        <v>-0.15000000001919001</v>
      </c>
      <c r="H25" s="6">
        <v>6.5529000000000002</v>
      </c>
      <c r="I25" s="35">
        <f t="shared" si="38"/>
        <v>798.35919999999999</v>
      </c>
      <c r="J25" s="24">
        <f t="shared" ref="J25:J29" si="49">(I25-I24)*1000</f>
        <v>-0.199999999949796</v>
      </c>
      <c r="K25" s="25">
        <f t="shared" ref="K25:K29" si="50">K24+J25</f>
        <v>-3.69999999998072</v>
      </c>
      <c r="L25" s="26">
        <f t="shared" ref="L25:L29" si="51">J25/(A25-A24)</f>
        <v>-9.9999999974897905E-2</v>
      </c>
      <c r="M25" s="6">
        <v>5.0837000000000003</v>
      </c>
      <c r="N25" s="35">
        <f t="shared" si="42"/>
        <v>796.89</v>
      </c>
      <c r="O25" s="24">
        <f t="shared" ref="O25:O29" si="52">(N25-N24)*1000</f>
        <v>-9.9999999974897905E-2</v>
      </c>
      <c r="P25" s="25">
        <f t="shared" ref="P25:P29" si="53">P24+O25</f>
        <v>-3.6000000000058199</v>
      </c>
      <c r="Q25" s="26">
        <f t="shared" ref="Q25:Q29" si="54">O25/(A25-A24)</f>
        <v>-4.9999999987449001E-2</v>
      </c>
      <c r="R25" s="41"/>
      <c r="S25" s="21">
        <f t="shared" si="23"/>
        <v>44836</v>
      </c>
      <c r="T25" s="42">
        <v>8.8063000000000002</v>
      </c>
      <c r="U25" s="43">
        <f t="shared" ref="U25:U29" si="55">(T25-T24)*1000</f>
        <v>0.300000000020617</v>
      </c>
      <c r="V25" s="44">
        <f t="shared" ref="V25:V29" si="56">V24+U25</f>
        <v>-2.8000000000005798</v>
      </c>
      <c r="W25" s="45">
        <f t="shared" ref="W25:W29" si="57">U25/(S24-S25)</f>
        <v>-0.150000000010309</v>
      </c>
      <c r="X25" s="29">
        <v>12.0259</v>
      </c>
      <c r="Y25" s="43">
        <f t="shared" ref="Y25:Y29" si="58">(X25-X24)*1000</f>
        <v>-0.19999999999953399</v>
      </c>
      <c r="Z25" s="44">
        <f t="shared" ref="Z25:Z29" si="59">Z24+Y25</f>
        <v>-3.70000000000026</v>
      </c>
      <c r="AA25" s="45">
        <f t="shared" ref="AA25:AA29" si="60">Y25/(S25-S24)</f>
        <v>-9.99999999997669E-2</v>
      </c>
      <c r="AB25" s="49">
        <v>9.0530000000000008</v>
      </c>
      <c r="AC25" s="43">
        <f t="shared" ref="AC25:AC29" si="61">(AB25-AB24)*1000</f>
        <v>-0.19999999999953399</v>
      </c>
      <c r="AD25" s="44">
        <f t="shared" ref="AD25:AD29" si="62">AD24+AC25</f>
        <v>-2.7999999999987999</v>
      </c>
      <c r="AE25" s="45">
        <f t="shared" ref="AE25:AE29" si="63">AC25/(S25-S24)</f>
        <v>-9.99999999997669E-2</v>
      </c>
      <c r="AF25" s="50">
        <v>80340</v>
      </c>
      <c r="AG25" s="58">
        <f t="shared" si="33"/>
        <v>65</v>
      </c>
      <c r="AH25" s="59"/>
      <c r="AI25" s="60"/>
      <c r="AJ25" s="52"/>
      <c r="AK25" s="52"/>
      <c r="AL25" s="52"/>
      <c r="AM25" s="52"/>
    </row>
    <row r="26" spans="1:48">
      <c r="A26" s="21">
        <v>44838</v>
      </c>
      <c r="B26" s="22">
        <v>791.80629999999996</v>
      </c>
      <c r="C26" s="27">
        <v>5.3487999999999998</v>
      </c>
      <c r="D26" s="23">
        <f t="shared" si="34"/>
        <v>797.15509999999995</v>
      </c>
      <c r="E26" s="24">
        <f t="shared" si="46"/>
        <v>9.9999999974897905E-2</v>
      </c>
      <c r="F26" s="25">
        <f t="shared" si="47"/>
        <v>-3.6000000000058199</v>
      </c>
      <c r="G26" s="26">
        <f t="shared" si="48"/>
        <v>4.9999999987449001E-2</v>
      </c>
      <c r="H26" s="6">
        <v>6.5526</v>
      </c>
      <c r="I26" s="35">
        <f t="shared" si="38"/>
        <v>798.35889999999995</v>
      </c>
      <c r="J26" s="24">
        <f t="shared" si="49"/>
        <v>-0.30000000003838101</v>
      </c>
      <c r="K26" s="25">
        <f t="shared" si="50"/>
        <v>-4.0000000000191003</v>
      </c>
      <c r="L26" s="26">
        <f t="shared" si="51"/>
        <v>-0.15000000001919001</v>
      </c>
      <c r="M26" s="6">
        <v>5.0835999999999997</v>
      </c>
      <c r="N26" s="35">
        <f t="shared" si="42"/>
        <v>796.88990000000001</v>
      </c>
      <c r="O26" s="24">
        <f t="shared" si="52"/>
        <v>-9.9999999974897905E-2</v>
      </c>
      <c r="P26" s="25">
        <f t="shared" si="53"/>
        <v>-3.69999999998072</v>
      </c>
      <c r="Q26" s="26">
        <f t="shared" si="54"/>
        <v>-4.9999999987449001E-2</v>
      </c>
      <c r="R26" s="41"/>
      <c r="S26" s="21">
        <f t="shared" si="23"/>
        <v>44838</v>
      </c>
      <c r="T26" s="42">
        <v>8.8061000000000007</v>
      </c>
      <c r="U26" s="43">
        <f t="shared" si="55"/>
        <v>-0.19999999999953399</v>
      </c>
      <c r="V26" s="44">
        <f t="shared" si="56"/>
        <v>-3.0000000000001101</v>
      </c>
      <c r="W26" s="45">
        <f t="shared" si="57"/>
        <v>9.99999999997669E-2</v>
      </c>
      <c r="X26" s="29">
        <v>12.0258</v>
      </c>
      <c r="Y26" s="43">
        <f t="shared" si="58"/>
        <v>-9.99999999997669E-2</v>
      </c>
      <c r="Z26" s="44">
        <f t="shared" si="59"/>
        <v>-3.80000000000003</v>
      </c>
      <c r="AA26" s="45">
        <f t="shared" si="60"/>
        <v>-4.9999999999883499E-2</v>
      </c>
      <c r="AB26" s="49">
        <v>9.0528999999999904</v>
      </c>
      <c r="AC26" s="43">
        <f t="shared" si="61"/>
        <v>-0.100000000010425</v>
      </c>
      <c r="AD26" s="44">
        <f t="shared" si="62"/>
        <v>-2.9000000000092299</v>
      </c>
      <c r="AE26" s="45">
        <f t="shared" si="63"/>
        <v>-5.00000000052125E-2</v>
      </c>
      <c r="AF26" s="50">
        <v>80340</v>
      </c>
      <c r="AG26" s="58">
        <f t="shared" si="33"/>
        <v>65</v>
      </c>
      <c r="AH26" s="61"/>
      <c r="AI26" s="60"/>
      <c r="AJ26" s="52"/>
      <c r="AK26" s="52"/>
      <c r="AL26" s="52"/>
      <c r="AM26" s="52"/>
    </row>
    <row r="27" spans="1:48">
      <c r="A27" s="21">
        <v>44840</v>
      </c>
      <c r="B27" s="22">
        <v>791.80629999999996</v>
      </c>
      <c r="C27" s="27">
        <v>5.3486000000000002</v>
      </c>
      <c r="D27" s="23">
        <f t="shared" si="34"/>
        <v>797.1549</v>
      </c>
      <c r="E27" s="24">
        <f t="shared" si="46"/>
        <v>-0.199999999949796</v>
      </c>
      <c r="F27" s="25">
        <f t="shared" si="47"/>
        <v>-3.7999999999556202</v>
      </c>
      <c r="G27" s="26">
        <f t="shared" si="48"/>
        <v>-9.9999999974897905E-2</v>
      </c>
      <c r="H27" s="6">
        <v>6.5528000000000004</v>
      </c>
      <c r="I27" s="35">
        <f t="shared" si="38"/>
        <v>798.35910000000001</v>
      </c>
      <c r="J27" s="24">
        <f t="shared" si="49"/>
        <v>0.20000000006348301</v>
      </c>
      <c r="K27" s="25">
        <f t="shared" si="50"/>
        <v>-3.7999999999556202</v>
      </c>
      <c r="L27" s="26">
        <f t="shared" si="51"/>
        <v>0.100000000031741</v>
      </c>
      <c r="M27" s="6">
        <v>5.0834000000000001</v>
      </c>
      <c r="N27" s="35">
        <f t="shared" si="42"/>
        <v>796.88969999999995</v>
      </c>
      <c r="O27" s="24">
        <f t="shared" si="52"/>
        <v>-0.20000000006348301</v>
      </c>
      <c r="P27" s="25">
        <f t="shared" si="53"/>
        <v>-3.9000000000442001</v>
      </c>
      <c r="Q27" s="26">
        <f t="shared" si="54"/>
        <v>-0.100000000031741</v>
      </c>
      <c r="R27" s="41"/>
      <c r="S27" s="21">
        <f t="shared" si="23"/>
        <v>44840</v>
      </c>
      <c r="T27" s="42">
        <v>8.8058999999999994</v>
      </c>
      <c r="U27" s="43">
        <f t="shared" si="55"/>
        <v>-0.20000000000130999</v>
      </c>
      <c r="V27" s="44">
        <f t="shared" si="56"/>
        <v>-3.2000000000014199</v>
      </c>
      <c r="W27" s="45">
        <f t="shared" si="57"/>
        <v>0.100000000000655</v>
      </c>
      <c r="X27" s="29">
        <v>12.025700000000001</v>
      </c>
      <c r="Y27" s="43">
        <f t="shared" si="58"/>
        <v>-9.99999999997669E-2</v>
      </c>
      <c r="Z27" s="44">
        <f t="shared" si="59"/>
        <v>-3.8999999999997899</v>
      </c>
      <c r="AA27" s="45">
        <f t="shared" si="60"/>
        <v>-4.9999999999883499E-2</v>
      </c>
      <c r="AB27" s="49">
        <v>9.0526999999999997</v>
      </c>
      <c r="AC27" s="43">
        <f t="shared" si="61"/>
        <v>-0.19999999999065199</v>
      </c>
      <c r="AD27" s="44">
        <f t="shared" si="62"/>
        <v>-3.0999999999998802</v>
      </c>
      <c r="AE27" s="45">
        <f t="shared" si="63"/>
        <v>-9.9999999995325994E-2</v>
      </c>
      <c r="AF27" s="50">
        <v>80343</v>
      </c>
      <c r="AG27" s="58">
        <f t="shared" si="33"/>
        <v>68</v>
      </c>
      <c r="AH27" s="61"/>
      <c r="AI27" s="60"/>
      <c r="AJ27" s="52"/>
      <c r="AK27" s="52"/>
      <c r="AL27" s="52"/>
      <c r="AM27" s="52"/>
    </row>
    <row r="28" spans="1:48">
      <c r="A28" s="21">
        <v>44842</v>
      </c>
      <c r="B28" s="22">
        <v>791.80629999999996</v>
      </c>
      <c r="C28" s="27">
        <v>5.3487999999999998</v>
      </c>
      <c r="D28" s="23">
        <f t="shared" si="34"/>
        <v>797.15509999999995</v>
      </c>
      <c r="E28" s="24">
        <f t="shared" si="46"/>
        <v>0.199999999949796</v>
      </c>
      <c r="F28" s="25">
        <f t="shared" si="47"/>
        <v>-3.6000000000058199</v>
      </c>
      <c r="G28" s="26">
        <f t="shared" si="48"/>
        <v>9.9999999974897905E-2</v>
      </c>
      <c r="H28" s="6">
        <v>6.5525000000000002</v>
      </c>
      <c r="I28" s="35">
        <f t="shared" si="38"/>
        <v>798.35879999999997</v>
      </c>
      <c r="J28" s="24">
        <f t="shared" si="49"/>
        <v>-0.30000000003838101</v>
      </c>
      <c r="K28" s="25">
        <f t="shared" si="50"/>
        <v>-4.099999999994</v>
      </c>
      <c r="L28" s="26">
        <f t="shared" si="51"/>
        <v>-0.15000000001919001</v>
      </c>
      <c r="M28" s="6">
        <v>5.0834999999999999</v>
      </c>
      <c r="N28" s="35">
        <f t="shared" si="42"/>
        <v>796.88980000000004</v>
      </c>
      <c r="O28" s="24">
        <f t="shared" si="52"/>
        <v>9.9999999974897905E-2</v>
      </c>
      <c r="P28" s="25">
        <f t="shared" si="53"/>
        <v>-3.8000000000692999</v>
      </c>
      <c r="Q28" s="26">
        <f t="shared" si="54"/>
        <v>4.9999999987449001E-2</v>
      </c>
      <c r="R28" s="41"/>
      <c r="S28" s="21">
        <f t="shared" si="23"/>
        <v>44842</v>
      </c>
      <c r="T28" s="42">
        <v>8.8057999999999996</v>
      </c>
      <c r="U28" s="43">
        <f t="shared" si="55"/>
        <v>-9.99999999997669E-2</v>
      </c>
      <c r="V28" s="44">
        <f t="shared" si="56"/>
        <v>-3.30000000000119</v>
      </c>
      <c r="W28" s="45">
        <f t="shared" si="57"/>
        <v>4.9999999999883499E-2</v>
      </c>
      <c r="X28" s="29">
        <v>12.025499999999999</v>
      </c>
      <c r="Y28" s="43">
        <f t="shared" si="58"/>
        <v>-0.20000000000130999</v>
      </c>
      <c r="Z28" s="44">
        <f t="shared" si="59"/>
        <v>-4.1000000000011001</v>
      </c>
      <c r="AA28" s="45">
        <f t="shared" si="60"/>
        <v>-0.100000000000655</v>
      </c>
      <c r="AB28" s="49">
        <v>9.0526</v>
      </c>
      <c r="AC28" s="43">
        <f t="shared" si="61"/>
        <v>-9.99999999997669E-2</v>
      </c>
      <c r="AD28" s="44">
        <f t="shared" si="62"/>
        <v>-3.1999999999996498</v>
      </c>
      <c r="AE28" s="45">
        <f t="shared" si="63"/>
        <v>-4.9999999999883499E-2</v>
      </c>
      <c r="AF28" s="50">
        <v>80343</v>
      </c>
      <c r="AG28" s="58">
        <f t="shared" si="33"/>
        <v>68</v>
      </c>
      <c r="AH28" s="61"/>
      <c r="AI28" s="60"/>
      <c r="AJ28" s="52"/>
      <c r="AK28" s="52"/>
      <c r="AL28" s="52"/>
      <c r="AM28" s="52"/>
    </row>
    <row r="29" spans="1:48">
      <c r="A29" s="21">
        <v>44844</v>
      </c>
      <c r="B29" s="22">
        <v>791.80629999999996</v>
      </c>
      <c r="C29" s="27">
        <v>5.3486000000000002</v>
      </c>
      <c r="D29" s="23">
        <f t="shared" si="34"/>
        <v>797.1549</v>
      </c>
      <c r="E29" s="24">
        <f t="shared" si="46"/>
        <v>-0.199999999949796</v>
      </c>
      <c r="F29" s="25">
        <f t="shared" si="47"/>
        <v>-3.7999999999556202</v>
      </c>
      <c r="G29" s="26">
        <f t="shared" si="48"/>
        <v>-9.9999999974897905E-2</v>
      </c>
      <c r="H29" s="6">
        <v>6.5523999999999996</v>
      </c>
      <c r="I29" s="35">
        <f t="shared" si="38"/>
        <v>798.3587</v>
      </c>
      <c r="J29" s="24">
        <f t="shared" si="49"/>
        <v>-9.9999999974897905E-2</v>
      </c>
      <c r="K29" s="25">
        <f t="shared" si="50"/>
        <v>-4.1999999999688997</v>
      </c>
      <c r="L29" s="26">
        <f t="shared" si="51"/>
        <v>-4.9999999987449001E-2</v>
      </c>
      <c r="M29" s="6">
        <v>5.0837000000000003</v>
      </c>
      <c r="N29" s="35">
        <f t="shared" si="42"/>
        <v>796.89</v>
      </c>
      <c r="O29" s="24">
        <f t="shared" si="52"/>
        <v>0.20000000006348301</v>
      </c>
      <c r="P29" s="25">
        <f t="shared" si="53"/>
        <v>-3.6000000000058199</v>
      </c>
      <c r="Q29" s="26">
        <f t="shared" si="54"/>
        <v>0.100000000031741</v>
      </c>
      <c r="R29" s="41"/>
      <c r="S29" s="21">
        <f t="shared" si="23"/>
        <v>44844</v>
      </c>
      <c r="T29" s="42">
        <v>8.8055999999999806</v>
      </c>
      <c r="U29" s="43">
        <f t="shared" si="55"/>
        <v>-0.200000000019074</v>
      </c>
      <c r="V29" s="44">
        <f t="shared" si="56"/>
        <v>-3.5000000000202598</v>
      </c>
      <c r="W29" s="45">
        <f t="shared" si="57"/>
        <v>0.100000000009537</v>
      </c>
      <c r="X29" s="29">
        <v>12.025600000000001</v>
      </c>
      <c r="Y29" s="43">
        <f t="shared" si="58"/>
        <v>0.10000000000154299</v>
      </c>
      <c r="Z29" s="44">
        <f t="shared" si="59"/>
        <v>-3.9999999999995599</v>
      </c>
      <c r="AA29" s="45">
        <f t="shared" si="60"/>
        <v>5.0000000000771601E-2</v>
      </c>
      <c r="AB29" s="49">
        <v>9.0526999999999909</v>
      </c>
      <c r="AC29" s="43">
        <f t="shared" si="61"/>
        <v>9.9999999990885199E-2</v>
      </c>
      <c r="AD29" s="44">
        <f t="shared" si="62"/>
        <v>-3.1000000000087602</v>
      </c>
      <c r="AE29" s="45">
        <f t="shared" si="63"/>
        <v>4.99999999954426E-2</v>
      </c>
      <c r="AF29" s="50">
        <v>80343</v>
      </c>
      <c r="AG29" s="58">
        <f t="shared" si="33"/>
        <v>68</v>
      </c>
      <c r="AH29" s="59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F29-F18</f>
        <v>-1.5999999999394301</v>
      </c>
      <c r="F30" s="33">
        <f>K29-K18</f>
        <v>-1.5999999999394301</v>
      </c>
      <c r="G30" s="33">
        <f>P29-P18</f>
        <v>-1.30000000001473</v>
      </c>
      <c r="H30" s="33">
        <f>F29</f>
        <v>-3.7999999999556202</v>
      </c>
      <c r="I30" s="66">
        <f>K29</f>
        <v>-4.1999999999688997</v>
      </c>
      <c r="J30" s="65">
        <f>P29</f>
        <v>-3.6000000000058199</v>
      </c>
      <c r="K30" s="33">
        <f>(K29-K18)/20</f>
        <v>-7.9999999996971397E-2</v>
      </c>
      <c r="L30" s="26"/>
      <c r="N30" s="35"/>
      <c r="O30" s="24"/>
      <c r="P30" s="25"/>
      <c r="Q30" s="26"/>
      <c r="R30" s="41"/>
      <c r="S30" s="21"/>
      <c r="T30" s="42"/>
      <c r="U30" s="65">
        <f>V29-V18</f>
        <v>-1.60000000000871</v>
      </c>
      <c r="V30" s="33">
        <f>Z29-Z18</f>
        <v>-1.59999999999982</v>
      </c>
      <c r="W30" s="33">
        <f>AD29-AD18</f>
        <v>-1.60000000000871</v>
      </c>
      <c r="X30" s="33">
        <f>V29</f>
        <v>-3.5000000000202598</v>
      </c>
      <c r="Y30" s="65">
        <f>Z29</f>
        <v>-3.9999999999995599</v>
      </c>
      <c r="Z30" s="33">
        <f>AD29</f>
        <v>-3.1000000000087602</v>
      </c>
      <c r="AA30" s="33">
        <f>(Z29-Z18)/20</f>
        <v>-7.9999999999991203E-2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47"/>
      <c r="Y40" s="24"/>
      <c r="Z40" s="25"/>
      <c r="AA40" s="26"/>
      <c r="AB40" s="47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2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26"/>
      <c r="AG42" s="26"/>
      <c r="AH42" s="51"/>
    </row>
    <row r="43" spans="1:39">
      <c r="A43" s="31"/>
      <c r="B43" s="30"/>
      <c r="C43" s="32"/>
      <c r="E43" s="24"/>
      <c r="F43" s="25"/>
      <c r="G43" s="26"/>
      <c r="H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0"/>
      <c r="C44" s="32"/>
      <c r="D44" s="32"/>
      <c r="E44" s="24"/>
      <c r="F44" s="25"/>
      <c r="G44" s="26"/>
      <c r="H44" s="29"/>
      <c r="I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>
        <v>3</v>
      </c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R25" workbookViewId="0">
      <selection activeCell="R29" sqref="A29:XFD29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44820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44820</v>
      </c>
      <c r="B6" s="22">
        <v>791.80629999999996</v>
      </c>
      <c r="C6" s="27">
        <v>5.6773999999999996</v>
      </c>
      <c r="D6" s="23">
        <f>C6+B6</f>
        <v>797.4837</v>
      </c>
      <c r="E6" s="24">
        <v>0</v>
      </c>
      <c r="F6" s="25">
        <v>0</v>
      </c>
      <c r="G6" s="26">
        <v>0</v>
      </c>
      <c r="H6" s="6">
        <v>6.4520999999999997</v>
      </c>
      <c r="I6" s="35">
        <f>H6+B6</f>
        <v>798.25840000000005</v>
      </c>
      <c r="J6" s="24">
        <v>0</v>
      </c>
      <c r="K6" s="25">
        <v>0</v>
      </c>
      <c r="L6" s="26">
        <v>0</v>
      </c>
      <c r="M6" s="6">
        <v>5.8316999999999997</v>
      </c>
      <c r="N6" s="35">
        <f>M6+B6</f>
        <v>797.63800000000003</v>
      </c>
      <c r="O6" s="24">
        <v>0</v>
      </c>
      <c r="P6" s="25">
        <v>0</v>
      </c>
      <c r="Q6" s="26">
        <v>0</v>
      </c>
      <c r="R6" s="41"/>
      <c r="S6" s="21">
        <f>A6</f>
        <v>44820</v>
      </c>
      <c r="T6" s="42">
        <v>8.9091000000000005</v>
      </c>
      <c r="U6" s="43">
        <v>0</v>
      </c>
      <c r="V6" s="44">
        <v>0</v>
      </c>
      <c r="W6" s="45">
        <f>U6/(S6-S11)</f>
        <v>0</v>
      </c>
      <c r="X6" s="29">
        <v>12.1096</v>
      </c>
      <c r="Y6" s="43">
        <v>0</v>
      </c>
      <c r="Z6" s="44">
        <v>0</v>
      </c>
      <c r="AA6" s="45">
        <v>0</v>
      </c>
      <c r="AB6" s="49">
        <v>9.0358000000000001</v>
      </c>
      <c r="AC6" s="43">
        <v>0</v>
      </c>
      <c r="AD6" s="44">
        <v>0</v>
      </c>
      <c r="AE6" s="45">
        <v>0</v>
      </c>
      <c r="AF6" s="50">
        <v>80320</v>
      </c>
      <c r="AG6" s="58">
        <f>AF6-80313</f>
        <v>7</v>
      </c>
      <c r="AH6" s="59"/>
      <c r="AI6" s="60"/>
      <c r="AJ6" s="61"/>
      <c r="AK6" s="62"/>
      <c r="AL6" s="52"/>
      <c r="AM6" s="52"/>
    </row>
    <row r="7" spans="1:48">
      <c r="A7" s="21">
        <v>44821</v>
      </c>
      <c r="B7" s="22">
        <v>791.80629999999996</v>
      </c>
      <c r="C7" s="27">
        <v>5.6772</v>
      </c>
      <c r="D7" s="23">
        <f>C7+B7</f>
        <v>797.48350000000005</v>
      </c>
      <c r="E7" s="24">
        <f>(D7-D6)*1000</f>
        <v>-0.20000000006348301</v>
      </c>
      <c r="F7" s="25">
        <f>F6+E7</f>
        <v>-0.20000000006348301</v>
      </c>
      <c r="G7" s="26">
        <f>E7/(A7-A6)</f>
        <v>-0.20000000006348301</v>
      </c>
      <c r="H7" s="6">
        <v>6.4522000000000004</v>
      </c>
      <c r="I7" s="35">
        <f>H7+B7</f>
        <v>798.25850000000003</v>
      </c>
      <c r="J7" s="24">
        <f>(I7-I6)*1000</f>
        <v>9.9999999974897905E-2</v>
      </c>
      <c r="K7" s="25">
        <f>K6+J7</f>
        <v>9.9999999974897905E-2</v>
      </c>
      <c r="L7" s="26">
        <f>J7/(A7-A6)</f>
        <v>9.9999999974897905E-2</v>
      </c>
      <c r="M7" s="6">
        <v>5.8311999999999999</v>
      </c>
      <c r="N7" s="35">
        <f>M7+B7</f>
        <v>797.63750000000005</v>
      </c>
      <c r="O7" s="24">
        <f>(N7-N6)*1000</f>
        <v>-0.49999999998817701</v>
      </c>
      <c r="P7" s="25">
        <f>P6+O7</f>
        <v>-0.49999999998817701</v>
      </c>
      <c r="Q7" s="26">
        <f>O7/(A7-A6)</f>
        <v>-0.49999999998817701</v>
      </c>
      <c r="R7" s="41"/>
      <c r="S7" s="21">
        <f>A7</f>
        <v>44821</v>
      </c>
      <c r="T7" s="42">
        <v>8.9094999999999995</v>
      </c>
      <c r="U7" s="43">
        <f>(T7-T6)*1000</f>
        <v>0.39999999999906799</v>
      </c>
      <c r="V7" s="44">
        <f>V6+U7</f>
        <v>0.39999999999906799</v>
      </c>
      <c r="W7" s="45">
        <f>U7/(S6-S7)</f>
        <v>-0.39999999999906799</v>
      </c>
      <c r="X7" s="29">
        <v>12.109400000000001</v>
      </c>
      <c r="Y7" s="43">
        <f>(X7-X6)*1000</f>
        <v>-0.19999999999953399</v>
      </c>
      <c r="Z7" s="44">
        <f>Z6+Y7</f>
        <v>-0.19999999999953399</v>
      </c>
      <c r="AA7" s="45">
        <f>Y7/(S7-S6)</f>
        <v>-0.19999999999953399</v>
      </c>
      <c r="AB7" s="49">
        <v>9.0355000000000008</v>
      </c>
      <c r="AC7" s="43">
        <f>(AB7-AB6)*1000</f>
        <v>-0.29999999999930099</v>
      </c>
      <c r="AD7" s="44">
        <f>AD6+AC7</f>
        <v>-0.29999999999930099</v>
      </c>
      <c r="AE7" s="45">
        <f>AC7/(S7-S6)</f>
        <v>-0.29999999999930099</v>
      </c>
      <c r="AF7" s="50">
        <v>80323</v>
      </c>
      <c r="AG7" s="58">
        <f>AF7-80313</f>
        <v>10</v>
      </c>
      <c r="AH7" s="59"/>
      <c r="AI7" s="60"/>
      <c r="AJ7" s="61"/>
      <c r="AK7" s="62"/>
      <c r="AL7" s="52"/>
      <c r="AM7" s="52"/>
    </row>
    <row r="8" spans="1:48">
      <c r="A8" s="21">
        <v>44822</v>
      </c>
      <c r="B8" s="22">
        <v>791.80629999999996</v>
      </c>
      <c r="C8" s="27">
        <v>5.6771000000000003</v>
      </c>
      <c r="D8" s="23">
        <f>C8+B8</f>
        <v>797.48339999999996</v>
      </c>
      <c r="E8" s="24">
        <f>(D8-D7)*1000</f>
        <v>-9.9999999974897905E-2</v>
      </c>
      <c r="F8" s="25">
        <f>F7+E8</f>
        <v>-0.30000000003838101</v>
      </c>
      <c r="G8" s="26">
        <f>E8/(A8-A7)</f>
        <v>-9.9999999974897905E-2</v>
      </c>
      <c r="H8" s="6">
        <v>6.4518000000000004</v>
      </c>
      <c r="I8" s="35">
        <f>H8+B8</f>
        <v>798.25810000000001</v>
      </c>
      <c r="J8" s="24">
        <f>(I8-I7)*1000</f>
        <v>-0.39999999989959201</v>
      </c>
      <c r="K8" s="25">
        <f>K7+J8</f>
        <v>-0.29999999992469401</v>
      </c>
      <c r="L8" s="26">
        <f>J8/(A8-A7)</f>
        <v>-0.39999999989959201</v>
      </c>
      <c r="M8" s="6">
        <v>5.8310000000000004</v>
      </c>
      <c r="N8" s="35">
        <f>M8+B8</f>
        <v>797.63729999999998</v>
      </c>
      <c r="O8" s="24">
        <f>(N8-N7)*1000</f>
        <v>-0.199999999949796</v>
      </c>
      <c r="P8" s="25">
        <f>P7+O8</f>
        <v>-0.69999999993797202</v>
      </c>
      <c r="Q8" s="26">
        <f>O8/(A8-A7)</f>
        <v>-0.199999999949796</v>
      </c>
      <c r="R8" s="41"/>
      <c r="S8" s="21">
        <f>A8</f>
        <v>44822</v>
      </c>
      <c r="T8" s="42">
        <v>8.9092000000000002</v>
      </c>
      <c r="U8" s="43">
        <f>(T8-T7)*1000</f>
        <v>-0.29999999999930099</v>
      </c>
      <c r="V8" s="44">
        <f>V7+U8</f>
        <v>9.99999999997669E-2</v>
      </c>
      <c r="W8" s="45">
        <f>U8/(S7-S8)</f>
        <v>0.29999999999930099</v>
      </c>
      <c r="X8" s="29">
        <v>12.109500000000001</v>
      </c>
      <c r="Y8" s="43">
        <f>(X8-X7)*1000</f>
        <v>9.99999999997669E-2</v>
      </c>
      <c r="Z8" s="44">
        <f>Z7+Y8</f>
        <v>-9.99999999997669E-2</v>
      </c>
      <c r="AA8" s="45">
        <f>Y8/(S8-S7)</f>
        <v>9.99999999997669E-2</v>
      </c>
      <c r="AB8" s="49">
        <v>9.0353999999999992</v>
      </c>
      <c r="AC8" s="43">
        <f>(AB8-AB7)*1000</f>
        <v>-0.10000000000154299</v>
      </c>
      <c r="AD8" s="44">
        <f>AD7+AC8</f>
        <v>-0.40000000000084401</v>
      </c>
      <c r="AE8" s="45">
        <f>AC8/(S8-S7)</f>
        <v>-0.10000000000154299</v>
      </c>
      <c r="AF8" s="50">
        <v>80326</v>
      </c>
      <c r="AG8" s="58">
        <f>AF8-80313</f>
        <v>13</v>
      </c>
      <c r="AH8" s="59"/>
      <c r="AI8" s="60"/>
      <c r="AJ8" s="61"/>
      <c r="AK8" s="62"/>
      <c r="AL8" s="52"/>
      <c r="AM8" s="52"/>
    </row>
    <row r="9" spans="1:48">
      <c r="A9" s="21">
        <v>44823</v>
      </c>
      <c r="B9" s="22">
        <v>791.80629999999996</v>
      </c>
      <c r="C9" s="27">
        <v>5.6768000000000001</v>
      </c>
      <c r="D9" s="23">
        <f>C9+B9</f>
        <v>797.48310000000004</v>
      </c>
      <c r="E9" s="24">
        <f>(D9-D8)*1000</f>
        <v>-0.30000000003838101</v>
      </c>
      <c r="F9" s="25">
        <f>F8+E9</f>
        <v>-0.60000000007676102</v>
      </c>
      <c r="G9" s="26">
        <f>E9/(A9-A8)</f>
        <v>-0.30000000003838101</v>
      </c>
      <c r="H9" s="6">
        <v>6.4515000000000002</v>
      </c>
      <c r="I9" s="35">
        <f>H9+B9</f>
        <v>798.25779999999997</v>
      </c>
      <c r="J9" s="24">
        <f>(I9-I8)*1000</f>
        <v>-0.30000000003838101</v>
      </c>
      <c r="K9" s="25">
        <f>K8+J9</f>
        <v>-0.59999999996307496</v>
      </c>
      <c r="L9" s="26">
        <f>J9/(A9-A8)</f>
        <v>-0.30000000003838101</v>
      </c>
      <c r="M9" s="6">
        <v>5.8307000000000002</v>
      </c>
      <c r="N9" s="35">
        <f>M9+B9</f>
        <v>797.63699999999994</v>
      </c>
      <c r="O9" s="24">
        <f>(N9-N8)*1000</f>
        <v>-0.30000000003838101</v>
      </c>
      <c r="P9" s="25">
        <f>P8+O9</f>
        <v>-0.99999999997635303</v>
      </c>
      <c r="Q9" s="26">
        <f>O9/(A9-A8)</f>
        <v>-0.30000000003838101</v>
      </c>
      <c r="R9" s="41"/>
      <c r="S9" s="21">
        <f>A9</f>
        <v>44823</v>
      </c>
      <c r="T9" s="42">
        <v>8.9090000000000007</v>
      </c>
      <c r="U9" s="43">
        <f>(T9-T8)*1000</f>
        <v>-0.19999999999953399</v>
      </c>
      <c r="V9" s="44">
        <f>V8+U9</f>
        <v>-9.99999999997669E-2</v>
      </c>
      <c r="W9" s="45">
        <f>U9/(S8-S9)</f>
        <v>0.19999999999953399</v>
      </c>
      <c r="X9" s="29">
        <v>12.109</v>
      </c>
      <c r="Y9" s="43">
        <f>(X9-X8)*1000</f>
        <v>-0.50000000000061096</v>
      </c>
      <c r="Z9" s="44">
        <f>Z8+Y9</f>
        <v>-0.60000000000037801</v>
      </c>
      <c r="AA9" s="45">
        <f>Y9/(S9-S8)</f>
        <v>-0.50000000000061096</v>
      </c>
      <c r="AB9" s="49">
        <v>9.0352999999999994</v>
      </c>
      <c r="AC9" s="43">
        <f>(AB9-AB8)*1000</f>
        <v>-9.99999999997669E-2</v>
      </c>
      <c r="AD9" s="44">
        <f>AD8+AC9</f>
        <v>-0.50000000000061096</v>
      </c>
      <c r="AE9" s="45">
        <f>AC9/(S9-S8)</f>
        <v>-9.99999999997669E-2</v>
      </c>
      <c r="AF9" s="50">
        <v>80329</v>
      </c>
      <c r="AG9" s="58">
        <f>AF9-80313</f>
        <v>16</v>
      </c>
      <c r="AH9" s="61"/>
      <c r="AI9" s="60"/>
      <c r="AJ9"/>
      <c r="AK9"/>
      <c r="AL9"/>
      <c r="AM9"/>
    </row>
    <row r="10" spans="1:48">
      <c r="A10" s="21">
        <v>44824</v>
      </c>
      <c r="B10" s="22">
        <v>791.80629999999996</v>
      </c>
      <c r="C10" s="27">
        <v>5.6765999999999996</v>
      </c>
      <c r="D10" s="23">
        <f>C10+B10</f>
        <v>797.48289999999997</v>
      </c>
      <c r="E10" s="24">
        <f>(D10-D9)*1000</f>
        <v>-0.199999999949796</v>
      </c>
      <c r="F10" s="25">
        <f>F9+E10</f>
        <v>-0.80000000002655702</v>
      </c>
      <c r="G10" s="26">
        <f>E10/(A10-A9)</f>
        <v>-0.199999999949796</v>
      </c>
      <c r="H10" s="6">
        <v>6.4512</v>
      </c>
      <c r="I10" s="35">
        <f>H10+B10</f>
        <v>798.25750000000005</v>
      </c>
      <c r="J10" s="24">
        <f>(I10-I9)*1000</f>
        <v>-0.30000000003838101</v>
      </c>
      <c r="K10" s="25">
        <f>K9+J10</f>
        <v>-0.90000000000145497</v>
      </c>
      <c r="L10" s="26">
        <f>J10/(A10-A9)</f>
        <v>-0.30000000003838101</v>
      </c>
      <c r="M10" s="6">
        <v>5.8304999999999998</v>
      </c>
      <c r="N10" s="35">
        <f>M10+B10</f>
        <v>797.63679999999999</v>
      </c>
      <c r="O10" s="24">
        <f>(N10-N9)*1000</f>
        <v>-0.199999999949796</v>
      </c>
      <c r="P10" s="25">
        <f>P9+O10</f>
        <v>-1.1999999999261499</v>
      </c>
      <c r="Q10" s="26">
        <f>O10/(A10-A9)</f>
        <v>-0.199999999949796</v>
      </c>
      <c r="R10" s="41"/>
      <c r="S10" s="21">
        <f>A10</f>
        <v>44824</v>
      </c>
      <c r="T10" s="42">
        <v>8.9092000000000002</v>
      </c>
      <c r="U10" s="43">
        <f>(T10-T9)*1000</f>
        <v>0.19999999999953399</v>
      </c>
      <c r="V10" s="44">
        <f>V9+U10</f>
        <v>9.99999999997669E-2</v>
      </c>
      <c r="W10" s="45">
        <f>U10/(S9-S10)</f>
        <v>-0.19999999999953399</v>
      </c>
      <c r="X10" s="29">
        <v>12.1088</v>
      </c>
      <c r="Y10" s="43">
        <f>(X10-X9)*1000</f>
        <v>-0.19999999999953399</v>
      </c>
      <c r="Z10" s="44">
        <f>Z9+Y10</f>
        <v>-0.799999999999912</v>
      </c>
      <c r="AA10" s="45">
        <f>Y10/(S10-S9)</f>
        <v>-0.19999999999953399</v>
      </c>
      <c r="AB10" s="49">
        <v>9.0350000000000001</v>
      </c>
      <c r="AC10" s="43">
        <f>(AB10-AB9)*1000</f>
        <v>-0.29999999999930099</v>
      </c>
      <c r="AD10" s="44">
        <f>AD9+AC10</f>
        <v>-0.799999999999912</v>
      </c>
      <c r="AE10" s="45">
        <f>AC10/(S10-S9)</f>
        <v>-0.29999999999930099</v>
      </c>
      <c r="AF10" s="50">
        <v>80332</v>
      </c>
      <c r="AG10" s="58">
        <f>AF10-80313</f>
        <v>19</v>
      </c>
      <c r="AH10" s="59"/>
      <c r="AI10" s="60"/>
      <c r="AJ10" s="61"/>
      <c r="AK10" s="62"/>
      <c r="AL10" s="52"/>
      <c r="AM10" s="52"/>
    </row>
    <row r="11" spans="1:48">
      <c r="A11" s="21">
        <v>44825</v>
      </c>
      <c r="B11" s="22">
        <v>791.80629999999996</v>
      </c>
      <c r="C11" s="27">
        <v>5.6764999999999999</v>
      </c>
      <c r="D11" s="23">
        <f t="shared" ref="D11:D20" si="0">C11+B11</f>
        <v>797.4828</v>
      </c>
      <c r="E11" s="24">
        <f t="shared" ref="E11:E20" si="1">(D11-D10)*1000</f>
        <v>-9.9999999974897905E-2</v>
      </c>
      <c r="F11" s="25">
        <f t="shared" ref="F11:F20" si="2">F10+E11</f>
        <v>-0.90000000000145497</v>
      </c>
      <c r="G11" s="26">
        <f t="shared" ref="G11:G20" si="3">E11/(A11-A10)</f>
        <v>-9.9999999974897905E-2</v>
      </c>
      <c r="H11" s="6">
        <v>6.4512999999999998</v>
      </c>
      <c r="I11" s="35">
        <f t="shared" ref="I11:I20" si="4">H11+B11</f>
        <v>798.25760000000002</v>
      </c>
      <c r="J11" s="24">
        <f t="shared" ref="J11:J20" si="5">(I11-I10)*1000</f>
        <v>9.9999999974897905E-2</v>
      </c>
      <c r="K11" s="25">
        <f t="shared" ref="K11:K20" si="6">K10+J11</f>
        <v>-0.80000000002655702</v>
      </c>
      <c r="L11" s="26">
        <f t="shared" ref="L11:L20" si="7">J11/(A11-A10)</f>
        <v>9.9999999974897905E-2</v>
      </c>
      <c r="M11" s="6">
        <v>5.8303000000000003</v>
      </c>
      <c r="N11" s="35">
        <f t="shared" ref="N11:N20" si="8">M11+B11</f>
        <v>797.63660000000004</v>
      </c>
      <c r="O11" s="24">
        <f t="shared" ref="O11:O20" si="9">(N11-N10)*1000</f>
        <v>-0.20000000006348301</v>
      </c>
      <c r="P11" s="25">
        <f t="shared" ref="P11:P20" si="10">P10+O11</f>
        <v>-1.39999999998963</v>
      </c>
      <c r="Q11" s="26">
        <f t="shared" ref="Q11:Q20" si="11">O11/(A11-A10)</f>
        <v>-0.20000000006348301</v>
      </c>
      <c r="R11" s="41"/>
      <c r="S11" s="21">
        <f t="shared" ref="S11:S28" si="12">A11</f>
        <v>44825</v>
      </c>
      <c r="T11" s="42">
        <v>8.9090000000000007</v>
      </c>
      <c r="U11" s="43">
        <f t="shared" ref="U11:U25" si="13">(T11-T10)*1000</f>
        <v>-0.19999999999953399</v>
      </c>
      <c r="V11" s="44">
        <f t="shared" ref="V11:V25" si="14">V10+U11</f>
        <v>-9.99999999997669E-2</v>
      </c>
      <c r="W11" s="45">
        <f t="shared" ref="W11:W25" si="15">U11/(S10-S11)</f>
        <v>0.19999999999953399</v>
      </c>
      <c r="X11" s="29">
        <v>12.108599999999999</v>
      </c>
      <c r="Y11" s="43">
        <f t="shared" ref="Y11:Y25" si="16">(X11-X10)*1000</f>
        <v>-0.20000000000130999</v>
      </c>
      <c r="Z11" s="44">
        <f t="shared" ref="Z11:Z25" si="17">Z10+Y11</f>
        <v>-1.0000000000012199</v>
      </c>
      <c r="AA11" s="45">
        <f t="shared" ref="AA11:AA25" si="18">Y11/(S11-S10)</f>
        <v>-0.20000000000130999</v>
      </c>
      <c r="AB11" s="49">
        <v>9.0347000000000008</v>
      </c>
      <c r="AC11" s="43">
        <f t="shared" ref="AC11:AC25" si="19">(AB11-AB10)*1000</f>
        <v>-0.29999999999930099</v>
      </c>
      <c r="AD11" s="44">
        <f t="shared" ref="AD11:AD25" si="20">AD10+AC11</f>
        <v>-1.0999999999992101</v>
      </c>
      <c r="AE11" s="45">
        <f t="shared" ref="AE11:AE25" si="21">AC11/(S11-S10)</f>
        <v>-0.29999999999930099</v>
      </c>
      <c r="AF11" s="50">
        <v>80335</v>
      </c>
      <c r="AG11" s="58">
        <f t="shared" ref="AG11:AG28" si="22">AF11-80313</f>
        <v>22</v>
      </c>
      <c r="AH11" s="61"/>
      <c r="AI11" s="60"/>
      <c r="AJ11"/>
      <c r="AK11"/>
      <c r="AL11"/>
      <c r="AM11"/>
    </row>
    <row r="12" spans="1:48">
      <c r="A12" s="21">
        <v>44826</v>
      </c>
      <c r="B12" s="22">
        <v>791.80629999999996</v>
      </c>
      <c r="C12" s="27">
        <v>5.6761999999999997</v>
      </c>
      <c r="D12" s="23">
        <f t="shared" si="0"/>
        <v>797.48249999999996</v>
      </c>
      <c r="E12" s="24">
        <f t="shared" si="1"/>
        <v>-0.30000000003838101</v>
      </c>
      <c r="F12" s="25">
        <f t="shared" si="2"/>
        <v>-1.2000000000398401</v>
      </c>
      <c r="G12" s="26">
        <f t="shared" si="3"/>
        <v>-0.30000000003838101</v>
      </c>
      <c r="H12" s="6">
        <v>6.4505999999999997</v>
      </c>
      <c r="I12" s="35">
        <f t="shared" si="4"/>
        <v>798.25689999999997</v>
      </c>
      <c r="J12" s="24">
        <f t="shared" si="5"/>
        <v>-0.69999999993797202</v>
      </c>
      <c r="K12" s="25">
        <f t="shared" si="6"/>
        <v>-1.4999999999645299</v>
      </c>
      <c r="L12" s="26">
        <f t="shared" si="7"/>
        <v>-0.69999999993797202</v>
      </c>
      <c r="M12" s="6">
        <v>5.8300999999999998</v>
      </c>
      <c r="N12" s="35">
        <f t="shared" si="8"/>
        <v>797.63639999999998</v>
      </c>
      <c r="O12" s="24">
        <f t="shared" si="9"/>
        <v>-0.199999999949796</v>
      </c>
      <c r="P12" s="25">
        <f t="shared" si="10"/>
        <v>-1.5999999999394301</v>
      </c>
      <c r="Q12" s="26">
        <f t="shared" si="11"/>
        <v>-0.199999999949796</v>
      </c>
      <c r="R12" s="41"/>
      <c r="S12" s="21">
        <f t="shared" si="12"/>
        <v>44826</v>
      </c>
      <c r="T12" s="42">
        <v>8.9087999999999994</v>
      </c>
      <c r="U12" s="43">
        <f t="shared" si="13"/>
        <v>-0.20000000000130999</v>
      </c>
      <c r="V12" s="44">
        <f t="shared" si="14"/>
        <v>-0.30000000000107702</v>
      </c>
      <c r="W12" s="45">
        <f t="shared" si="15"/>
        <v>0.20000000000130999</v>
      </c>
      <c r="X12" s="29">
        <v>12.108499999999999</v>
      </c>
      <c r="Y12" s="43">
        <f t="shared" si="16"/>
        <v>-9.99999999997669E-2</v>
      </c>
      <c r="Z12" s="44">
        <f t="shared" si="17"/>
        <v>-1.10000000000099</v>
      </c>
      <c r="AA12" s="45">
        <f t="shared" si="18"/>
        <v>-9.99999999997669E-2</v>
      </c>
      <c r="AB12" s="49">
        <v>9.0344999999999995</v>
      </c>
      <c r="AC12" s="43">
        <f t="shared" si="19"/>
        <v>-0.20000000000130999</v>
      </c>
      <c r="AD12" s="44">
        <f t="shared" si="20"/>
        <v>-1.3000000000005201</v>
      </c>
      <c r="AE12" s="45">
        <f t="shared" si="21"/>
        <v>-0.20000000000130999</v>
      </c>
      <c r="AF12" s="50">
        <v>80338</v>
      </c>
      <c r="AG12" s="58">
        <f t="shared" si="22"/>
        <v>25</v>
      </c>
      <c r="AH12" s="59"/>
      <c r="AI12" s="60"/>
      <c r="AJ12"/>
      <c r="AK12"/>
      <c r="AL12"/>
      <c r="AM12"/>
    </row>
    <row r="13" spans="1:48">
      <c r="A13" s="21">
        <v>44827</v>
      </c>
      <c r="B13" s="22">
        <v>791.80629999999996</v>
      </c>
      <c r="C13" s="27">
        <v>5.6760000000000002</v>
      </c>
      <c r="D13" s="23">
        <f t="shared" si="0"/>
        <v>797.48230000000001</v>
      </c>
      <c r="E13" s="24">
        <f t="shared" si="1"/>
        <v>-0.199999999949796</v>
      </c>
      <c r="F13" s="25">
        <f t="shared" si="2"/>
        <v>-1.39999999998963</v>
      </c>
      <c r="G13" s="26">
        <f t="shared" si="3"/>
        <v>-0.199999999949796</v>
      </c>
      <c r="H13" s="6">
        <v>6.4503000000000004</v>
      </c>
      <c r="I13" s="35">
        <f t="shared" si="4"/>
        <v>798.25660000000005</v>
      </c>
      <c r="J13" s="24">
        <f t="shared" si="5"/>
        <v>-0.30000000003838101</v>
      </c>
      <c r="K13" s="25">
        <f t="shared" si="6"/>
        <v>-1.8000000000029099</v>
      </c>
      <c r="L13" s="26">
        <f t="shared" si="7"/>
        <v>-0.30000000003838101</v>
      </c>
      <c r="M13" s="6">
        <v>5.83</v>
      </c>
      <c r="N13" s="35">
        <f t="shared" si="8"/>
        <v>797.63630000000001</v>
      </c>
      <c r="O13" s="24">
        <f t="shared" si="9"/>
        <v>-9.9999999974897905E-2</v>
      </c>
      <c r="P13" s="25">
        <f t="shared" si="10"/>
        <v>-1.69999999991433</v>
      </c>
      <c r="Q13" s="26">
        <f t="shared" si="11"/>
        <v>-9.9999999974897905E-2</v>
      </c>
      <c r="R13" s="41"/>
      <c r="S13" s="21">
        <f t="shared" si="12"/>
        <v>44827</v>
      </c>
      <c r="T13" s="42">
        <v>8.9085999999999999</v>
      </c>
      <c r="U13" s="43">
        <f t="shared" si="13"/>
        <v>-0.19999999999953399</v>
      </c>
      <c r="V13" s="44">
        <f t="shared" si="14"/>
        <v>-0.50000000000061096</v>
      </c>
      <c r="W13" s="45">
        <f t="shared" si="15"/>
        <v>0.19999999999953399</v>
      </c>
      <c r="X13" s="29">
        <v>12.1082</v>
      </c>
      <c r="Y13" s="43">
        <f t="shared" si="16"/>
        <v>-0.29999999999930099</v>
      </c>
      <c r="Z13" s="44">
        <f t="shared" si="17"/>
        <v>-1.4000000000002899</v>
      </c>
      <c r="AA13" s="45">
        <f t="shared" si="18"/>
        <v>-0.29999999999930099</v>
      </c>
      <c r="AB13" s="49">
        <v>9.0341000000000005</v>
      </c>
      <c r="AC13" s="43">
        <f t="shared" si="19"/>
        <v>-0.39999999999906799</v>
      </c>
      <c r="AD13" s="44">
        <f t="shared" si="20"/>
        <v>-1.6999999999995901</v>
      </c>
      <c r="AE13" s="45">
        <f t="shared" si="21"/>
        <v>-0.39999999999906799</v>
      </c>
      <c r="AF13" s="50">
        <v>80341</v>
      </c>
      <c r="AG13" s="58">
        <f t="shared" si="22"/>
        <v>28</v>
      </c>
      <c r="AH13" s="61"/>
      <c r="AI13" s="60"/>
      <c r="AJ13"/>
      <c r="AK13"/>
      <c r="AL13"/>
      <c r="AM13"/>
    </row>
    <row r="14" spans="1:48">
      <c r="A14" s="21">
        <v>44828</v>
      </c>
      <c r="B14" s="22">
        <v>791.80629999999996</v>
      </c>
      <c r="C14" s="27">
        <v>5.6761999999999997</v>
      </c>
      <c r="D14" s="23">
        <f t="shared" si="0"/>
        <v>797.48249999999996</v>
      </c>
      <c r="E14" s="24">
        <f t="shared" si="1"/>
        <v>0.199999999949796</v>
      </c>
      <c r="F14" s="25">
        <f t="shared" si="2"/>
        <v>-1.2000000000398401</v>
      </c>
      <c r="G14" s="26">
        <f t="shared" si="3"/>
        <v>0.199999999949796</v>
      </c>
      <c r="H14" s="6">
        <v>6.45</v>
      </c>
      <c r="I14" s="35">
        <f t="shared" si="4"/>
        <v>798.25630000000001</v>
      </c>
      <c r="J14" s="24">
        <f t="shared" si="5"/>
        <v>-0.29999999992469401</v>
      </c>
      <c r="K14" s="25">
        <f t="shared" si="6"/>
        <v>-2.0999999999275998</v>
      </c>
      <c r="L14" s="26">
        <f t="shared" si="7"/>
        <v>-0.29999999992469401</v>
      </c>
      <c r="M14" s="6">
        <v>5.8296999999999999</v>
      </c>
      <c r="N14" s="35">
        <f t="shared" si="8"/>
        <v>797.63599999999997</v>
      </c>
      <c r="O14" s="24">
        <f t="shared" si="9"/>
        <v>-0.30000000003838101</v>
      </c>
      <c r="P14" s="25">
        <f t="shared" si="10"/>
        <v>-1.9999999999527101</v>
      </c>
      <c r="Q14" s="26">
        <f t="shared" si="11"/>
        <v>-0.30000000003838101</v>
      </c>
      <c r="R14" s="41"/>
      <c r="S14" s="21">
        <f t="shared" si="12"/>
        <v>44828</v>
      </c>
      <c r="T14" s="42">
        <v>8.9085000000000001</v>
      </c>
      <c r="U14" s="43">
        <f t="shared" si="13"/>
        <v>-9.99999999997669E-2</v>
      </c>
      <c r="V14" s="44">
        <f t="shared" si="14"/>
        <v>-0.60000000000037801</v>
      </c>
      <c r="W14" s="45">
        <f t="shared" si="15"/>
        <v>9.99999999997669E-2</v>
      </c>
      <c r="X14" s="29">
        <v>12.108000000000001</v>
      </c>
      <c r="Y14" s="43">
        <f t="shared" si="16"/>
        <v>-0.19999999999953399</v>
      </c>
      <c r="Z14" s="44">
        <f t="shared" si="17"/>
        <v>-1.59999999999982</v>
      </c>
      <c r="AA14" s="45">
        <f t="shared" si="18"/>
        <v>-0.19999999999953399</v>
      </c>
      <c r="AB14" s="49">
        <v>9.0337999999999994</v>
      </c>
      <c r="AC14" s="43">
        <f t="shared" si="19"/>
        <v>-0.30000000000107702</v>
      </c>
      <c r="AD14" s="44">
        <f t="shared" si="20"/>
        <v>-2.0000000000006701</v>
      </c>
      <c r="AE14" s="45">
        <f t="shared" si="21"/>
        <v>-0.30000000000107702</v>
      </c>
      <c r="AF14" s="50">
        <v>80344</v>
      </c>
      <c r="AG14" s="58">
        <f t="shared" si="22"/>
        <v>31</v>
      </c>
      <c r="AH14" s="59"/>
      <c r="AI14" s="60"/>
      <c r="AJ14"/>
      <c r="AK14"/>
      <c r="AL14"/>
      <c r="AM14"/>
    </row>
    <row r="15" spans="1:48">
      <c r="A15" s="21">
        <v>44829</v>
      </c>
      <c r="B15" s="22">
        <v>791.80629999999996</v>
      </c>
      <c r="C15" s="27">
        <v>5.6756000000000002</v>
      </c>
      <c r="D15" s="23">
        <f t="shared" si="0"/>
        <v>797.4819</v>
      </c>
      <c r="E15" s="24">
        <f t="shared" si="1"/>
        <v>-0.59999999996307496</v>
      </c>
      <c r="F15" s="25">
        <f t="shared" si="2"/>
        <v>-1.8000000000029099</v>
      </c>
      <c r="G15" s="26">
        <f t="shared" si="3"/>
        <v>-0.59999999996307496</v>
      </c>
      <c r="H15" s="6">
        <v>6.4501999999999997</v>
      </c>
      <c r="I15" s="35">
        <f t="shared" si="4"/>
        <v>798.25649999999996</v>
      </c>
      <c r="J15" s="24">
        <f t="shared" si="5"/>
        <v>0.199999999949796</v>
      </c>
      <c r="K15" s="25">
        <f t="shared" si="6"/>
        <v>-1.8999999999778101</v>
      </c>
      <c r="L15" s="26">
        <f t="shared" si="7"/>
        <v>0.199999999949796</v>
      </c>
      <c r="M15" s="6">
        <v>5.8295000000000003</v>
      </c>
      <c r="N15" s="35">
        <f t="shared" si="8"/>
        <v>797.63580000000002</v>
      </c>
      <c r="O15" s="24">
        <f t="shared" si="9"/>
        <v>-0.199999999949796</v>
      </c>
      <c r="P15" s="25">
        <f t="shared" si="10"/>
        <v>-2.1999999999024999</v>
      </c>
      <c r="Q15" s="26">
        <f t="shared" si="11"/>
        <v>-0.199999999949796</v>
      </c>
      <c r="R15" s="41"/>
      <c r="S15" s="21">
        <f t="shared" si="12"/>
        <v>44829</v>
      </c>
      <c r="T15" s="42">
        <v>8.9082000000000008</v>
      </c>
      <c r="U15" s="43">
        <f t="shared" si="13"/>
        <v>-0.29999999999930099</v>
      </c>
      <c r="V15" s="44">
        <f t="shared" si="14"/>
        <v>-0.89999999999967895</v>
      </c>
      <c r="W15" s="45">
        <f t="shared" si="15"/>
        <v>0.29999999999930099</v>
      </c>
      <c r="X15" s="29">
        <v>12.1083</v>
      </c>
      <c r="Y15" s="43">
        <f t="shared" si="16"/>
        <v>0.29999999999930099</v>
      </c>
      <c r="Z15" s="44">
        <f t="shared" si="17"/>
        <v>-1.3000000000005201</v>
      </c>
      <c r="AA15" s="45">
        <f t="shared" si="18"/>
        <v>0.29999999999930099</v>
      </c>
      <c r="AB15" s="49">
        <v>9.0335000000000001</v>
      </c>
      <c r="AC15" s="43">
        <f t="shared" si="19"/>
        <v>-0.29999999999930099</v>
      </c>
      <c r="AD15" s="44">
        <f t="shared" si="20"/>
        <v>-2.2999999999999701</v>
      </c>
      <c r="AE15" s="45">
        <f t="shared" si="21"/>
        <v>-0.29999999999930099</v>
      </c>
      <c r="AF15" s="50">
        <v>80347</v>
      </c>
      <c r="AG15" s="58">
        <f t="shared" si="22"/>
        <v>34</v>
      </c>
      <c r="AH15" s="61"/>
      <c r="AI15" s="60"/>
      <c r="AJ15"/>
      <c r="AK15"/>
      <c r="AL15"/>
      <c r="AM15"/>
    </row>
    <row r="16" spans="1:48">
      <c r="A16" s="21">
        <v>44830</v>
      </c>
      <c r="B16" s="22">
        <v>791.80629999999996</v>
      </c>
      <c r="C16" s="27">
        <v>5.6753999999999998</v>
      </c>
      <c r="D16" s="23">
        <f t="shared" si="0"/>
        <v>797.48170000000005</v>
      </c>
      <c r="E16" s="24">
        <f t="shared" si="1"/>
        <v>-0.20000000006348301</v>
      </c>
      <c r="F16" s="25">
        <f t="shared" si="2"/>
        <v>-2.00000000006639</v>
      </c>
      <c r="G16" s="26">
        <f t="shared" si="3"/>
        <v>-0.20000000006348301</v>
      </c>
      <c r="H16" s="6">
        <v>6.4493999999999998</v>
      </c>
      <c r="I16" s="35">
        <f t="shared" si="4"/>
        <v>798.25570000000005</v>
      </c>
      <c r="J16" s="24">
        <f t="shared" si="5"/>
        <v>-0.80000000002655702</v>
      </c>
      <c r="K16" s="25">
        <f t="shared" si="6"/>
        <v>-2.70000000000437</v>
      </c>
      <c r="L16" s="26">
        <f t="shared" si="7"/>
        <v>-0.80000000002655702</v>
      </c>
      <c r="M16" s="6">
        <v>5.8295000000000003</v>
      </c>
      <c r="N16" s="35">
        <f t="shared" si="8"/>
        <v>797.63580000000002</v>
      </c>
      <c r="O16" s="24">
        <f t="shared" si="9"/>
        <v>0</v>
      </c>
      <c r="P16" s="25">
        <f t="shared" si="10"/>
        <v>-2.1999999999024999</v>
      </c>
      <c r="Q16" s="26">
        <f t="shared" si="11"/>
        <v>0</v>
      </c>
      <c r="R16" s="41"/>
      <c r="S16" s="21">
        <f t="shared" si="12"/>
        <v>44830</v>
      </c>
      <c r="T16" s="42">
        <v>8.9079999999999995</v>
      </c>
      <c r="U16" s="43">
        <f t="shared" si="13"/>
        <v>-0.20000000000130999</v>
      </c>
      <c r="V16" s="44">
        <f t="shared" si="14"/>
        <v>-1.10000000000099</v>
      </c>
      <c r="W16" s="45">
        <f t="shared" si="15"/>
        <v>0.20000000000130999</v>
      </c>
      <c r="X16" s="29">
        <v>12.1076</v>
      </c>
      <c r="Y16" s="43">
        <f t="shared" si="16"/>
        <v>-0.70000000000014495</v>
      </c>
      <c r="Z16" s="44">
        <f t="shared" si="17"/>
        <v>-2.0000000000006701</v>
      </c>
      <c r="AA16" s="45">
        <f t="shared" si="18"/>
        <v>-0.70000000000014495</v>
      </c>
      <c r="AB16" s="49">
        <v>9.0335000000000001</v>
      </c>
      <c r="AC16" s="43">
        <f t="shared" si="19"/>
        <v>0</v>
      </c>
      <c r="AD16" s="44">
        <f t="shared" si="20"/>
        <v>-2.2999999999999701</v>
      </c>
      <c r="AE16" s="45">
        <f t="shared" si="21"/>
        <v>0</v>
      </c>
      <c r="AF16" s="50">
        <v>80350</v>
      </c>
      <c r="AG16" s="58">
        <f t="shared" si="22"/>
        <v>37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44831</v>
      </c>
      <c r="B17" s="22">
        <v>791.80629999999996</v>
      </c>
      <c r="C17" s="27">
        <v>5.6752000000000002</v>
      </c>
      <c r="D17" s="23">
        <f t="shared" si="0"/>
        <v>797.48149999999998</v>
      </c>
      <c r="E17" s="24">
        <f t="shared" si="1"/>
        <v>-0.199999999949796</v>
      </c>
      <c r="F17" s="25">
        <f t="shared" si="2"/>
        <v>-2.2000000000161899</v>
      </c>
      <c r="G17" s="26">
        <f t="shared" si="3"/>
        <v>-0.199999999949796</v>
      </c>
      <c r="H17" s="6">
        <v>6.4490999999999996</v>
      </c>
      <c r="I17" s="35">
        <f t="shared" si="4"/>
        <v>798.25540000000001</v>
      </c>
      <c r="J17" s="24">
        <f t="shared" si="5"/>
        <v>-0.29999999992469401</v>
      </c>
      <c r="K17" s="25">
        <f t="shared" si="6"/>
        <v>-2.9999999999290599</v>
      </c>
      <c r="L17" s="26">
        <f t="shared" si="7"/>
        <v>-0.29999999992469401</v>
      </c>
      <c r="M17" s="6">
        <v>5.8291000000000004</v>
      </c>
      <c r="N17" s="35">
        <f t="shared" si="8"/>
        <v>797.6354</v>
      </c>
      <c r="O17" s="24">
        <f t="shared" si="9"/>
        <v>-0.40000000001327901</v>
      </c>
      <c r="P17" s="25">
        <f t="shared" si="10"/>
        <v>-2.5999999999157799</v>
      </c>
      <c r="Q17" s="26">
        <f t="shared" si="11"/>
        <v>-0.40000000001327901</v>
      </c>
      <c r="R17" s="41"/>
      <c r="S17" s="21">
        <f t="shared" si="12"/>
        <v>44831</v>
      </c>
      <c r="T17" s="42">
        <v>8.9077999999999999</v>
      </c>
      <c r="U17" s="43">
        <f t="shared" si="13"/>
        <v>-0.19999999999953399</v>
      </c>
      <c r="V17" s="44">
        <f t="shared" si="14"/>
        <v>-1.3000000000005201</v>
      </c>
      <c r="W17" s="45">
        <f t="shared" si="15"/>
        <v>0.19999999999953399</v>
      </c>
      <c r="X17" s="29">
        <v>12.1074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9.0329000000000104</v>
      </c>
      <c r="AC17" s="43">
        <f t="shared" si="19"/>
        <v>-0.59999999998971998</v>
      </c>
      <c r="AD17" s="44">
        <f t="shared" si="20"/>
        <v>-2.8999999999896899</v>
      </c>
      <c r="AE17" s="45">
        <f t="shared" si="21"/>
        <v>-0.59999999998971998</v>
      </c>
      <c r="AF17" s="50">
        <v>80353</v>
      </c>
      <c r="AG17" s="58">
        <f t="shared" si="22"/>
        <v>40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44832</v>
      </c>
      <c r="B18" s="22">
        <v>791.80629999999996</v>
      </c>
      <c r="C18" s="27">
        <v>5.6749999999999998</v>
      </c>
      <c r="D18" s="23">
        <f t="shared" si="0"/>
        <v>797.48130000000003</v>
      </c>
      <c r="E18" s="24">
        <f t="shared" si="1"/>
        <v>-0.20000000006348301</v>
      </c>
      <c r="F18" s="25">
        <f t="shared" si="2"/>
        <v>-2.40000000007967</v>
      </c>
      <c r="G18" s="26">
        <f t="shared" si="3"/>
        <v>-0.20000000006348301</v>
      </c>
      <c r="H18" s="6">
        <v>6.4493</v>
      </c>
      <c r="I18" s="35">
        <f t="shared" si="4"/>
        <v>798.25559999999996</v>
      </c>
      <c r="J18" s="24">
        <f t="shared" si="5"/>
        <v>0.199999999949796</v>
      </c>
      <c r="K18" s="25">
        <f t="shared" si="6"/>
        <v>-2.79999999997926</v>
      </c>
      <c r="L18" s="26">
        <f t="shared" si="7"/>
        <v>0.199999999949796</v>
      </c>
      <c r="M18" s="6">
        <v>5.8289</v>
      </c>
      <c r="N18" s="35">
        <f t="shared" si="8"/>
        <v>797.63520000000005</v>
      </c>
      <c r="O18" s="24">
        <f t="shared" si="9"/>
        <v>-0.20000000006348301</v>
      </c>
      <c r="P18" s="25">
        <f t="shared" si="10"/>
        <v>-2.79999999997926</v>
      </c>
      <c r="Q18" s="26">
        <f t="shared" si="11"/>
        <v>-0.20000000006348301</v>
      </c>
      <c r="R18" s="41"/>
      <c r="S18" s="21">
        <f t="shared" si="12"/>
        <v>44832</v>
      </c>
      <c r="T18" s="42">
        <v>8.9077999999999999</v>
      </c>
      <c r="U18" s="43">
        <f t="shared" si="13"/>
        <v>0</v>
      </c>
      <c r="V18" s="44">
        <f t="shared" si="14"/>
        <v>-1.3000000000005201</v>
      </c>
      <c r="W18" s="45">
        <f t="shared" si="15"/>
        <v>0</v>
      </c>
      <c r="X18" s="29">
        <v>12.1075</v>
      </c>
      <c r="Y18" s="43">
        <f t="shared" si="16"/>
        <v>9.99999999997669E-2</v>
      </c>
      <c r="Z18" s="44">
        <f t="shared" si="17"/>
        <v>-2.10000000000043</v>
      </c>
      <c r="AA18" s="45">
        <f t="shared" si="18"/>
        <v>9.99999999997669E-2</v>
      </c>
      <c r="AB18" s="49">
        <v>9.0326000000000093</v>
      </c>
      <c r="AC18" s="43">
        <f t="shared" si="19"/>
        <v>-0.30000000000107702</v>
      </c>
      <c r="AD18" s="44">
        <f t="shared" si="20"/>
        <v>-3.1999999999907698</v>
      </c>
      <c r="AE18" s="45">
        <f t="shared" si="21"/>
        <v>-0.30000000000107702</v>
      </c>
      <c r="AF18" s="50">
        <v>80356</v>
      </c>
      <c r="AG18" s="58">
        <f t="shared" si="22"/>
        <v>43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44833</v>
      </c>
      <c r="B19" s="22">
        <v>791.80629999999996</v>
      </c>
      <c r="C19" s="27">
        <v>5.6750999999999996</v>
      </c>
      <c r="D19" s="23">
        <f t="shared" si="0"/>
        <v>797.48140000000001</v>
      </c>
      <c r="E19" s="24">
        <f t="shared" si="1"/>
        <v>0.10000000008858501</v>
      </c>
      <c r="F19" s="25">
        <f t="shared" si="2"/>
        <v>-2.2999999999910901</v>
      </c>
      <c r="G19" s="26">
        <f t="shared" si="3"/>
        <v>0.10000000008858501</v>
      </c>
      <c r="H19" s="6">
        <v>6.4485000000000001</v>
      </c>
      <c r="I19" s="35">
        <f t="shared" si="4"/>
        <v>798.25480000000005</v>
      </c>
      <c r="J19" s="24">
        <f t="shared" si="5"/>
        <v>-0.80000000002655702</v>
      </c>
      <c r="K19" s="25">
        <f t="shared" si="6"/>
        <v>-3.6000000000058199</v>
      </c>
      <c r="L19" s="26">
        <f t="shared" si="7"/>
        <v>-0.80000000002655702</v>
      </c>
      <c r="M19" s="6">
        <v>5.8287000000000004</v>
      </c>
      <c r="N19" s="35">
        <f t="shared" si="8"/>
        <v>797.63499999999999</v>
      </c>
      <c r="O19" s="24">
        <f t="shared" si="9"/>
        <v>-0.199999999949796</v>
      </c>
      <c r="P19" s="25">
        <f t="shared" si="10"/>
        <v>-2.9999999999290599</v>
      </c>
      <c r="Q19" s="26">
        <f t="shared" si="11"/>
        <v>-0.199999999949796</v>
      </c>
      <c r="R19" s="41"/>
      <c r="S19" s="21">
        <f t="shared" si="12"/>
        <v>44833</v>
      </c>
      <c r="T19" s="42">
        <v>8.9074000000000009</v>
      </c>
      <c r="U19" s="43">
        <f t="shared" si="13"/>
        <v>-0.39999999999906799</v>
      </c>
      <c r="V19" s="44">
        <f t="shared" si="14"/>
        <v>-1.6999999999995901</v>
      </c>
      <c r="W19" s="45">
        <f t="shared" si="15"/>
        <v>0.39999999999906799</v>
      </c>
      <c r="X19" s="29">
        <v>12.106999999999999</v>
      </c>
      <c r="Y19" s="43">
        <f t="shared" si="16"/>
        <v>-0.50000000000061096</v>
      </c>
      <c r="Z19" s="44">
        <f t="shared" si="17"/>
        <v>-2.6000000000010499</v>
      </c>
      <c r="AA19" s="45">
        <f t="shared" si="18"/>
        <v>-0.50000000000061096</v>
      </c>
      <c r="AB19" s="49">
        <v>9.03230000000001</v>
      </c>
      <c r="AC19" s="43">
        <f t="shared" si="19"/>
        <v>-0.29999999999930099</v>
      </c>
      <c r="AD19" s="44">
        <f t="shared" si="20"/>
        <v>-3.4999999999900702</v>
      </c>
      <c r="AE19" s="45">
        <f t="shared" si="21"/>
        <v>-0.29999999999930099</v>
      </c>
      <c r="AF19" s="50">
        <v>80359</v>
      </c>
      <c r="AG19" s="58">
        <f t="shared" si="22"/>
        <v>46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44834</v>
      </c>
      <c r="B20" s="22">
        <v>791.80629999999996</v>
      </c>
      <c r="C20" s="27">
        <v>5.6745999999999999</v>
      </c>
      <c r="D20" s="23">
        <f t="shared" si="0"/>
        <v>797.48090000000002</v>
      </c>
      <c r="E20" s="24">
        <f t="shared" si="1"/>
        <v>-0.49999999998817701</v>
      </c>
      <c r="F20" s="25">
        <f t="shared" si="2"/>
        <v>-2.79999999997926</v>
      </c>
      <c r="G20" s="26">
        <f t="shared" si="3"/>
        <v>-0.49999999998817701</v>
      </c>
      <c r="H20" s="6">
        <v>6.4481999999999999</v>
      </c>
      <c r="I20" s="35">
        <f t="shared" si="4"/>
        <v>798.25450000000001</v>
      </c>
      <c r="J20" s="24">
        <f t="shared" si="5"/>
        <v>-0.29999999992469401</v>
      </c>
      <c r="K20" s="25">
        <f t="shared" si="6"/>
        <v>-3.8999999999305102</v>
      </c>
      <c r="L20" s="26">
        <f t="shared" si="7"/>
        <v>-0.29999999992469401</v>
      </c>
      <c r="M20" s="6">
        <v>5.8284000000000002</v>
      </c>
      <c r="N20" s="35">
        <f t="shared" si="8"/>
        <v>797.63469999999995</v>
      </c>
      <c r="O20" s="24">
        <f t="shared" si="9"/>
        <v>-0.30000000003838101</v>
      </c>
      <c r="P20" s="25">
        <f t="shared" si="10"/>
        <v>-3.2999999999674401</v>
      </c>
      <c r="Q20" s="26">
        <f t="shared" si="11"/>
        <v>-0.30000000003838101</v>
      </c>
      <c r="R20" s="41"/>
      <c r="S20" s="21">
        <f t="shared" si="12"/>
        <v>44834</v>
      </c>
      <c r="T20" s="42">
        <v>8.9071999999999996</v>
      </c>
      <c r="U20" s="43">
        <f t="shared" si="13"/>
        <v>-0.20000000000130999</v>
      </c>
      <c r="V20" s="44">
        <f t="shared" si="14"/>
        <v>-1.9000000000009001</v>
      </c>
      <c r="W20" s="45">
        <f t="shared" si="15"/>
        <v>0.20000000000130999</v>
      </c>
      <c r="X20" s="29">
        <v>12.1068</v>
      </c>
      <c r="Y20" s="43">
        <f t="shared" si="16"/>
        <v>-0.19999999999953399</v>
      </c>
      <c r="Z20" s="44">
        <f t="shared" si="17"/>
        <v>-2.8000000000005798</v>
      </c>
      <c r="AA20" s="45">
        <f t="shared" si="18"/>
        <v>-0.19999999999953399</v>
      </c>
      <c r="AB20" s="49">
        <v>9.0324000000000009</v>
      </c>
      <c r="AC20" s="43">
        <f t="shared" si="19"/>
        <v>9.9999999990885199E-2</v>
      </c>
      <c r="AD20" s="44">
        <f t="shared" si="20"/>
        <v>-3.3999999999991801</v>
      </c>
      <c r="AE20" s="45">
        <f t="shared" si="21"/>
        <v>9.9999999990885199E-2</v>
      </c>
      <c r="AF20" s="50">
        <v>80362</v>
      </c>
      <c r="AG20" s="58">
        <f t="shared" si="22"/>
        <v>49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44836</v>
      </c>
      <c r="B21" s="22">
        <v>791.80629999999996</v>
      </c>
      <c r="C21" s="27">
        <v>5.6744000000000003</v>
      </c>
      <c r="D21" s="23">
        <f t="shared" ref="D21:D28" si="23">C21+B21</f>
        <v>797.48069999999996</v>
      </c>
      <c r="E21" s="24">
        <f t="shared" ref="E21:E25" si="24">(D21-D20)*1000</f>
        <v>-0.20000000006348301</v>
      </c>
      <c r="F21" s="25">
        <f t="shared" ref="F21:F25" si="25">F20+E21</f>
        <v>-3.0000000000427498</v>
      </c>
      <c r="G21" s="26">
        <f t="shared" ref="G21:G25" si="26">E21/(A21-A20)</f>
        <v>-0.100000000031741</v>
      </c>
      <c r="H21" s="6">
        <v>6.4478999999999997</v>
      </c>
      <c r="I21" s="35">
        <f t="shared" ref="I21:I28" si="27">H21+B21</f>
        <v>798.25419999999997</v>
      </c>
      <c r="J21" s="24">
        <f t="shared" ref="J21:J25" si="28">(I21-I20)*1000</f>
        <v>-0.30000000003838101</v>
      </c>
      <c r="K21" s="25">
        <f t="shared" ref="K21:K25" si="29">K20+J21</f>
        <v>-4.1999999999688997</v>
      </c>
      <c r="L21" s="26">
        <f t="shared" ref="L21:L25" si="30">J21/(A21-A20)</f>
        <v>-0.15000000001919001</v>
      </c>
      <c r="M21" s="6">
        <v>5.8282999999999996</v>
      </c>
      <c r="N21" s="35">
        <f t="shared" ref="N21:N28" si="31">M21+B21</f>
        <v>797.63459999999998</v>
      </c>
      <c r="O21" s="24">
        <f t="shared" ref="O21:O25" si="32">(N21-N20)*1000</f>
        <v>-9.9999999974897905E-2</v>
      </c>
      <c r="P21" s="25">
        <f t="shared" ref="P21:P25" si="33">P20+O21</f>
        <v>-3.3999999999423398</v>
      </c>
      <c r="Q21" s="26">
        <f t="shared" ref="Q21:Q25" si="34">O21/(A21-A20)</f>
        <v>-4.9999999987449001E-2</v>
      </c>
      <c r="R21" s="41"/>
      <c r="S21" s="21">
        <f t="shared" si="12"/>
        <v>44836</v>
      </c>
      <c r="T21" s="42">
        <v>8.9071999999999996</v>
      </c>
      <c r="U21" s="43">
        <f t="shared" si="13"/>
        <v>0</v>
      </c>
      <c r="V21" s="44">
        <f t="shared" si="14"/>
        <v>-1.9000000000009001</v>
      </c>
      <c r="W21" s="45">
        <f t="shared" si="15"/>
        <v>0</v>
      </c>
      <c r="X21" s="29">
        <v>12.1066</v>
      </c>
      <c r="Y21" s="43">
        <f t="shared" si="16"/>
        <v>-0.19999999999953399</v>
      </c>
      <c r="Z21" s="44">
        <f t="shared" si="17"/>
        <v>-3.0000000000001101</v>
      </c>
      <c r="AA21" s="45">
        <f t="shared" si="18"/>
        <v>-9.99999999997669E-2</v>
      </c>
      <c r="AB21" s="49">
        <v>9.0317000000000007</v>
      </c>
      <c r="AC21" s="43">
        <f t="shared" si="19"/>
        <v>-0.70000000000014495</v>
      </c>
      <c r="AD21" s="44">
        <f t="shared" si="20"/>
        <v>-4.09999999999933</v>
      </c>
      <c r="AE21" s="45">
        <f t="shared" si="21"/>
        <v>-0.35000000000007198</v>
      </c>
      <c r="AF21" s="50">
        <v>80365</v>
      </c>
      <c r="AG21" s="58">
        <f t="shared" si="22"/>
        <v>52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44838</v>
      </c>
      <c r="B22" s="22">
        <v>791.80629999999996</v>
      </c>
      <c r="C22" s="27">
        <v>5.6741999999999901</v>
      </c>
      <c r="D22" s="23">
        <f t="shared" si="23"/>
        <v>797.48050000000001</v>
      </c>
      <c r="E22" s="24">
        <f t="shared" si="24"/>
        <v>-0.199999999949796</v>
      </c>
      <c r="F22" s="25">
        <f t="shared" si="25"/>
        <v>-3.1999999999925399</v>
      </c>
      <c r="G22" s="26">
        <f t="shared" si="26"/>
        <v>-9.9999999974897905E-2</v>
      </c>
      <c r="H22" s="6">
        <v>6.4480000000000004</v>
      </c>
      <c r="I22" s="35">
        <f t="shared" si="27"/>
        <v>798.25429999999994</v>
      </c>
      <c r="J22" s="24">
        <f t="shared" si="28"/>
        <v>9.9999999974897905E-2</v>
      </c>
      <c r="K22" s="25">
        <f t="shared" si="29"/>
        <v>-4.099999999994</v>
      </c>
      <c r="L22" s="26">
        <f t="shared" si="30"/>
        <v>4.9999999987449001E-2</v>
      </c>
      <c r="M22" s="6">
        <v>5.8280999999999903</v>
      </c>
      <c r="N22" s="35">
        <f t="shared" si="31"/>
        <v>797.63440000000003</v>
      </c>
      <c r="O22" s="24">
        <f t="shared" si="32"/>
        <v>-0.20000000006348301</v>
      </c>
      <c r="P22" s="25">
        <f t="shared" si="33"/>
        <v>-3.6000000000058199</v>
      </c>
      <c r="Q22" s="26">
        <f t="shared" si="34"/>
        <v>-0.100000000031741</v>
      </c>
      <c r="R22" s="41"/>
      <c r="S22" s="21">
        <f t="shared" si="12"/>
        <v>44838</v>
      </c>
      <c r="T22" s="42">
        <v>8.9068000000000005</v>
      </c>
      <c r="U22" s="43">
        <f t="shared" si="13"/>
        <v>-0.39999999999906799</v>
      </c>
      <c r="V22" s="44">
        <f t="shared" si="14"/>
        <v>-2.2999999999999701</v>
      </c>
      <c r="W22" s="45">
        <f t="shared" si="15"/>
        <v>0.19999999999953399</v>
      </c>
      <c r="X22" s="29">
        <v>12.1065</v>
      </c>
      <c r="Y22" s="43">
        <f t="shared" si="16"/>
        <v>-9.99999999997669E-2</v>
      </c>
      <c r="Z22" s="44">
        <f t="shared" si="17"/>
        <v>-3.0999999999998802</v>
      </c>
      <c r="AA22" s="45">
        <f t="shared" si="18"/>
        <v>-4.9999999999883499E-2</v>
      </c>
      <c r="AB22" s="49">
        <v>9.0313999999999997</v>
      </c>
      <c r="AC22" s="43">
        <f t="shared" si="19"/>
        <v>-0.30000000000107702</v>
      </c>
      <c r="AD22" s="44">
        <f t="shared" si="20"/>
        <v>-4.4000000000004</v>
      </c>
      <c r="AE22" s="45">
        <f t="shared" si="21"/>
        <v>-0.15000000000053901</v>
      </c>
      <c r="AF22" s="50">
        <v>80368</v>
      </c>
      <c r="AG22" s="58">
        <f t="shared" si="22"/>
        <v>55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44840</v>
      </c>
      <c r="B23" s="22">
        <v>791.80629999999996</v>
      </c>
      <c r="C23" s="27">
        <v>5.6742999999999997</v>
      </c>
      <c r="D23" s="23">
        <f t="shared" si="23"/>
        <v>797.48059999999998</v>
      </c>
      <c r="E23" s="24">
        <f t="shared" si="24"/>
        <v>9.9999999974897905E-2</v>
      </c>
      <c r="F23" s="25">
        <f t="shared" si="25"/>
        <v>-3.1000000000176402</v>
      </c>
      <c r="G23" s="26">
        <f t="shared" si="26"/>
        <v>4.9999999987449001E-2</v>
      </c>
      <c r="H23" s="6">
        <v>6.4473000000000003</v>
      </c>
      <c r="I23" s="35">
        <f t="shared" si="27"/>
        <v>798.25360000000001</v>
      </c>
      <c r="J23" s="24">
        <f t="shared" si="28"/>
        <v>-0.69999999993797202</v>
      </c>
      <c r="K23" s="25">
        <f t="shared" si="29"/>
        <v>-4.7999999999319698</v>
      </c>
      <c r="L23" s="26">
        <f t="shared" si="30"/>
        <v>-0.34999999996898601</v>
      </c>
      <c r="M23" s="6">
        <v>5.8278999999999899</v>
      </c>
      <c r="N23" s="35">
        <f t="shared" si="31"/>
        <v>797.63419999999996</v>
      </c>
      <c r="O23" s="24">
        <f t="shared" si="32"/>
        <v>-0.199999999949796</v>
      </c>
      <c r="P23" s="25">
        <f t="shared" si="33"/>
        <v>-3.7999999999556202</v>
      </c>
      <c r="Q23" s="26">
        <f t="shared" si="34"/>
        <v>-9.9999999974897905E-2</v>
      </c>
      <c r="R23" s="41"/>
      <c r="S23" s="21">
        <f t="shared" si="12"/>
        <v>44840</v>
      </c>
      <c r="T23" s="42">
        <v>8.907</v>
      </c>
      <c r="U23" s="43">
        <f t="shared" si="13"/>
        <v>0.19999999999953399</v>
      </c>
      <c r="V23" s="44">
        <f t="shared" si="14"/>
        <v>-2.10000000000043</v>
      </c>
      <c r="W23" s="45">
        <f t="shared" si="15"/>
        <v>-9.99999999997669E-2</v>
      </c>
      <c r="X23" s="29">
        <v>12.106199999999999</v>
      </c>
      <c r="Y23" s="43">
        <f t="shared" si="16"/>
        <v>-0.30000000000107702</v>
      </c>
      <c r="Z23" s="44">
        <f t="shared" si="17"/>
        <v>-3.40000000000096</v>
      </c>
      <c r="AA23" s="45">
        <f t="shared" si="18"/>
        <v>-0.15000000000053901</v>
      </c>
      <c r="AB23" s="49">
        <v>9.0311000000000003</v>
      </c>
      <c r="AC23" s="43">
        <f t="shared" si="19"/>
        <v>-0.29999999999930099</v>
      </c>
      <c r="AD23" s="44">
        <f t="shared" si="20"/>
        <v>-4.6999999999997</v>
      </c>
      <c r="AE23" s="45">
        <f t="shared" si="21"/>
        <v>-0.14999999999965</v>
      </c>
      <c r="AF23" s="50">
        <v>80371</v>
      </c>
      <c r="AG23" s="58">
        <f t="shared" si="22"/>
        <v>58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44842</v>
      </c>
      <c r="B24" s="22">
        <v>791.80629999999996</v>
      </c>
      <c r="C24" s="27">
        <v>5.6738</v>
      </c>
      <c r="D24" s="23">
        <f t="shared" si="23"/>
        <v>797.48009999999999</v>
      </c>
      <c r="E24" s="24">
        <f t="shared" si="24"/>
        <v>-0.49999999998817701</v>
      </c>
      <c r="F24" s="25">
        <f t="shared" si="25"/>
        <v>-3.6000000000058199</v>
      </c>
      <c r="G24" s="26">
        <f t="shared" si="26"/>
        <v>-0.24999999999408801</v>
      </c>
      <c r="H24" s="6">
        <v>6.4470000000000001</v>
      </c>
      <c r="I24" s="35">
        <f t="shared" si="27"/>
        <v>798.25329999999997</v>
      </c>
      <c r="J24" s="24">
        <f t="shared" si="28"/>
        <v>-0.30000000003838101</v>
      </c>
      <c r="K24" s="25">
        <f t="shared" si="29"/>
        <v>-5.0999999999703496</v>
      </c>
      <c r="L24" s="26">
        <f t="shared" si="30"/>
        <v>-0.15000000001919001</v>
      </c>
      <c r="M24" s="6">
        <v>5.8276999999999903</v>
      </c>
      <c r="N24" s="35">
        <f t="shared" si="31"/>
        <v>797.63400000000001</v>
      </c>
      <c r="O24" s="24">
        <f t="shared" si="32"/>
        <v>-0.20000000006348301</v>
      </c>
      <c r="P24" s="25">
        <f t="shared" si="33"/>
        <v>-4.0000000000191003</v>
      </c>
      <c r="Q24" s="26">
        <f t="shared" si="34"/>
        <v>-0.100000000031741</v>
      </c>
      <c r="R24" s="41"/>
      <c r="S24" s="21">
        <f t="shared" si="12"/>
        <v>44842</v>
      </c>
      <c r="T24" s="42">
        <v>8.9063999999999997</v>
      </c>
      <c r="U24" s="43">
        <f t="shared" si="13"/>
        <v>-0.60000000000037801</v>
      </c>
      <c r="V24" s="44">
        <f t="shared" si="14"/>
        <v>-2.7000000000008102</v>
      </c>
      <c r="W24" s="45">
        <f t="shared" si="15"/>
        <v>0.300000000000189</v>
      </c>
      <c r="X24" s="29">
        <v>12.106</v>
      </c>
      <c r="Y24" s="43">
        <f t="shared" si="16"/>
        <v>-0.19999999999953399</v>
      </c>
      <c r="Z24" s="44">
        <f t="shared" si="17"/>
        <v>-3.6000000000004899</v>
      </c>
      <c r="AA24" s="45">
        <f t="shared" si="18"/>
        <v>-9.99999999997669E-2</v>
      </c>
      <c r="AB24" s="49">
        <v>9.0312000000000001</v>
      </c>
      <c r="AC24" s="43">
        <f t="shared" si="19"/>
        <v>9.99999999997669E-2</v>
      </c>
      <c r="AD24" s="44">
        <f t="shared" si="20"/>
        <v>-4.5999999999999401</v>
      </c>
      <c r="AE24" s="45">
        <f t="shared" si="21"/>
        <v>4.9999999999883499E-2</v>
      </c>
      <c r="AF24" s="50">
        <v>80374</v>
      </c>
      <c r="AG24" s="58">
        <f t="shared" si="22"/>
        <v>61</v>
      </c>
      <c r="AH24" s="59"/>
      <c r="AI24" s="60"/>
      <c r="AJ24" s="52"/>
      <c r="AK24" s="52"/>
      <c r="AL24" s="52"/>
      <c r="AM24" s="52"/>
    </row>
    <row r="25" spans="1:48">
      <c r="A25" s="21">
        <v>44844</v>
      </c>
      <c r="B25" s="22">
        <v>791.80629999999996</v>
      </c>
      <c r="C25" s="27">
        <v>5.6736000000000004</v>
      </c>
      <c r="D25" s="23">
        <f t="shared" si="23"/>
        <v>797.47990000000004</v>
      </c>
      <c r="E25" s="24">
        <f t="shared" si="24"/>
        <v>-0.20000000006348301</v>
      </c>
      <c r="F25" s="25">
        <f t="shared" si="25"/>
        <v>-3.8000000000692999</v>
      </c>
      <c r="G25" s="26">
        <f t="shared" si="26"/>
        <v>-0.100000000031741</v>
      </c>
      <c r="H25" s="6">
        <v>6.4467999999999996</v>
      </c>
      <c r="I25" s="35">
        <f t="shared" si="27"/>
        <v>798.25310000000002</v>
      </c>
      <c r="J25" s="24">
        <f t="shared" si="28"/>
        <v>-0.199999999949796</v>
      </c>
      <c r="K25" s="25">
        <f t="shared" si="29"/>
        <v>-5.2999999999201499</v>
      </c>
      <c r="L25" s="26">
        <f t="shared" si="30"/>
        <v>-9.9999999974897905E-2</v>
      </c>
      <c r="M25" s="6">
        <v>5.8277999999999999</v>
      </c>
      <c r="N25" s="35">
        <f t="shared" si="31"/>
        <v>797.63409999999999</v>
      </c>
      <c r="O25" s="24">
        <f t="shared" si="32"/>
        <v>0.10000000008858501</v>
      </c>
      <c r="P25" s="25">
        <f t="shared" si="33"/>
        <v>-3.8999999999305102</v>
      </c>
      <c r="Q25" s="26">
        <f t="shared" si="34"/>
        <v>5.0000000044292399E-2</v>
      </c>
      <c r="R25" s="41"/>
      <c r="S25" s="21">
        <f t="shared" si="12"/>
        <v>44844</v>
      </c>
      <c r="T25" s="42">
        <v>8.9062000000000001</v>
      </c>
      <c r="U25" s="43">
        <f t="shared" si="13"/>
        <v>-0.19999999999953399</v>
      </c>
      <c r="V25" s="44">
        <f t="shared" si="14"/>
        <v>-2.9000000000003499</v>
      </c>
      <c r="W25" s="45">
        <f t="shared" si="15"/>
        <v>9.99999999997669E-2</v>
      </c>
      <c r="X25" s="29">
        <v>12.1058</v>
      </c>
      <c r="Y25" s="43">
        <f t="shared" si="16"/>
        <v>-0.19999999999953399</v>
      </c>
      <c r="Z25" s="44">
        <f t="shared" si="17"/>
        <v>-3.80000000000003</v>
      </c>
      <c r="AA25" s="45">
        <f t="shared" si="18"/>
        <v>-9.99999999997669E-2</v>
      </c>
      <c r="AB25" s="49">
        <v>9.0310000000000006</v>
      </c>
      <c r="AC25" s="43">
        <f t="shared" si="19"/>
        <v>-0.19999999999953399</v>
      </c>
      <c r="AD25" s="44">
        <f t="shared" si="20"/>
        <v>-4.7999999999994696</v>
      </c>
      <c r="AE25" s="45">
        <f t="shared" si="21"/>
        <v>-9.99999999997669E-2</v>
      </c>
      <c r="AF25" s="50">
        <v>80377</v>
      </c>
      <c r="AG25" s="58">
        <f t="shared" si="22"/>
        <v>64</v>
      </c>
      <c r="AH25" s="61"/>
      <c r="AI25" s="60"/>
      <c r="AJ25" s="52"/>
      <c r="AK25" s="52"/>
      <c r="AL25" s="52"/>
      <c r="AM25" s="52"/>
    </row>
    <row r="26" spans="1:48">
      <c r="A26" s="21">
        <v>44846</v>
      </c>
      <c r="B26" s="22">
        <v>791.80629999999996</v>
      </c>
      <c r="C26" s="27">
        <v>5.6734</v>
      </c>
      <c r="D26" s="23">
        <f t="shared" si="23"/>
        <v>797.47969999999998</v>
      </c>
      <c r="E26" s="24">
        <f t="shared" ref="E26:E28" si="35">(D26-D25)*1000</f>
        <v>-0.199999999949796</v>
      </c>
      <c r="F26" s="25">
        <f t="shared" ref="F26:F28" si="36">F25+E26</f>
        <v>-4.0000000000191003</v>
      </c>
      <c r="G26" s="26">
        <f t="shared" ref="G26:G28" si="37">E26/(A26-A25)</f>
        <v>-9.9999999974897905E-2</v>
      </c>
      <c r="H26" s="6">
        <v>6.4469000000000003</v>
      </c>
      <c r="I26" s="35">
        <f t="shared" si="27"/>
        <v>798.25319999999999</v>
      </c>
      <c r="J26" s="24">
        <f t="shared" ref="J26:J28" si="38">(I26-I25)*1000</f>
        <v>9.9999999974897905E-2</v>
      </c>
      <c r="K26" s="25">
        <f t="shared" ref="K26:K28" si="39">K25+J26</f>
        <v>-5.1999999999452502</v>
      </c>
      <c r="L26" s="26">
        <f t="shared" ref="L26:L28" si="40">J26/(A26-A25)</f>
        <v>4.9999999987449001E-2</v>
      </c>
      <c r="M26" s="6">
        <v>5.8278999999999996</v>
      </c>
      <c r="N26" s="35">
        <f t="shared" si="31"/>
        <v>797.63419999999996</v>
      </c>
      <c r="O26" s="24">
        <f t="shared" ref="O26:O28" si="41">(N26-N25)*1000</f>
        <v>9.9999999974897905E-2</v>
      </c>
      <c r="P26" s="25">
        <f t="shared" ref="P26:P28" si="42">P25+O26</f>
        <v>-3.7999999999556202</v>
      </c>
      <c r="Q26" s="26">
        <f t="shared" ref="Q26:Q28" si="43">O26/(A26-A25)</f>
        <v>4.9999999987449001E-2</v>
      </c>
      <c r="R26" s="41"/>
      <c r="S26" s="21">
        <f t="shared" si="12"/>
        <v>44846</v>
      </c>
      <c r="T26" s="42">
        <v>8.9062999999999999</v>
      </c>
      <c r="U26" s="43">
        <f t="shared" ref="U26:U28" si="44">(T26-T25)*1000</f>
        <v>9.99999999997669E-2</v>
      </c>
      <c r="V26" s="44">
        <f t="shared" ref="V26:V28" si="45">V25+U26</f>
        <v>-2.8000000000005798</v>
      </c>
      <c r="W26" s="45">
        <f t="shared" ref="W26:W28" si="46">U26/(S25-S26)</f>
        <v>-4.9999999999883499E-2</v>
      </c>
      <c r="X26" s="29">
        <v>12.105700000000001</v>
      </c>
      <c r="Y26" s="43">
        <f t="shared" ref="Y26:Y28" si="47">(X26-X25)*1000</f>
        <v>-9.99999999997669E-2</v>
      </c>
      <c r="Z26" s="44">
        <f t="shared" ref="Z26:Z28" si="48">Z25+Y26</f>
        <v>-3.8999999999997899</v>
      </c>
      <c r="AA26" s="45">
        <f t="shared" ref="AA26:AA28" si="49">Y26/(S26-S25)</f>
        <v>-4.9999999999883499E-2</v>
      </c>
      <c r="AB26" s="49">
        <v>9.0313999999999997</v>
      </c>
      <c r="AC26" s="43">
        <f t="shared" ref="AC26:AC28" si="50">(AB26-AB25)*1000</f>
        <v>0.39999999999906799</v>
      </c>
      <c r="AD26" s="44">
        <f t="shared" ref="AD26:AD28" si="51">AD25+AC26</f>
        <v>-4.4000000000004</v>
      </c>
      <c r="AE26" s="45">
        <f t="shared" ref="AE26:AE28" si="52">AC26/(S26-S25)</f>
        <v>0.19999999999953399</v>
      </c>
      <c r="AF26" s="50">
        <v>80380</v>
      </c>
      <c r="AG26" s="58">
        <f t="shared" si="22"/>
        <v>67</v>
      </c>
      <c r="AH26" s="61"/>
      <c r="AI26" s="60"/>
      <c r="AJ26" s="52"/>
      <c r="AK26" s="52"/>
      <c r="AL26" s="52"/>
      <c r="AM26" s="52"/>
    </row>
    <row r="27" spans="1:48">
      <c r="A27" s="21">
        <v>44848</v>
      </c>
      <c r="B27" s="22">
        <v>791.80629999999996</v>
      </c>
      <c r="C27" s="27">
        <v>5.6734999999999998</v>
      </c>
      <c r="D27" s="23">
        <f t="shared" si="23"/>
        <v>797.47979999999995</v>
      </c>
      <c r="E27" s="24">
        <f t="shared" si="35"/>
        <v>9.9999999974897905E-2</v>
      </c>
      <c r="F27" s="25">
        <f t="shared" si="36"/>
        <v>-3.9000000000442001</v>
      </c>
      <c r="G27" s="26">
        <f t="shared" si="37"/>
        <v>4.9999999987449001E-2</v>
      </c>
      <c r="H27" s="6">
        <v>6.4473000000000003</v>
      </c>
      <c r="I27" s="35">
        <f t="shared" si="27"/>
        <v>798.25360000000001</v>
      </c>
      <c r="J27" s="24">
        <f t="shared" si="38"/>
        <v>0.40000000001327901</v>
      </c>
      <c r="K27" s="25">
        <f t="shared" si="39"/>
        <v>-4.7999999999319698</v>
      </c>
      <c r="L27" s="26">
        <f t="shared" si="40"/>
        <v>0.20000000000663901</v>
      </c>
      <c r="M27" s="6">
        <v>5.8276000000000003</v>
      </c>
      <c r="N27" s="35">
        <f t="shared" si="31"/>
        <v>797.63390000000004</v>
      </c>
      <c r="O27" s="24">
        <f t="shared" si="41"/>
        <v>-0.30000000003838101</v>
      </c>
      <c r="P27" s="25">
        <f t="shared" si="42"/>
        <v>-4.099999999994</v>
      </c>
      <c r="Q27" s="26">
        <f t="shared" si="43"/>
        <v>-0.15000000001919001</v>
      </c>
      <c r="R27" s="41"/>
      <c r="S27" s="21">
        <f t="shared" si="12"/>
        <v>44848</v>
      </c>
      <c r="T27" s="42">
        <v>8.9061000000000003</v>
      </c>
      <c r="U27" s="43">
        <f t="shared" si="44"/>
        <v>-0.19999999999953399</v>
      </c>
      <c r="V27" s="44">
        <f t="shared" si="45"/>
        <v>-3.0000000000001101</v>
      </c>
      <c r="W27" s="45">
        <f t="shared" si="46"/>
        <v>9.99999999997669E-2</v>
      </c>
      <c r="X27" s="29">
        <v>12.105499999999999</v>
      </c>
      <c r="Y27" s="43">
        <f t="shared" si="47"/>
        <v>-0.20000000000130999</v>
      </c>
      <c r="Z27" s="44">
        <f t="shared" si="48"/>
        <v>-4.1000000000011001</v>
      </c>
      <c r="AA27" s="45">
        <f t="shared" si="49"/>
        <v>-0.100000000000655</v>
      </c>
      <c r="AB27" s="49">
        <v>9.0312999999999999</v>
      </c>
      <c r="AC27" s="43">
        <f t="shared" si="50"/>
        <v>-9.99999999997669E-2</v>
      </c>
      <c r="AD27" s="44">
        <f t="shared" si="51"/>
        <v>-4.5000000000001696</v>
      </c>
      <c r="AE27" s="45">
        <f t="shared" si="52"/>
        <v>-4.9999999999883499E-2</v>
      </c>
      <c r="AF27" s="50">
        <v>80380</v>
      </c>
      <c r="AG27" s="58">
        <f t="shared" si="22"/>
        <v>67</v>
      </c>
      <c r="AH27" s="61"/>
      <c r="AI27" s="60"/>
      <c r="AJ27" s="52"/>
      <c r="AK27" s="52"/>
      <c r="AL27" s="52"/>
      <c r="AM27" s="52"/>
    </row>
    <row r="28" spans="1:48">
      <c r="A28" s="21">
        <v>44850</v>
      </c>
      <c r="B28" s="22">
        <v>791.80629999999996</v>
      </c>
      <c r="C28" s="27">
        <v>5.6737000000000002</v>
      </c>
      <c r="D28" s="23">
        <f t="shared" si="23"/>
        <v>797.48</v>
      </c>
      <c r="E28" s="24">
        <f t="shared" si="35"/>
        <v>0.20000000006348301</v>
      </c>
      <c r="F28" s="25">
        <f t="shared" si="36"/>
        <v>-3.69999999998072</v>
      </c>
      <c r="G28" s="26">
        <f t="shared" si="37"/>
        <v>0.100000000031741</v>
      </c>
      <c r="H28" s="6">
        <v>6.4471999999999996</v>
      </c>
      <c r="I28" s="35">
        <f t="shared" si="27"/>
        <v>798.25350000000003</v>
      </c>
      <c r="J28" s="24">
        <f t="shared" si="38"/>
        <v>-0.10000000008858501</v>
      </c>
      <c r="K28" s="25">
        <f t="shared" si="39"/>
        <v>-4.9000000000205501</v>
      </c>
      <c r="L28" s="26">
        <f t="shared" si="40"/>
        <v>-5.0000000044292399E-2</v>
      </c>
      <c r="M28" s="6">
        <v>5.8274999999999997</v>
      </c>
      <c r="N28" s="35">
        <f t="shared" si="31"/>
        <v>797.63379999999995</v>
      </c>
      <c r="O28" s="24">
        <f t="shared" si="41"/>
        <v>-9.9999999974897905E-2</v>
      </c>
      <c r="P28" s="25">
        <f t="shared" si="42"/>
        <v>-4.1999999999688997</v>
      </c>
      <c r="Q28" s="26">
        <f t="shared" si="43"/>
        <v>-4.9999999987449001E-2</v>
      </c>
      <c r="R28" s="41"/>
      <c r="S28" s="21">
        <f t="shared" si="12"/>
        <v>44850</v>
      </c>
      <c r="T28" s="42">
        <v>8.9060000000000006</v>
      </c>
      <c r="U28" s="43">
        <f t="shared" si="44"/>
        <v>-9.99999999997669E-2</v>
      </c>
      <c r="V28" s="44">
        <f t="shared" si="45"/>
        <v>-3.0999999999998802</v>
      </c>
      <c r="W28" s="45">
        <f t="shared" si="46"/>
        <v>4.9999999999883499E-2</v>
      </c>
      <c r="X28" s="29">
        <v>12.1059</v>
      </c>
      <c r="Y28" s="43">
        <f t="shared" si="47"/>
        <v>0.40000000000084401</v>
      </c>
      <c r="Z28" s="44">
        <f t="shared" si="48"/>
        <v>-3.70000000000026</v>
      </c>
      <c r="AA28" s="45">
        <f t="shared" si="49"/>
        <v>0.20000000000042201</v>
      </c>
      <c r="AB28" s="49">
        <v>9.0311000000000003</v>
      </c>
      <c r="AC28" s="43">
        <f t="shared" si="50"/>
        <v>-0.19999999999953399</v>
      </c>
      <c r="AD28" s="44">
        <f t="shared" si="51"/>
        <v>-4.6999999999997</v>
      </c>
      <c r="AE28" s="45">
        <f t="shared" si="52"/>
        <v>-9.99999999997669E-2</v>
      </c>
      <c r="AF28" s="50">
        <v>80380</v>
      </c>
      <c r="AG28" s="58">
        <f t="shared" si="22"/>
        <v>67</v>
      </c>
      <c r="AH28" s="59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65">
        <f>F28-F10</f>
        <v>-2.8999999999541601</v>
      </c>
      <c r="F29" s="33">
        <f>K28-K10</f>
        <v>-4.0000000000191003</v>
      </c>
      <c r="G29" s="33">
        <f>P28-P10</f>
        <v>-3.0000000000427498</v>
      </c>
      <c r="H29" s="33">
        <f>F28</f>
        <v>-3.69999999998072</v>
      </c>
      <c r="I29" s="66">
        <f>K28</f>
        <v>-4.9000000000205501</v>
      </c>
      <c r="J29" s="65">
        <f>P28</f>
        <v>-4.1999999999688997</v>
      </c>
      <c r="K29" s="33">
        <f>(K28-K10)/26</f>
        <v>-0.15384615384688799</v>
      </c>
      <c r="L29" s="26"/>
      <c r="N29" s="35"/>
      <c r="O29" s="24"/>
      <c r="P29" s="25"/>
      <c r="Q29" s="26"/>
      <c r="R29" s="41"/>
      <c r="S29" s="21"/>
      <c r="T29" s="42"/>
      <c r="U29" s="65">
        <f>V28-V10</f>
        <v>-3.1999999999996498</v>
      </c>
      <c r="V29" s="33">
        <f>Z28-Z10</f>
        <v>-2.9000000000003499</v>
      </c>
      <c r="W29" s="33">
        <f>AD28-AD10</f>
        <v>-3.8999999999997899</v>
      </c>
      <c r="X29" s="33">
        <f>V28</f>
        <v>-3.0999999999998802</v>
      </c>
      <c r="Y29" s="65">
        <f>Z28</f>
        <v>-3.70000000000026</v>
      </c>
      <c r="Z29" s="33">
        <f>AD28</f>
        <v>-4.6999999999997</v>
      </c>
      <c r="AA29" s="33">
        <f>(Z28-Z10)/26</f>
        <v>-0.11153846153847501</v>
      </c>
      <c r="AB29" s="49"/>
      <c r="AC29" s="43"/>
      <c r="AD29" s="44"/>
      <c r="AE29" s="45"/>
      <c r="AF29" s="50"/>
      <c r="AG29" s="58"/>
      <c r="AH29" s="61"/>
      <c r="AI29" s="60"/>
      <c r="AJ29"/>
      <c r="AK29"/>
      <c r="AL29"/>
      <c r="AM29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>
        <v>3</v>
      </c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S28" workbookViewId="0">
      <selection activeCell="U30" sqref="U30:AA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44826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44826</v>
      </c>
      <c r="B6" s="22">
        <v>791.80629999999996</v>
      </c>
      <c r="C6" s="27">
        <v>5.6379000000000001</v>
      </c>
      <c r="D6" s="23">
        <f t="shared" ref="D6:D29" si="0">C6+B6</f>
        <v>797.44420000000002</v>
      </c>
      <c r="E6" s="24">
        <v>0</v>
      </c>
      <c r="F6" s="25">
        <v>0</v>
      </c>
      <c r="G6" s="26">
        <v>0</v>
      </c>
      <c r="H6" s="6">
        <v>7.2530000000000001</v>
      </c>
      <c r="I6" s="35">
        <f t="shared" ref="I6:I29" si="1">H6+B6</f>
        <v>799.05930000000001</v>
      </c>
      <c r="J6" s="24">
        <v>0</v>
      </c>
      <c r="K6" s="25">
        <v>0</v>
      </c>
      <c r="L6" s="26">
        <v>0</v>
      </c>
      <c r="M6" s="6">
        <v>6.22</v>
      </c>
      <c r="N6" s="35">
        <f t="shared" ref="N6:N29" si="2">M6+B6</f>
        <v>798.02629999999999</v>
      </c>
      <c r="O6" s="24">
        <v>0</v>
      </c>
      <c r="P6" s="25">
        <v>0</v>
      </c>
      <c r="Q6" s="26">
        <v>0</v>
      </c>
      <c r="R6" s="41"/>
      <c r="S6" s="21">
        <f t="shared" ref="S6:S29" si="3">A6</f>
        <v>44826</v>
      </c>
      <c r="T6" s="42">
        <v>8.7167999999999992</v>
      </c>
      <c r="U6" s="43">
        <v>0</v>
      </c>
      <c r="V6" s="44">
        <v>0</v>
      </c>
      <c r="W6" s="45">
        <f>U6/(S6-S11)</f>
        <v>0</v>
      </c>
      <c r="X6" s="29">
        <v>12.1096</v>
      </c>
      <c r="Y6" s="43">
        <v>0</v>
      </c>
      <c r="Z6" s="44">
        <v>0</v>
      </c>
      <c r="AA6" s="45">
        <v>0</v>
      </c>
      <c r="AB6" s="49">
        <v>9.0175000000000001</v>
      </c>
      <c r="AC6" s="43">
        <v>0</v>
      </c>
      <c r="AD6" s="44">
        <v>0</v>
      </c>
      <c r="AE6" s="45">
        <v>0</v>
      </c>
      <c r="AF6" s="50">
        <v>80355</v>
      </c>
      <c r="AG6" s="58">
        <f>AF6-80347</f>
        <v>8</v>
      </c>
      <c r="AH6" s="59"/>
      <c r="AI6" s="60"/>
      <c r="AJ6" s="61"/>
      <c r="AK6" s="62"/>
      <c r="AL6" s="52"/>
      <c r="AM6" s="52"/>
    </row>
    <row r="7" spans="1:48">
      <c r="A7" s="21">
        <v>44827</v>
      </c>
      <c r="B7" s="22">
        <v>791.80629999999996</v>
      </c>
      <c r="C7" s="27">
        <v>5.6376999999999997</v>
      </c>
      <c r="D7" s="23">
        <f t="shared" si="0"/>
        <v>797.44399999999996</v>
      </c>
      <c r="E7" s="24">
        <f t="shared" ref="E7:E29" si="4">(D7-D6)*1000</f>
        <v>-0.199999999949796</v>
      </c>
      <c r="F7" s="25">
        <f t="shared" ref="F7:F29" si="5">F6+E7</f>
        <v>-0.199999999949796</v>
      </c>
      <c r="G7" s="26">
        <f t="shared" ref="G7:G29" si="6">E7/(A7-A6)</f>
        <v>-0.199999999949796</v>
      </c>
      <c r="H7" s="6">
        <v>7.2523</v>
      </c>
      <c r="I7" s="35">
        <f t="shared" si="1"/>
        <v>799.05859999999996</v>
      </c>
      <c r="J7" s="24">
        <f t="shared" ref="J7:J29" si="7">(I7-I6)*1000</f>
        <v>-0.70000000005165897</v>
      </c>
      <c r="K7" s="25">
        <f t="shared" ref="K7:K29" si="8">K6+J7</f>
        <v>-0.70000000005165897</v>
      </c>
      <c r="L7" s="26">
        <f t="shared" ref="L7:L29" si="9">J7/(A7-A6)</f>
        <v>-0.70000000005165897</v>
      </c>
      <c r="M7" s="6">
        <v>6.2198000000000002</v>
      </c>
      <c r="N7" s="35">
        <f t="shared" si="2"/>
        <v>798.02610000000004</v>
      </c>
      <c r="O7" s="24">
        <f t="shared" ref="O7:O29" si="10">(N7-N6)*1000</f>
        <v>-0.20000000006348301</v>
      </c>
      <c r="P7" s="25">
        <f t="shared" ref="P7:P29" si="11">P6+O7</f>
        <v>-0.20000000006348301</v>
      </c>
      <c r="Q7" s="26">
        <f t="shared" ref="Q7:Q29" si="12">O7/(A7-A6)</f>
        <v>-0.20000000006348301</v>
      </c>
      <c r="R7" s="41"/>
      <c r="S7" s="21">
        <f t="shared" si="3"/>
        <v>44827</v>
      </c>
      <c r="T7" s="42">
        <v>8.7164999999999999</v>
      </c>
      <c r="U7" s="43">
        <f t="shared" ref="U7:U29" si="13">(T7-T6)*1000</f>
        <v>-0.29999999999930099</v>
      </c>
      <c r="V7" s="44">
        <f t="shared" ref="V7:V29" si="14">V6+U7</f>
        <v>-0.29999999999930099</v>
      </c>
      <c r="W7" s="45">
        <f t="shared" ref="W7:W29" si="15">U7/(S6-S7)</f>
        <v>0.29999999999930099</v>
      </c>
      <c r="X7" s="29">
        <v>12.109400000000001</v>
      </c>
      <c r="Y7" s="43">
        <f t="shared" ref="Y7:Y29" si="16">(X7-X6)*1000</f>
        <v>-0.19999999999953399</v>
      </c>
      <c r="Z7" s="44">
        <f t="shared" ref="Z7:Z29" si="17">Z6+Y7</f>
        <v>-0.19999999999953399</v>
      </c>
      <c r="AA7" s="45">
        <f t="shared" ref="AA7:AA29" si="18">Y7/(S7-S6)</f>
        <v>-0.19999999999953399</v>
      </c>
      <c r="AB7" s="49">
        <v>9.0176999999999996</v>
      </c>
      <c r="AC7" s="43">
        <f t="shared" ref="AC7:AC29" si="19">(AB7-AB6)*1000</f>
        <v>0.19999999999953399</v>
      </c>
      <c r="AD7" s="44">
        <f t="shared" ref="AD7:AD29" si="20">AD6+AC7</f>
        <v>0.19999999999953399</v>
      </c>
      <c r="AE7" s="45">
        <f t="shared" ref="AE7:AE29" si="21">AC7/(S7-S6)</f>
        <v>0.19999999999953399</v>
      </c>
      <c r="AF7" s="50">
        <v>80358</v>
      </c>
      <c r="AG7" s="58">
        <f t="shared" ref="AG7:AG29" si="22">AF7-80347</f>
        <v>11</v>
      </c>
      <c r="AH7" s="59"/>
      <c r="AI7" s="60"/>
      <c r="AJ7" s="61"/>
      <c r="AK7" s="62"/>
      <c r="AL7" s="52"/>
      <c r="AM7" s="52"/>
    </row>
    <row r="8" spans="1:48">
      <c r="A8" s="21">
        <v>44828</v>
      </c>
      <c r="B8" s="22">
        <v>791.80629999999996</v>
      </c>
      <c r="C8" s="27">
        <v>5.6375000000000002</v>
      </c>
      <c r="D8" s="23">
        <f t="shared" si="0"/>
        <v>797.44380000000001</v>
      </c>
      <c r="E8" s="24">
        <f t="shared" si="4"/>
        <v>-0.199999999949796</v>
      </c>
      <c r="F8" s="25">
        <f t="shared" si="5"/>
        <v>-0.39999999989959201</v>
      </c>
      <c r="G8" s="26">
        <f t="shared" si="6"/>
        <v>-0.199999999949796</v>
      </c>
      <c r="H8" s="6">
        <v>7.2521000000000004</v>
      </c>
      <c r="I8" s="35">
        <f t="shared" si="1"/>
        <v>799.05840000000001</v>
      </c>
      <c r="J8" s="24">
        <f t="shared" si="7"/>
        <v>-0.199999999949796</v>
      </c>
      <c r="K8" s="25">
        <f t="shared" si="8"/>
        <v>-0.90000000000145497</v>
      </c>
      <c r="L8" s="26">
        <f t="shared" si="9"/>
        <v>-0.199999999949796</v>
      </c>
      <c r="M8" s="6">
        <v>6.2195</v>
      </c>
      <c r="N8" s="35">
        <f t="shared" si="2"/>
        <v>798.0258</v>
      </c>
      <c r="O8" s="24">
        <f t="shared" si="10"/>
        <v>-0.29999999992469401</v>
      </c>
      <c r="P8" s="25">
        <f t="shared" si="11"/>
        <v>-0.49999999998817701</v>
      </c>
      <c r="Q8" s="26">
        <f t="shared" si="12"/>
        <v>-0.29999999992469401</v>
      </c>
      <c r="R8" s="41"/>
      <c r="S8" s="21">
        <f t="shared" si="3"/>
        <v>44828</v>
      </c>
      <c r="T8" s="42">
        <v>8.7163000000000004</v>
      </c>
      <c r="U8" s="43">
        <f t="shared" si="13"/>
        <v>-0.19999999999953399</v>
      </c>
      <c r="V8" s="44">
        <f t="shared" si="14"/>
        <v>-0.49999999999883499</v>
      </c>
      <c r="W8" s="45">
        <f t="shared" si="15"/>
        <v>0.19999999999953399</v>
      </c>
      <c r="X8" s="29">
        <v>12.109500000000001</v>
      </c>
      <c r="Y8" s="43">
        <f t="shared" si="16"/>
        <v>9.99999999997669E-2</v>
      </c>
      <c r="Z8" s="44">
        <f t="shared" si="17"/>
        <v>-9.99999999997669E-2</v>
      </c>
      <c r="AA8" s="45">
        <f t="shared" si="18"/>
        <v>9.99999999997669E-2</v>
      </c>
      <c r="AB8" s="49">
        <v>9.0174000000000003</v>
      </c>
      <c r="AC8" s="43">
        <f t="shared" si="19"/>
        <v>-0.29999999999930099</v>
      </c>
      <c r="AD8" s="44">
        <f t="shared" si="20"/>
        <v>-9.99999999997669E-2</v>
      </c>
      <c r="AE8" s="45">
        <f t="shared" si="21"/>
        <v>-0.29999999999930099</v>
      </c>
      <c r="AF8" s="50">
        <v>80361</v>
      </c>
      <c r="AG8" s="58">
        <f t="shared" si="22"/>
        <v>14</v>
      </c>
      <c r="AH8" s="59"/>
      <c r="AI8" s="60"/>
      <c r="AJ8" s="61"/>
      <c r="AK8" s="62"/>
      <c r="AL8" s="52"/>
      <c r="AM8" s="52"/>
    </row>
    <row r="9" spans="1:48">
      <c r="A9" s="21">
        <v>44829</v>
      </c>
      <c r="B9" s="22">
        <v>791.80629999999996</v>
      </c>
      <c r="C9" s="27">
        <v>5.6372999999999998</v>
      </c>
      <c r="D9" s="23">
        <f t="shared" si="0"/>
        <v>797.44359999999995</v>
      </c>
      <c r="E9" s="24">
        <f t="shared" si="4"/>
        <v>-0.20000000006348301</v>
      </c>
      <c r="F9" s="25">
        <f t="shared" si="5"/>
        <v>-0.59999999996307496</v>
      </c>
      <c r="G9" s="26">
        <f t="shared" si="6"/>
        <v>-0.20000000006348301</v>
      </c>
      <c r="H9" s="6">
        <v>7.2519</v>
      </c>
      <c r="I9" s="35">
        <f t="shared" si="1"/>
        <v>799.05820000000006</v>
      </c>
      <c r="J9" s="24">
        <f t="shared" si="7"/>
        <v>-0.20000000006348301</v>
      </c>
      <c r="K9" s="25">
        <f t="shared" si="8"/>
        <v>-1.1000000000649399</v>
      </c>
      <c r="L9" s="26">
        <f t="shared" si="9"/>
        <v>-0.20000000006348301</v>
      </c>
      <c r="M9" s="6">
        <v>6.2196999999999996</v>
      </c>
      <c r="N9" s="35">
        <f t="shared" si="2"/>
        <v>798.02599999999995</v>
      </c>
      <c r="O9" s="24">
        <f t="shared" si="10"/>
        <v>0.199999999949796</v>
      </c>
      <c r="P9" s="25">
        <f t="shared" si="11"/>
        <v>-0.30000000003838101</v>
      </c>
      <c r="Q9" s="26">
        <f t="shared" si="12"/>
        <v>0.199999999949796</v>
      </c>
      <c r="R9" s="41"/>
      <c r="S9" s="21">
        <f t="shared" si="3"/>
        <v>44829</v>
      </c>
      <c r="T9" s="42">
        <v>8.7162000000000006</v>
      </c>
      <c r="U9" s="43">
        <f t="shared" si="13"/>
        <v>-9.99999999997669E-2</v>
      </c>
      <c r="V9" s="44">
        <f t="shared" si="14"/>
        <v>-0.59999999999860198</v>
      </c>
      <c r="W9" s="45">
        <f t="shared" si="15"/>
        <v>9.99999999997669E-2</v>
      </c>
      <c r="X9" s="29">
        <v>12.109</v>
      </c>
      <c r="Y9" s="43">
        <f t="shared" si="16"/>
        <v>-0.50000000000061096</v>
      </c>
      <c r="Z9" s="44">
        <f t="shared" si="17"/>
        <v>-0.60000000000037801</v>
      </c>
      <c r="AA9" s="45">
        <f t="shared" si="18"/>
        <v>-0.50000000000061096</v>
      </c>
      <c r="AB9" s="49">
        <v>9.0172000000000008</v>
      </c>
      <c r="AC9" s="43">
        <f t="shared" si="19"/>
        <v>-0.19999999999953399</v>
      </c>
      <c r="AD9" s="44">
        <f t="shared" si="20"/>
        <v>-0.29999999999930099</v>
      </c>
      <c r="AE9" s="45">
        <f t="shared" si="21"/>
        <v>-0.19999999999953399</v>
      </c>
      <c r="AF9" s="50">
        <v>80364</v>
      </c>
      <c r="AG9" s="58">
        <f t="shared" si="22"/>
        <v>17</v>
      </c>
      <c r="AH9" s="61"/>
      <c r="AI9" s="60"/>
      <c r="AJ9"/>
      <c r="AK9"/>
      <c r="AL9"/>
      <c r="AM9"/>
    </row>
    <row r="10" spans="1:48">
      <c r="A10" s="21">
        <v>44830</v>
      </c>
      <c r="B10" s="22">
        <v>791.80629999999996</v>
      </c>
      <c r="C10" s="27">
        <v>5.6375000000000002</v>
      </c>
      <c r="D10" s="23">
        <f t="shared" si="0"/>
        <v>797.44380000000001</v>
      </c>
      <c r="E10" s="24">
        <f t="shared" si="4"/>
        <v>0.20000000006348301</v>
      </c>
      <c r="F10" s="25">
        <f t="shared" si="5"/>
        <v>-0.39999999989959201</v>
      </c>
      <c r="G10" s="26">
        <f t="shared" si="6"/>
        <v>0.20000000006348301</v>
      </c>
      <c r="H10" s="6">
        <v>7.2515999999999998</v>
      </c>
      <c r="I10" s="35">
        <f t="shared" si="1"/>
        <v>799.05790000000002</v>
      </c>
      <c r="J10" s="24">
        <f t="shared" si="7"/>
        <v>-0.29999999992469401</v>
      </c>
      <c r="K10" s="25">
        <f t="shared" si="8"/>
        <v>-1.39999999998963</v>
      </c>
      <c r="L10" s="26">
        <f t="shared" si="9"/>
        <v>-0.29999999992469401</v>
      </c>
      <c r="M10" s="6">
        <v>6.2195999999999998</v>
      </c>
      <c r="N10" s="35">
        <f t="shared" si="2"/>
        <v>798.02589999999998</v>
      </c>
      <c r="O10" s="24">
        <f t="shared" si="10"/>
        <v>-9.9999999974897905E-2</v>
      </c>
      <c r="P10" s="25">
        <f t="shared" si="11"/>
        <v>-0.40000000001327901</v>
      </c>
      <c r="Q10" s="26">
        <f t="shared" si="12"/>
        <v>-9.9999999974897905E-2</v>
      </c>
      <c r="R10" s="41"/>
      <c r="S10" s="21">
        <f t="shared" si="3"/>
        <v>44830</v>
      </c>
      <c r="T10" s="42">
        <v>8.7159999999999993</v>
      </c>
      <c r="U10" s="43">
        <f t="shared" si="13"/>
        <v>-0.20000000000130999</v>
      </c>
      <c r="V10" s="44">
        <f t="shared" si="14"/>
        <v>-0.799999999999912</v>
      </c>
      <c r="W10" s="45">
        <f t="shared" si="15"/>
        <v>0.20000000000130999</v>
      </c>
      <c r="X10" s="29">
        <v>12.1088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9.0169999999999995</v>
      </c>
      <c r="AC10" s="43">
        <f t="shared" si="19"/>
        <v>-0.20000000000130999</v>
      </c>
      <c r="AD10" s="44">
        <f t="shared" si="20"/>
        <v>-0.50000000000061096</v>
      </c>
      <c r="AE10" s="45">
        <f t="shared" si="21"/>
        <v>-0.20000000000130999</v>
      </c>
      <c r="AF10" s="50">
        <v>80367</v>
      </c>
      <c r="AG10" s="58">
        <f t="shared" si="22"/>
        <v>20</v>
      </c>
      <c r="AH10" s="59"/>
      <c r="AI10" s="60"/>
      <c r="AJ10" s="61"/>
      <c r="AK10" s="62"/>
      <c r="AL10" s="52"/>
      <c r="AM10" s="52"/>
    </row>
    <row r="11" spans="1:48">
      <c r="A11" s="21">
        <v>44831</v>
      </c>
      <c r="B11" s="22">
        <v>791.80629999999996</v>
      </c>
      <c r="C11" s="27">
        <v>5.6368999999999998</v>
      </c>
      <c r="D11" s="23">
        <f t="shared" si="0"/>
        <v>797.44320000000005</v>
      </c>
      <c r="E11" s="24">
        <f t="shared" si="4"/>
        <v>-0.60000000007676102</v>
      </c>
      <c r="F11" s="25">
        <f t="shared" si="5"/>
        <v>-0.99999999997635303</v>
      </c>
      <c r="G11" s="26">
        <f t="shared" si="6"/>
        <v>-0.60000000007676102</v>
      </c>
      <c r="H11" s="6">
        <v>7.2515000000000001</v>
      </c>
      <c r="I11" s="35">
        <f t="shared" si="1"/>
        <v>799.05780000000004</v>
      </c>
      <c r="J11" s="24">
        <f t="shared" si="7"/>
        <v>-0.10000000008858501</v>
      </c>
      <c r="K11" s="25">
        <f t="shared" si="8"/>
        <v>-1.5000000000782201</v>
      </c>
      <c r="L11" s="26">
        <f t="shared" si="9"/>
        <v>-0.10000000008858501</v>
      </c>
      <c r="M11" s="6">
        <v>6.2194000000000003</v>
      </c>
      <c r="N11" s="35">
        <f t="shared" si="2"/>
        <v>798.02570000000003</v>
      </c>
      <c r="O11" s="24">
        <f t="shared" si="10"/>
        <v>-0.20000000006348301</v>
      </c>
      <c r="P11" s="25">
        <f t="shared" si="11"/>
        <v>-0.60000000007676102</v>
      </c>
      <c r="Q11" s="26">
        <f t="shared" si="12"/>
        <v>-0.20000000006348301</v>
      </c>
      <c r="R11" s="41"/>
      <c r="S11" s="21">
        <f t="shared" si="3"/>
        <v>44831</v>
      </c>
      <c r="T11" s="42">
        <v>8.7157999999999998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12.108599999999999</v>
      </c>
      <c r="Y11" s="43">
        <f t="shared" si="16"/>
        <v>-0.20000000000130999</v>
      </c>
      <c r="Z11" s="44">
        <f t="shared" si="17"/>
        <v>-1.0000000000012199</v>
      </c>
      <c r="AA11" s="45">
        <f t="shared" si="18"/>
        <v>-0.20000000000130999</v>
      </c>
      <c r="AB11" s="49">
        <v>9.0172000000000008</v>
      </c>
      <c r="AC11" s="43">
        <f t="shared" si="19"/>
        <v>0.20000000000130999</v>
      </c>
      <c r="AD11" s="44">
        <f t="shared" si="20"/>
        <v>-0.29999999999930099</v>
      </c>
      <c r="AE11" s="45">
        <f t="shared" si="21"/>
        <v>0.20000000000130999</v>
      </c>
      <c r="AF11" s="50">
        <v>80370</v>
      </c>
      <c r="AG11" s="58">
        <f t="shared" si="22"/>
        <v>23</v>
      </c>
      <c r="AH11" s="61"/>
      <c r="AI11" s="60"/>
      <c r="AJ11"/>
      <c r="AK11"/>
      <c r="AL11"/>
      <c r="AM11"/>
    </row>
    <row r="12" spans="1:48">
      <c r="A12" s="21">
        <v>44832</v>
      </c>
      <c r="B12" s="22">
        <v>791.80629999999996</v>
      </c>
      <c r="C12" s="27">
        <v>5.6367000000000003</v>
      </c>
      <c r="D12" s="23">
        <f t="shared" si="0"/>
        <v>797.44299999999998</v>
      </c>
      <c r="E12" s="24">
        <f t="shared" si="4"/>
        <v>-0.199999999949796</v>
      </c>
      <c r="F12" s="25">
        <f t="shared" si="5"/>
        <v>-1.1999999999261499</v>
      </c>
      <c r="G12" s="26">
        <f t="shared" si="6"/>
        <v>-0.199999999949796</v>
      </c>
      <c r="H12" s="6">
        <v>7.2512999999999996</v>
      </c>
      <c r="I12" s="35">
        <f t="shared" si="1"/>
        <v>799.05759999999998</v>
      </c>
      <c r="J12" s="24">
        <f t="shared" si="7"/>
        <v>-0.199999999949796</v>
      </c>
      <c r="K12" s="25">
        <f t="shared" si="8"/>
        <v>-1.70000000002801</v>
      </c>
      <c r="L12" s="26">
        <f t="shared" si="9"/>
        <v>-0.199999999949796</v>
      </c>
      <c r="M12" s="6">
        <v>6.2191999999999998</v>
      </c>
      <c r="N12" s="35">
        <f t="shared" si="2"/>
        <v>798.02549999999997</v>
      </c>
      <c r="O12" s="24">
        <f t="shared" si="10"/>
        <v>-0.199999999949796</v>
      </c>
      <c r="P12" s="25">
        <f t="shared" si="11"/>
        <v>-0.80000000002655702</v>
      </c>
      <c r="Q12" s="26">
        <f t="shared" si="12"/>
        <v>-0.199999999949796</v>
      </c>
      <c r="R12" s="41"/>
      <c r="S12" s="21">
        <f t="shared" si="3"/>
        <v>44832</v>
      </c>
      <c r="T12" s="42">
        <v>8.7159999999999993</v>
      </c>
      <c r="U12" s="43">
        <f t="shared" si="13"/>
        <v>0.19999999999953399</v>
      </c>
      <c r="V12" s="44">
        <f t="shared" si="14"/>
        <v>-0.799999999999912</v>
      </c>
      <c r="W12" s="45">
        <f t="shared" si="15"/>
        <v>-0.19999999999953399</v>
      </c>
      <c r="X12" s="29">
        <v>12.108499999999999</v>
      </c>
      <c r="Y12" s="43">
        <f t="shared" si="16"/>
        <v>-9.99999999997669E-2</v>
      </c>
      <c r="Z12" s="44">
        <f t="shared" si="17"/>
        <v>-1.10000000000099</v>
      </c>
      <c r="AA12" s="45">
        <f t="shared" si="18"/>
        <v>-9.99999999997669E-2</v>
      </c>
      <c r="AB12" s="49">
        <v>9.0166000000000004</v>
      </c>
      <c r="AC12" s="43">
        <f t="shared" si="19"/>
        <v>-0.60000000000037801</v>
      </c>
      <c r="AD12" s="44">
        <f t="shared" si="20"/>
        <v>-0.89999999999967895</v>
      </c>
      <c r="AE12" s="45">
        <f t="shared" si="21"/>
        <v>-0.60000000000037801</v>
      </c>
      <c r="AF12" s="50">
        <v>80373</v>
      </c>
      <c r="AG12" s="58">
        <f t="shared" si="22"/>
        <v>26</v>
      </c>
      <c r="AH12" s="59"/>
      <c r="AI12" s="60"/>
      <c r="AJ12"/>
      <c r="AK12"/>
      <c r="AL12"/>
      <c r="AM12"/>
    </row>
    <row r="13" spans="1:48">
      <c r="A13" s="21">
        <v>44833</v>
      </c>
      <c r="B13" s="22">
        <v>791.80629999999996</v>
      </c>
      <c r="C13" s="27">
        <v>5.6364999999999998</v>
      </c>
      <c r="D13" s="23">
        <f t="shared" si="0"/>
        <v>797.44280000000003</v>
      </c>
      <c r="E13" s="24">
        <f t="shared" si="4"/>
        <v>-0.20000000006348301</v>
      </c>
      <c r="F13" s="25">
        <f t="shared" si="5"/>
        <v>-1.39999999998963</v>
      </c>
      <c r="G13" s="26">
        <f t="shared" si="6"/>
        <v>-0.20000000006348301</v>
      </c>
      <c r="H13" s="6">
        <v>7.2511999999999999</v>
      </c>
      <c r="I13" s="35">
        <f t="shared" si="1"/>
        <v>799.0575</v>
      </c>
      <c r="J13" s="24">
        <f t="shared" si="7"/>
        <v>-9.9999999974897905E-2</v>
      </c>
      <c r="K13" s="25">
        <f t="shared" si="8"/>
        <v>-1.8000000000029099</v>
      </c>
      <c r="L13" s="26">
        <f t="shared" si="9"/>
        <v>-9.9999999974897905E-2</v>
      </c>
      <c r="M13" s="6">
        <v>6.2192999999999996</v>
      </c>
      <c r="N13" s="35">
        <f t="shared" si="2"/>
        <v>798.02560000000005</v>
      </c>
      <c r="O13" s="24">
        <f t="shared" si="10"/>
        <v>9.9999999974897905E-2</v>
      </c>
      <c r="P13" s="25">
        <f t="shared" si="11"/>
        <v>-0.70000000005165897</v>
      </c>
      <c r="Q13" s="26">
        <f t="shared" si="12"/>
        <v>9.9999999974897905E-2</v>
      </c>
      <c r="R13" s="41"/>
      <c r="S13" s="21">
        <f t="shared" si="3"/>
        <v>44833</v>
      </c>
      <c r="T13" s="42">
        <v>8.7154000000000007</v>
      </c>
      <c r="U13" s="43">
        <f t="shared" si="13"/>
        <v>-0.59999999999860198</v>
      </c>
      <c r="V13" s="44">
        <f t="shared" si="14"/>
        <v>-1.39999999999851</v>
      </c>
      <c r="W13" s="45">
        <f t="shared" si="15"/>
        <v>0.59999999999860198</v>
      </c>
      <c r="X13" s="29">
        <v>12.1082</v>
      </c>
      <c r="Y13" s="43">
        <f t="shared" si="16"/>
        <v>-0.29999999999930099</v>
      </c>
      <c r="Z13" s="44">
        <f t="shared" si="17"/>
        <v>-1.4000000000002899</v>
      </c>
      <c r="AA13" s="45">
        <f t="shared" si="18"/>
        <v>-0.29999999999930099</v>
      </c>
      <c r="AB13" s="49">
        <v>9.0164000000000009</v>
      </c>
      <c r="AC13" s="43">
        <f t="shared" si="19"/>
        <v>-0.19999999999953399</v>
      </c>
      <c r="AD13" s="44">
        <f t="shared" si="20"/>
        <v>-1.0999999999992101</v>
      </c>
      <c r="AE13" s="45">
        <f t="shared" si="21"/>
        <v>-0.19999999999953399</v>
      </c>
      <c r="AF13" s="50">
        <v>80376</v>
      </c>
      <c r="AG13" s="58">
        <f t="shared" si="22"/>
        <v>29</v>
      </c>
      <c r="AH13" s="61"/>
      <c r="AI13" s="60"/>
      <c r="AJ13"/>
      <c r="AK13"/>
      <c r="AL13"/>
      <c r="AM13"/>
    </row>
    <row r="14" spans="1:48">
      <c r="A14" s="21">
        <v>44834</v>
      </c>
      <c r="B14" s="22">
        <v>791.80629999999996</v>
      </c>
      <c r="C14" s="27">
        <v>5.6364000000000001</v>
      </c>
      <c r="D14" s="23">
        <f t="shared" si="0"/>
        <v>797.44269999999995</v>
      </c>
      <c r="E14" s="24">
        <f t="shared" si="4"/>
        <v>-9.9999999974897905E-2</v>
      </c>
      <c r="F14" s="25">
        <f t="shared" si="5"/>
        <v>-1.4999999999645299</v>
      </c>
      <c r="G14" s="26">
        <f t="shared" si="6"/>
        <v>-9.9999999974897905E-2</v>
      </c>
      <c r="H14" s="6">
        <v>7.2508999999999997</v>
      </c>
      <c r="I14" s="35">
        <f t="shared" si="1"/>
        <v>799.05719999999997</v>
      </c>
      <c r="J14" s="24">
        <f t="shared" si="7"/>
        <v>-0.30000000003838101</v>
      </c>
      <c r="K14" s="25">
        <f t="shared" si="8"/>
        <v>-2.1000000000412902</v>
      </c>
      <c r="L14" s="26">
        <f t="shared" si="9"/>
        <v>-0.30000000003838101</v>
      </c>
      <c r="M14" s="6">
        <v>6.2187999999999999</v>
      </c>
      <c r="N14" s="35">
        <f t="shared" si="2"/>
        <v>798.02509999999995</v>
      </c>
      <c r="O14" s="24">
        <f t="shared" si="10"/>
        <v>-0.49999999998817701</v>
      </c>
      <c r="P14" s="25">
        <f t="shared" si="11"/>
        <v>-1.2000000000398401</v>
      </c>
      <c r="Q14" s="26">
        <f t="shared" si="12"/>
        <v>-0.49999999998817701</v>
      </c>
      <c r="R14" s="41"/>
      <c r="S14" s="21">
        <f t="shared" si="3"/>
        <v>44834</v>
      </c>
      <c r="T14" s="42">
        <v>8.7151999999999905</v>
      </c>
      <c r="U14" s="43">
        <f t="shared" si="13"/>
        <v>-0.200000000010192</v>
      </c>
      <c r="V14" s="44">
        <f t="shared" si="14"/>
        <v>-1.60000000000871</v>
      </c>
      <c r="W14" s="45">
        <f t="shared" si="15"/>
        <v>0.200000000010192</v>
      </c>
      <c r="X14" s="29">
        <v>12.108000000000001</v>
      </c>
      <c r="Y14" s="43">
        <f t="shared" si="16"/>
        <v>-0.19999999999953399</v>
      </c>
      <c r="Z14" s="44">
        <f t="shared" si="17"/>
        <v>-1.59999999999982</v>
      </c>
      <c r="AA14" s="45">
        <f t="shared" si="18"/>
        <v>-0.19999999999953399</v>
      </c>
      <c r="AB14" s="49">
        <v>9.0165000000000006</v>
      </c>
      <c r="AC14" s="43">
        <f t="shared" si="19"/>
        <v>9.99999999997669E-2</v>
      </c>
      <c r="AD14" s="44">
        <f t="shared" si="20"/>
        <v>-0.999999999999446</v>
      </c>
      <c r="AE14" s="45">
        <f t="shared" si="21"/>
        <v>9.99999999997669E-2</v>
      </c>
      <c r="AF14" s="50">
        <v>80379</v>
      </c>
      <c r="AG14" s="58">
        <f t="shared" si="22"/>
        <v>32</v>
      </c>
      <c r="AH14" s="59"/>
      <c r="AI14" s="60"/>
      <c r="AJ14"/>
      <c r="AK14"/>
      <c r="AL14"/>
      <c r="AM14"/>
    </row>
    <row r="15" spans="1:48">
      <c r="A15" s="21">
        <v>44835</v>
      </c>
      <c r="B15" s="22">
        <v>791.80629999999996</v>
      </c>
      <c r="C15" s="27">
        <v>5.6360999999999999</v>
      </c>
      <c r="D15" s="23">
        <f t="shared" si="0"/>
        <v>797.44240000000002</v>
      </c>
      <c r="E15" s="24">
        <f t="shared" si="4"/>
        <v>-0.29999999992469401</v>
      </c>
      <c r="F15" s="25">
        <f t="shared" si="5"/>
        <v>-1.79999999988922</v>
      </c>
      <c r="G15" s="26">
        <f t="shared" si="6"/>
        <v>-0.29999999992469401</v>
      </c>
      <c r="H15" s="6">
        <v>7.2507000000000001</v>
      </c>
      <c r="I15" s="35">
        <f t="shared" si="1"/>
        <v>799.05700000000002</v>
      </c>
      <c r="J15" s="24">
        <f t="shared" si="7"/>
        <v>-0.199999999949796</v>
      </c>
      <c r="K15" s="25">
        <f t="shared" si="8"/>
        <v>-2.2999999999910901</v>
      </c>
      <c r="L15" s="26">
        <f t="shared" si="9"/>
        <v>-0.199999999949796</v>
      </c>
      <c r="M15" s="6">
        <v>6.2186000000000003</v>
      </c>
      <c r="N15" s="35">
        <f t="shared" si="2"/>
        <v>798.0249</v>
      </c>
      <c r="O15" s="24">
        <f t="shared" si="10"/>
        <v>-0.199999999949796</v>
      </c>
      <c r="P15" s="25">
        <f t="shared" si="11"/>
        <v>-1.39999999998963</v>
      </c>
      <c r="Q15" s="26">
        <f t="shared" si="12"/>
        <v>-0.199999999949796</v>
      </c>
      <c r="R15" s="41"/>
      <c r="S15" s="21">
        <f t="shared" si="3"/>
        <v>44835</v>
      </c>
      <c r="T15" s="42">
        <v>8.7150999999999996</v>
      </c>
      <c r="U15" s="43">
        <f t="shared" si="13"/>
        <v>-9.9999999990885199E-2</v>
      </c>
      <c r="V15" s="44">
        <f t="shared" si="14"/>
        <v>-1.6999999999995901</v>
      </c>
      <c r="W15" s="45">
        <f t="shared" si="15"/>
        <v>9.9999999990885199E-2</v>
      </c>
      <c r="X15" s="29">
        <v>12.1083</v>
      </c>
      <c r="Y15" s="43">
        <f t="shared" si="16"/>
        <v>0.29999999999930099</v>
      </c>
      <c r="Z15" s="44">
        <f t="shared" si="17"/>
        <v>-1.3000000000005201</v>
      </c>
      <c r="AA15" s="45">
        <f t="shared" si="18"/>
        <v>0.29999999999930099</v>
      </c>
      <c r="AB15" s="49">
        <v>9.016</v>
      </c>
      <c r="AC15" s="43">
        <f t="shared" si="19"/>
        <v>-0.50000000000061096</v>
      </c>
      <c r="AD15" s="44">
        <f t="shared" si="20"/>
        <v>-1.50000000000006</v>
      </c>
      <c r="AE15" s="45">
        <f t="shared" si="21"/>
        <v>-0.50000000000061096</v>
      </c>
      <c r="AF15" s="50">
        <v>80382</v>
      </c>
      <c r="AG15" s="58">
        <f t="shared" si="22"/>
        <v>35</v>
      </c>
      <c r="AH15" s="61"/>
      <c r="AI15" s="60"/>
      <c r="AJ15"/>
      <c r="AK15"/>
      <c r="AL15"/>
      <c r="AM15"/>
    </row>
    <row r="16" spans="1:48">
      <c r="A16" s="21">
        <v>44836</v>
      </c>
      <c r="B16" s="22">
        <v>791.80629999999996</v>
      </c>
      <c r="C16" s="27">
        <v>5.6359000000000004</v>
      </c>
      <c r="D16" s="23">
        <f t="shared" si="0"/>
        <v>797.44219999999996</v>
      </c>
      <c r="E16" s="24">
        <f t="shared" si="4"/>
        <v>-0.20000000006348301</v>
      </c>
      <c r="F16" s="25">
        <f t="shared" si="5"/>
        <v>-1.9999999999527101</v>
      </c>
      <c r="G16" s="26">
        <f t="shared" si="6"/>
        <v>-0.20000000006348301</v>
      </c>
      <c r="H16" s="6">
        <v>7.2507999999999999</v>
      </c>
      <c r="I16" s="35">
        <f t="shared" si="1"/>
        <v>799.05709999999999</v>
      </c>
      <c r="J16" s="24">
        <f t="shared" si="7"/>
        <v>9.9999999974897905E-2</v>
      </c>
      <c r="K16" s="25">
        <f t="shared" si="8"/>
        <v>-2.2000000000161899</v>
      </c>
      <c r="L16" s="26">
        <f t="shared" si="9"/>
        <v>9.9999999974897905E-2</v>
      </c>
      <c r="M16" s="6">
        <v>6.2184999999999997</v>
      </c>
      <c r="N16" s="35">
        <f t="shared" si="2"/>
        <v>798.02480000000003</v>
      </c>
      <c r="O16" s="24">
        <f t="shared" si="10"/>
        <v>-0.10000000008858501</v>
      </c>
      <c r="P16" s="25">
        <f t="shared" si="11"/>
        <v>-1.5000000000782201</v>
      </c>
      <c r="Q16" s="26">
        <f t="shared" si="12"/>
        <v>-0.10000000008858501</v>
      </c>
      <c r="R16" s="41"/>
      <c r="S16" s="21">
        <f t="shared" si="3"/>
        <v>44836</v>
      </c>
      <c r="T16" s="42">
        <v>8.7147999999999897</v>
      </c>
      <c r="U16" s="43">
        <f t="shared" si="13"/>
        <v>-0.30000000000995902</v>
      </c>
      <c r="V16" s="44">
        <f t="shared" si="14"/>
        <v>-2.0000000000095501</v>
      </c>
      <c r="W16" s="45">
        <f t="shared" si="15"/>
        <v>0.30000000000995902</v>
      </c>
      <c r="X16" s="29">
        <v>12.1076</v>
      </c>
      <c r="Y16" s="43">
        <f t="shared" si="16"/>
        <v>-0.70000000000014495</v>
      </c>
      <c r="Z16" s="44">
        <f t="shared" si="17"/>
        <v>-2.0000000000006701</v>
      </c>
      <c r="AA16" s="45">
        <f t="shared" si="18"/>
        <v>-0.70000000000014495</v>
      </c>
      <c r="AB16" s="49">
        <v>9.0158000000000005</v>
      </c>
      <c r="AC16" s="43">
        <f t="shared" si="19"/>
        <v>-0.19999999999953399</v>
      </c>
      <c r="AD16" s="44">
        <f t="shared" si="20"/>
        <v>-1.6999999999995901</v>
      </c>
      <c r="AE16" s="45">
        <f t="shared" si="21"/>
        <v>-0.19999999999953399</v>
      </c>
      <c r="AF16" s="50">
        <v>80385</v>
      </c>
      <c r="AG16" s="58">
        <f t="shared" si="22"/>
        <v>38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44837</v>
      </c>
      <c r="B17" s="22">
        <v>791.80629999999996</v>
      </c>
      <c r="C17" s="27">
        <v>5.6361999999999997</v>
      </c>
      <c r="D17" s="23">
        <f t="shared" si="0"/>
        <v>797.4425</v>
      </c>
      <c r="E17" s="24">
        <f t="shared" si="4"/>
        <v>0.30000000003838101</v>
      </c>
      <c r="F17" s="25">
        <f t="shared" si="5"/>
        <v>-1.69999999991433</v>
      </c>
      <c r="G17" s="26">
        <f t="shared" si="6"/>
        <v>0.30000000003838101</v>
      </c>
      <c r="H17" s="6">
        <v>7.2503000000000002</v>
      </c>
      <c r="I17" s="35">
        <f t="shared" si="1"/>
        <v>799.0566</v>
      </c>
      <c r="J17" s="24">
        <f t="shared" si="7"/>
        <v>-0.49999999998817701</v>
      </c>
      <c r="K17" s="25">
        <f t="shared" si="8"/>
        <v>-2.70000000000437</v>
      </c>
      <c r="L17" s="26">
        <f t="shared" si="9"/>
        <v>-0.49999999998817701</v>
      </c>
      <c r="M17" s="6">
        <v>6.2182000000000004</v>
      </c>
      <c r="N17" s="35">
        <f t="shared" si="2"/>
        <v>798.02449999999999</v>
      </c>
      <c r="O17" s="24">
        <f t="shared" si="10"/>
        <v>-0.29999999992469401</v>
      </c>
      <c r="P17" s="25">
        <f t="shared" si="11"/>
        <v>-1.8000000000029099</v>
      </c>
      <c r="Q17" s="26">
        <f t="shared" si="12"/>
        <v>-0.29999999992469401</v>
      </c>
      <c r="R17" s="41"/>
      <c r="S17" s="21">
        <f t="shared" si="3"/>
        <v>44837</v>
      </c>
      <c r="T17" s="42">
        <v>8.7145999999999901</v>
      </c>
      <c r="U17" s="43">
        <f t="shared" si="13"/>
        <v>-0.19999999999953399</v>
      </c>
      <c r="V17" s="44">
        <f t="shared" si="14"/>
        <v>-2.20000000000908</v>
      </c>
      <c r="W17" s="45">
        <f t="shared" si="15"/>
        <v>0.19999999999953399</v>
      </c>
      <c r="X17" s="29">
        <v>12.1074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9.0155999999999992</v>
      </c>
      <c r="AC17" s="43">
        <f t="shared" si="19"/>
        <v>-0.20000000000130999</v>
      </c>
      <c r="AD17" s="44">
        <f t="shared" si="20"/>
        <v>-1.9000000000009001</v>
      </c>
      <c r="AE17" s="45">
        <f t="shared" si="21"/>
        <v>-0.20000000000130999</v>
      </c>
      <c r="AF17" s="50">
        <v>80388</v>
      </c>
      <c r="AG17" s="58">
        <f t="shared" si="22"/>
        <v>41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44838</v>
      </c>
      <c r="B18" s="22">
        <v>791.80629999999996</v>
      </c>
      <c r="C18" s="27">
        <v>5.6355000000000004</v>
      </c>
      <c r="D18" s="23">
        <f t="shared" si="0"/>
        <v>797.44179999999994</v>
      </c>
      <c r="E18" s="24">
        <f t="shared" si="4"/>
        <v>-0.70000000005165897</v>
      </c>
      <c r="F18" s="25">
        <f t="shared" si="5"/>
        <v>-2.39999999996598</v>
      </c>
      <c r="G18" s="26">
        <f t="shared" si="6"/>
        <v>-0.70000000005165897</v>
      </c>
      <c r="H18" s="6">
        <v>7.2501000000000104</v>
      </c>
      <c r="I18" s="35">
        <f t="shared" si="1"/>
        <v>799.05640000000005</v>
      </c>
      <c r="J18" s="24">
        <f t="shared" si="7"/>
        <v>-0.20000000006348301</v>
      </c>
      <c r="K18" s="25">
        <f t="shared" si="8"/>
        <v>-2.9000000000678501</v>
      </c>
      <c r="L18" s="26">
        <f t="shared" si="9"/>
        <v>-0.20000000006348301</v>
      </c>
      <c r="M18" s="6">
        <v>6.218</v>
      </c>
      <c r="N18" s="35">
        <f t="shared" si="2"/>
        <v>798.02430000000004</v>
      </c>
      <c r="O18" s="24">
        <f t="shared" si="10"/>
        <v>-0.20000000006348301</v>
      </c>
      <c r="P18" s="25">
        <f t="shared" si="11"/>
        <v>-2.00000000006639</v>
      </c>
      <c r="Q18" s="26">
        <f t="shared" si="12"/>
        <v>-0.20000000006348301</v>
      </c>
      <c r="R18" s="41"/>
      <c r="S18" s="21">
        <f t="shared" si="3"/>
        <v>44838</v>
      </c>
      <c r="T18" s="42">
        <v>8.7143999999999906</v>
      </c>
      <c r="U18" s="43">
        <f t="shared" si="13"/>
        <v>-0.19999999999953399</v>
      </c>
      <c r="V18" s="44">
        <f t="shared" si="14"/>
        <v>-2.4000000000086201</v>
      </c>
      <c r="W18" s="45">
        <f t="shared" si="15"/>
        <v>0.19999999999953399</v>
      </c>
      <c r="X18" s="29">
        <v>12.1075</v>
      </c>
      <c r="Y18" s="43">
        <f t="shared" si="16"/>
        <v>9.99999999997669E-2</v>
      </c>
      <c r="Z18" s="44">
        <f t="shared" si="17"/>
        <v>-2.10000000000043</v>
      </c>
      <c r="AA18" s="45">
        <f t="shared" si="18"/>
        <v>9.99999999997669E-2</v>
      </c>
      <c r="AB18" s="49">
        <v>9.0154999999999994</v>
      </c>
      <c r="AC18" s="43">
        <f t="shared" si="19"/>
        <v>-9.99999999997669E-2</v>
      </c>
      <c r="AD18" s="44">
        <f t="shared" si="20"/>
        <v>-2.0000000000006701</v>
      </c>
      <c r="AE18" s="45">
        <f t="shared" si="21"/>
        <v>-9.99999999997669E-2</v>
      </c>
      <c r="AF18" s="50">
        <v>80391</v>
      </c>
      <c r="AG18" s="58">
        <f t="shared" si="22"/>
        <v>44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44839</v>
      </c>
      <c r="B19" s="22">
        <v>791.80629999999996</v>
      </c>
      <c r="C19" s="27">
        <v>5.6352999999999902</v>
      </c>
      <c r="D19" s="23">
        <f t="shared" si="0"/>
        <v>797.44159999999999</v>
      </c>
      <c r="E19" s="24">
        <f t="shared" si="4"/>
        <v>-0.199999999949796</v>
      </c>
      <c r="F19" s="25">
        <f t="shared" si="5"/>
        <v>-2.5999999999157799</v>
      </c>
      <c r="G19" s="26">
        <f t="shared" si="6"/>
        <v>-0.199999999949796</v>
      </c>
      <c r="H19" s="6">
        <v>7.2503000000000002</v>
      </c>
      <c r="I19" s="35">
        <f t="shared" si="1"/>
        <v>799.0566</v>
      </c>
      <c r="J19" s="24">
        <f t="shared" si="7"/>
        <v>0.20000000006348301</v>
      </c>
      <c r="K19" s="25">
        <f t="shared" si="8"/>
        <v>-2.70000000000437</v>
      </c>
      <c r="L19" s="26">
        <f t="shared" si="9"/>
        <v>0.20000000006348301</v>
      </c>
      <c r="M19" s="6">
        <v>6.2178000000000004</v>
      </c>
      <c r="N19" s="35">
        <f t="shared" si="2"/>
        <v>798.02409999999998</v>
      </c>
      <c r="O19" s="24">
        <f t="shared" si="10"/>
        <v>-0.199999999949796</v>
      </c>
      <c r="P19" s="25">
        <f t="shared" si="11"/>
        <v>-2.2000000000161899</v>
      </c>
      <c r="Q19" s="26">
        <f t="shared" si="12"/>
        <v>-0.199999999949796</v>
      </c>
      <c r="R19" s="41"/>
      <c r="S19" s="21">
        <f t="shared" si="3"/>
        <v>44839</v>
      </c>
      <c r="T19" s="42">
        <v>8.7141999999999999</v>
      </c>
      <c r="U19" s="43">
        <f t="shared" si="13"/>
        <v>-0.19999999999065199</v>
      </c>
      <c r="V19" s="44">
        <f t="shared" si="14"/>
        <v>-2.59999999999927</v>
      </c>
      <c r="W19" s="45">
        <f t="shared" si="15"/>
        <v>0.19999999999065199</v>
      </c>
      <c r="X19" s="29">
        <v>12.106999999999999</v>
      </c>
      <c r="Y19" s="43">
        <f t="shared" si="16"/>
        <v>-0.50000000000061096</v>
      </c>
      <c r="Z19" s="44">
        <f t="shared" si="17"/>
        <v>-2.6000000000010499</v>
      </c>
      <c r="AA19" s="45">
        <f t="shared" si="18"/>
        <v>-0.50000000000061096</v>
      </c>
      <c r="AB19" s="49">
        <v>9.0152000000000108</v>
      </c>
      <c r="AC19" s="43">
        <f t="shared" si="19"/>
        <v>-0.29999999998864302</v>
      </c>
      <c r="AD19" s="44">
        <f t="shared" si="20"/>
        <v>-2.2999999999893102</v>
      </c>
      <c r="AE19" s="45">
        <f t="shared" si="21"/>
        <v>-0.29999999998864302</v>
      </c>
      <c r="AF19" s="50">
        <v>80394</v>
      </c>
      <c r="AG19" s="58">
        <f t="shared" si="22"/>
        <v>47</v>
      </c>
      <c r="AH19" s="61"/>
      <c r="AI19" s="60"/>
      <c r="AJ19" s="52"/>
      <c r="AK19" s="52"/>
      <c r="AL19" s="52"/>
      <c r="AM19" s="52"/>
      <c r="AN19" s="63"/>
      <c r="AO19" s="63"/>
      <c r="AP19" s="63"/>
      <c r="AQ19" s="63"/>
      <c r="AR19" s="63"/>
      <c r="AS19" s="63"/>
      <c r="AT19" s="63"/>
      <c r="AU19" s="63"/>
      <c r="AV19" s="63"/>
    </row>
    <row r="20" spans="1:48">
      <c r="A20" s="21">
        <v>44840</v>
      </c>
      <c r="B20" s="22">
        <v>791.80629999999996</v>
      </c>
      <c r="C20" s="27">
        <v>5.6350999999999898</v>
      </c>
      <c r="D20" s="23">
        <f t="shared" si="0"/>
        <v>797.44140000000004</v>
      </c>
      <c r="E20" s="24">
        <f t="shared" si="4"/>
        <v>-0.20000000006348301</v>
      </c>
      <c r="F20" s="25">
        <f t="shared" si="5"/>
        <v>-2.79999999997926</v>
      </c>
      <c r="G20" s="26">
        <f t="shared" si="6"/>
        <v>-0.20000000006348301</v>
      </c>
      <c r="H20" s="6">
        <v>7.2497000000000096</v>
      </c>
      <c r="I20" s="35">
        <f t="shared" si="1"/>
        <v>799.05600000000004</v>
      </c>
      <c r="J20" s="24">
        <f t="shared" si="7"/>
        <v>-0.60000000007676102</v>
      </c>
      <c r="K20" s="25">
        <f t="shared" si="8"/>
        <v>-3.30000000008113</v>
      </c>
      <c r="L20" s="26">
        <f t="shared" si="9"/>
        <v>-0.60000000007676102</v>
      </c>
      <c r="M20" s="6">
        <v>6.2182000000000004</v>
      </c>
      <c r="N20" s="35">
        <f t="shared" si="2"/>
        <v>798.02449999999999</v>
      </c>
      <c r="O20" s="24">
        <f t="shared" si="10"/>
        <v>0.40000000001327901</v>
      </c>
      <c r="P20" s="25">
        <f t="shared" si="11"/>
        <v>-1.8000000000029099</v>
      </c>
      <c r="Q20" s="26">
        <f t="shared" si="12"/>
        <v>0.40000000001327901</v>
      </c>
      <c r="R20" s="41"/>
      <c r="S20" s="21">
        <f t="shared" si="3"/>
        <v>44840</v>
      </c>
      <c r="T20" s="42">
        <v>8.7139999999999898</v>
      </c>
      <c r="U20" s="43">
        <f t="shared" si="13"/>
        <v>-0.200000000010192</v>
      </c>
      <c r="V20" s="44">
        <f t="shared" si="14"/>
        <v>-2.8000000000094598</v>
      </c>
      <c r="W20" s="45">
        <f t="shared" si="15"/>
        <v>0.200000000010192</v>
      </c>
      <c r="X20" s="29">
        <v>12.1068</v>
      </c>
      <c r="Y20" s="43">
        <f t="shared" si="16"/>
        <v>-0.19999999999953399</v>
      </c>
      <c r="Z20" s="44">
        <f t="shared" si="17"/>
        <v>-2.8000000000005798</v>
      </c>
      <c r="AA20" s="45">
        <f t="shared" si="18"/>
        <v>-0.19999999999953399</v>
      </c>
      <c r="AB20" s="49">
        <v>9.0150000000000095</v>
      </c>
      <c r="AC20" s="43">
        <f t="shared" si="19"/>
        <v>-0.20000000000130999</v>
      </c>
      <c r="AD20" s="44">
        <f t="shared" si="20"/>
        <v>-2.4999999999906199</v>
      </c>
      <c r="AE20" s="45">
        <f t="shared" si="21"/>
        <v>-0.20000000000130999</v>
      </c>
      <c r="AF20" s="50">
        <v>80397</v>
      </c>
      <c r="AG20" s="58">
        <f t="shared" si="22"/>
        <v>50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44842</v>
      </c>
      <c r="B21" s="22">
        <v>791.80629999999996</v>
      </c>
      <c r="C21" s="27">
        <v>5.6352000000000002</v>
      </c>
      <c r="D21" s="23">
        <f t="shared" si="0"/>
        <v>797.44150000000002</v>
      </c>
      <c r="E21" s="24">
        <f t="shared" si="4"/>
        <v>0.10000000008858501</v>
      </c>
      <c r="F21" s="25">
        <f t="shared" si="5"/>
        <v>-2.6999999998906801</v>
      </c>
      <c r="G21" s="26">
        <f t="shared" si="6"/>
        <v>5.0000000044292399E-2</v>
      </c>
      <c r="H21" s="6">
        <v>7.24950000000001</v>
      </c>
      <c r="I21" s="35">
        <f t="shared" si="1"/>
        <v>799.05579999999998</v>
      </c>
      <c r="J21" s="24">
        <f t="shared" si="7"/>
        <v>-0.199999999949796</v>
      </c>
      <c r="K21" s="25">
        <f t="shared" si="8"/>
        <v>-3.5000000000309202</v>
      </c>
      <c r="L21" s="26">
        <f t="shared" si="9"/>
        <v>-9.9999999974897905E-2</v>
      </c>
      <c r="M21" s="6">
        <v>6.2173999999999996</v>
      </c>
      <c r="N21" s="35">
        <f t="shared" si="2"/>
        <v>798.02369999999996</v>
      </c>
      <c r="O21" s="24">
        <f t="shared" si="10"/>
        <v>-0.80000000002655702</v>
      </c>
      <c r="P21" s="25">
        <f t="shared" si="11"/>
        <v>-2.6000000000294698</v>
      </c>
      <c r="Q21" s="26">
        <f t="shared" si="12"/>
        <v>-0.40000000001327901</v>
      </c>
      <c r="R21" s="41"/>
      <c r="S21" s="21">
        <f t="shared" si="3"/>
        <v>44842</v>
      </c>
      <c r="T21" s="42">
        <v>8.7142999999999997</v>
      </c>
      <c r="U21" s="43">
        <f t="shared" si="13"/>
        <v>0.30000000000995902</v>
      </c>
      <c r="V21" s="44">
        <f t="shared" si="14"/>
        <v>-2.4999999999995</v>
      </c>
      <c r="W21" s="45">
        <f t="shared" si="15"/>
        <v>-0.15000000000497901</v>
      </c>
      <c r="X21" s="29">
        <v>12.1066</v>
      </c>
      <c r="Y21" s="43">
        <f t="shared" si="16"/>
        <v>-0.19999999999953399</v>
      </c>
      <c r="Z21" s="44">
        <f t="shared" si="17"/>
        <v>-3.0000000000001101</v>
      </c>
      <c r="AA21" s="45">
        <f t="shared" si="18"/>
        <v>-9.99999999997669E-2</v>
      </c>
      <c r="AB21" s="49">
        <v>9.0148000000000099</v>
      </c>
      <c r="AC21" s="43">
        <f t="shared" si="19"/>
        <v>-0.19999999999953399</v>
      </c>
      <c r="AD21" s="44">
        <f t="shared" si="20"/>
        <v>-2.6999999999901498</v>
      </c>
      <c r="AE21" s="45">
        <f t="shared" si="21"/>
        <v>-9.99999999997669E-2</v>
      </c>
      <c r="AF21" s="50">
        <v>80399</v>
      </c>
      <c r="AG21" s="58">
        <f t="shared" si="22"/>
        <v>52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44844</v>
      </c>
      <c r="B22" s="22">
        <v>791.80629999999996</v>
      </c>
      <c r="C22" s="27">
        <v>5.6346999999999898</v>
      </c>
      <c r="D22" s="23">
        <f t="shared" si="0"/>
        <v>797.44100000000003</v>
      </c>
      <c r="E22" s="24">
        <f t="shared" si="4"/>
        <v>-0.50000000010186296</v>
      </c>
      <c r="F22" s="25">
        <f t="shared" si="5"/>
        <v>-3.1999999999925399</v>
      </c>
      <c r="G22" s="26">
        <f t="shared" si="6"/>
        <v>-0.25000000005093198</v>
      </c>
      <c r="H22" s="6">
        <v>7.2497999999999996</v>
      </c>
      <c r="I22" s="35">
        <f t="shared" si="1"/>
        <v>799.05610000000001</v>
      </c>
      <c r="J22" s="24">
        <f t="shared" si="7"/>
        <v>0.30000000003838101</v>
      </c>
      <c r="K22" s="25">
        <f t="shared" si="8"/>
        <v>-3.1999999999925399</v>
      </c>
      <c r="L22" s="26">
        <f t="shared" si="9"/>
        <v>0.15000000001919001</v>
      </c>
      <c r="M22" s="6">
        <v>6.2172000000000098</v>
      </c>
      <c r="N22" s="35">
        <f t="shared" si="2"/>
        <v>798.02350000000001</v>
      </c>
      <c r="O22" s="24">
        <f t="shared" si="10"/>
        <v>-0.199999999949796</v>
      </c>
      <c r="P22" s="25">
        <f t="shared" si="11"/>
        <v>-2.79999999997926</v>
      </c>
      <c r="Q22" s="26">
        <f t="shared" si="12"/>
        <v>-9.9999999974897905E-2</v>
      </c>
      <c r="R22" s="41"/>
      <c r="S22" s="21">
        <f t="shared" si="3"/>
        <v>44844</v>
      </c>
      <c r="T22" s="42">
        <v>8.71359999999998</v>
      </c>
      <c r="U22" s="43">
        <f t="shared" si="13"/>
        <v>-0.70000000001968499</v>
      </c>
      <c r="V22" s="44">
        <f t="shared" si="14"/>
        <v>-3.2000000000191902</v>
      </c>
      <c r="W22" s="45">
        <f t="shared" si="15"/>
        <v>0.35000000000984199</v>
      </c>
      <c r="X22" s="29">
        <v>12.1065</v>
      </c>
      <c r="Y22" s="43">
        <f t="shared" si="16"/>
        <v>-9.99999999997669E-2</v>
      </c>
      <c r="Z22" s="44">
        <f t="shared" si="17"/>
        <v>-3.0999999999998802</v>
      </c>
      <c r="AA22" s="45">
        <f t="shared" si="18"/>
        <v>-4.9999999999883499E-2</v>
      </c>
      <c r="AB22" s="49">
        <v>9.0149000000000008</v>
      </c>
      <c r="AC22" s="43">
        <f t="shared" si="19"/>
        <v>9.9999999990885199E-2</v>
      </c>
      <c r="AD22" s="44">
        <f t="shared" si="20"/>
        <v>-2.59999999999927</v>
      </c>
      <c r="AE22" s="45">
        <f t="shared" si="21"/>
        <v>4.99999999954426E-2</v>
      </c>
      <c r="AF22" s="50">
        <v>80399</v>
      </c>
      <c r="AG22" s="58">
        <f t="shared" si="22"/>
        <v>52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44846</v>
      </c>
      <c r="B23" s="22">
        <v>791.80629999999996</v>
      </c>
      <c r="C23" s="27">
        <v>5.6344999999999903</v>
      </c>
      <c r="D23" s="23">
        <f t="shared" si="0"/>
        <v>797.44079999999997</v>
      </c>
      <c r="E23" s="24">
        <f t="shared" si="4"/>
        <v>-0.199999999949796</v>
      </c>
      <c r="F23" s="25">
        <f t="shared" si="5"/>
        <v>-3.3999999999423398</v>
      </c>
      <c r="G23" s="26">
        <f t="shared" si="6"/>
        <v>-9.9999999974897905E-2</v>
      </c>
      <c r="H23" s="6">
        <v>7.2491000000000101</v>
      </c>
      <c r="I23" s="35">
        <f t="shared" si="1"/>
        <v>799.05539999999996</v>
      </c>
      <c r="J23" s="24">
        <f t="shared" si="7"/>
        <v>-0.70000000005165897</v>
      </c>
      <c r="K23" s="25">
        <f t="shared" si="8"/>
        <v>-3.9000000000442001</v>
      </c>
      <c r="L23" s="26">
        <f t="shared" si="9"/>
        <v>-0.35000000002582998</v>
      </c>
      <c r="M23" s="6">
        <v>6.2170000000000103</v>
      </c>
      <c r="N23" s="35">
        <f t="shared" si="2"/>
        <v>798.02329999999995</v>
      </c>
      <c r="O23" s="24">
        <f t="shared" si="10"/>
        <v>-0.20000000006348301</v>
      </c>
      <c r="P23" s="25">
        <f t="shared" si="11"/>
        <v>-3.0000000000427498</v>
      </c>
      <c r="Q23" s="26">
        <f t="shared" si="12"/>
        <v>-0.100000000031741</v>
      </c>
      <c r="R23" s="41"/>
      <c r="S23" s="21">
        <f t="shared" si="3"/>
        <v>44846</v>
      </c>
      <c r="T23" s="42">
        <v>8.7133999999999805</v>
      </c>
      <c r="U23" s="43">
        <f t="shared" si="13"/>
        <v>-0.19999999999953399</v>
      </c>
      <c r="V23" s="44">
        <f t="shared" si="14"/>
        <v>-3.40000000001872</v>
      </c>
      <c r="W23" s="45">
        <f t="shared" si="15"/>
        <v>9.99999999997669E-2</v>
      </c>
      <c r="X23" s="29">
        <v>12.106199999999999</v>
      </c>
      <c r="Y23" s="43">
        <f t="shared" si="16"/>
        <v>-0.30000000000107702</v>
      </c>
      <c r="Z23" s="44">
        <f t="shared" si="17"/>
        <v>-3.40000000000096</v>
      </c>
      <c r="AA23" s="45">
        <f t="shared" si="18"/>
        <v>-0.15000000000053901</v>
      </c>
      <c r="AB23" s="49">
        <v>9.0144000000000108</v>
      </c>
      <c r="AC23" s="43">
        <f t="shared" si="19"/>
        <v>-0.49999999998995298</v>
      </c>
      <c r="AD23" s="44">
        <f t="shared" si="20"/>
        <v>-3.0999999999892198</v>
      </c>
      <c r="AE23" s="45">
        <f t="shared" si="21"/>
        <v>-0.24999999999497599</v>
      </c>
      <c r="AF23" s="50">
        <v>80399</v>
      </c>
      <c r="AG23" s="58">
        <f t="shared" si="22"/>
        <v>52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44848</v>
      </c>
      <c r="B24" s="22">
        <v>791.80629999999996</v>
      </c>
      <c r="C24" s="27">
        <v>5.6342999999999899</v>
      </c>
      <c r="D24" s="23">
        <f t="shared" si="0"/>
        <v>797.44060000000002</v>
      </c>
      <c r="E24" s="24">
        <f t="shared" si="4"/>
        <v>-0.20000000006348301</v>
      </c>
      <c r="F24" s="25">
        <f t="shared" si="5"/>
        <v>-3.6000000000058199</v>
      </c>
      <c r="G24" s="26">
        <f t="shared" si="6"/>
        <v>-0.100000000031741</v>
      </c>
      <c r="H24" s="6">
        <v>7.2489000000000097</v>
      </c>
      <c r="I24" s="35">
        <f t="shared" si="1"/>
        <v>799.05520000000001</v>
      </c>
      <c r="J24" s="24">
        <f t="shared" si="7"/>
        <v>-0.199999999949796</v>
      </c>
      <c r="K24" s="25">
        <f t="shared" si="8"/>
        <v>-4.099999999994</v>
      </c>
      <c r="L24" s="26">
        <f t="shared" si="9"/>
        <v>-9.9999999974897905E-2</v>
      </c>
      <c r="M24" s="6">
        <v>6.2172000000000001</v>
      </c>
      <c r="N24" s="35">
        <f t="shared" si="2"/>
        <v>798.02350000000001</v>
      </c>
      <c r="O24" s="24">
        <f t="shared" si="10"/>
        <v>0.20000000006348301</v>
      </c>
      <c r="P24" s="25">
        <f t="shared" si="11"/>
        <v>-2.79999999997926</v>
      </c>
      <c r="Q24" s="26">
        <f t="shared" si="12"/>
        <v>0.100000000031741</v>
      </c>
      <c r="R24" s="41"/>
      <c r="S24" s="21">
        <f t="shared" si="3"/>
        <v>44848</v>
      </c>
      <c r="T24" s="42">
        <v>8.7131999999999792</v>
      </c>
      <c r="U24" s="43">
        <f t="shared" si="13"/>
        <v>-0.20000000000130999</v>
      </c>
      <c r="V24" s="44">
        <f t="shared" si="14"/>
        <v>-3.6000000000200298</v>
      </c>
      <c r="W24" s="45">
        <f t="shared" si="15"/>
        <v>0.100000000000655</v>
      </c>
      <c r="X24" s="29">
        <v>12.106</v>
      </c>
      <c r="Y24" s="43">
        <f t="shared" si="16"/>
        <v>-0.19999999999953399</v>
      </c>
      <c r="Z24" s="44">
        <f t="shared" si="17"/>
        <v>-3.6000000000004899</v>
      </c>
      <c r="AA24" s="45">
        <f t="shared" si="18"/>
        <v>-9.99999999997669E-2</v>
      </c>
      <c r="AB24" s="49">
        <v>9.0142000000000095</v>
      </c>
      <c r="AC24" s="43">
        <f t="shared" si="19"/>
        <v>-0.20000000000130999</v>
      </c>
      <c r="AD24" s="44">
        <f t="shared" si="20"/>
        <v>-3.2999999999905301</v>
      </c>
      <c r="AE24" s="45">
        <f t="shared" si="21"/>
        <v>-0.100000000000655</v>
      </c>
      <c r="AF24" s="50">
        <v>80399</v>
      </c>
      <c r="AG24" s="58">
        <f t="shared" si="22"/>
        <v>52</v>
      </c>
      <c r="AH24" s="59"/>
      <c r="AI24" s="60"/>
      <c r="AJ24" s="52"/>
      <c r="AK24" s="52"/>
      <c r="AL24" s="52"/>
      <c r="AM24" s="52"/>
    </row>
    <row r="25" spans="1:48">
      <c r="A25" s="21">
        <v>44850</v>
      </c>
      <c r="B25" s="22">
        <v>791.80629999999996</v>
      </c>
      <c r="C25" s="27">
        <v>5.6341999999999999</v>
      </c>
      <c r="D25" s="23">
        <f t="shared" si="0"/>
        <v>797.44050000000004</v>
      </c>
      <c r="E25" s="24">
        <f t="shared" si="4"/>
        <v>-9.9999999974897905E-2</v>
      </c>
      <c r="F25" s="25">
        <f t="shared" si="5"/>
        <v>-3.69999999998072</v>
      </c>
      <c r="G25" s="26">
        <f t="shared" si="6"/>
        <v>-4.9999999987449001E-2</v>
      </c>
      <c r="H25" s="6">
        <v>7.2487000000000101</v>
      </c>
      <c r="I25" s="35">
        <f t="shared" si="1"/>
        <v>799.05499999999995</v>
      </c>
      <c r="J25" s="24">
        <f t="shared" si="7"/>
        <v>-0.20000000006348301</v>
      </c>
      <c r="K25" s="25">
        <f t="shared" si="8"/>
        <v>-4.3000000000574801</v>
      </c>
      <c r="L25" s="26">
        <f t="shared" si="9"/>
        <v>-0.100000000031741</v>
      </c>
      <c r="M25" s="6">
        <v>6.2166000000000103</v>
      </c>
      <c r="N25" s="35">
        <f t="shared" si="2"/>
        <v>798.02290000000005</v>
      </c>
      <c r="O25" s="24">
        <f t="shared" si="10"/>
        <v>-0.60000000007676102</v>
      </c>
      <c r="P25" s="25">
        <f t="shared" si="11"/>
        <v>-3.40000000005602</v>
      </c>
      <c r="Q25" s="26">
        <f t="shared" si="12"/>
        <v>-0.30000000003838101</v>
      </c>
      <c r="R25" s="41"/>
      <c r="S25" s="21">
        <f t="shared" si="3"/>
        <v>44850</v>
      </c>
      <c r="T25" s="42">
        <v>8.7133000000000003</v>
      </c>
      <c r="U25" s="43">
        <f t="shared" si="13"/>
        <v>0.100000000021083</v>
      </c>
      <c r="V25" s="44">
        <f t="shared" si="14"/>
        <v>-3.4999999999989502</v>
      </c>
      <c r="W25" s="45">
        <f t="shared" si="15"/>
        <v>-5.0000000010541598E-2</v>
      </c>
      <c r="X25" s="29">
        <v>12.1058</v>
      </c>
      <c r="Y25" s="43">
        <f t="shared" si="16"/>
        <v>-0.19999999999953399</v>
      </c>
      <c r="Z25" s="44">
        <f t="shared" si="17"/>
        <v>-3.80000000000003</v>
      </c>
      <c r="AA25" s="45">
        <f t="shared" si="18"/>
        <v>-9.99999999997669E-2</v>
      </c>
      <c r="AB25" s="49">
        <v>9.01400000000001</v>
      </c>
      <c r="AC25" s="43">
        <f t="shared" si="19"/>
        <v>-0.19999999999953399</v>
      </c>
      <c r="AD25" s="44">
        <f t="shared" si="20"/>
        <v>-3.4999999999900702</v>
      </c>
      <c r="AE25" s="45">
        <f t="shared" si="21"/>
        <v>-9.99999999997669E-2</v>
      </c>
      <c r="AF25" s="50">
        <v>80399</v>
      </c>
      <c r="AG25" s="58">
        <f t="shared" si="22"/>
        <v>52</v>
      </c>
      <c r="AH25" s="61"/>
      <c r="AI25" s="60"/>
      <c r="AJ25" s="52"/>
      <c r="AK25" s="52"/>
      <c r="AL25" s="52"/>
      <c r="AM25" s="52"/>
    </row>
    <row r="26" spans="1:48">
      <c r="A26" s="21">
        <v>44852</v>
      </c>
      <c r="B26" s="22">
        <v>791.80629999999996</v>
      </c>
      <c r="C26" s="27">
        <v>5.6338999999999899</v>
      </c>
      <c r="D26" s="23">
        <f t="shared" si="0"/>
        <v>797.4402</v>
      </c>
      <c r="E26" s="24">
        <f t="shared" si="4"/>
        <v>-0.29999999992469401</v>
      </c>
      <c r="F26" s="25">
        <f t="shared" si="5"/>
        <v>-3.9999999999054099</v>
      </c>
      <c r="G26" s="26">
        <f t="shared" si="6"/>
        <v>-0.149999999962347</v>
      </c>
      <c r="H26" s="6">
        <v>7.2484999999999999</v>
      </c>
      <c r="I26" s="35">
        <f t="shared" si="1"/>
        <v>799.0548</v>
      </c>
      <c r="J26" s="24">
        <f t="shared" si="7"/>
        <v>-0.199999999949796</v>
      </c>
      <c r="K26" s="25">
        <f t="shared" si="8"/>
        <v>-4.5000000000072804</v>
      </c>
      <c r="L26" s="26">
        <f t="shared" si="9"/>
        <v>-9.9999999974897905E-2</v>
      </c>
      <c r="M26" s="6">
        <v>6.2164000000000099</v>
      </c>
      <c r="N26" s="35">
        <f t="shared" si="2"/>
        <v>798.02269999999999</v>
      </c>
      <c r="O26" s="24">
        <f t="shared" si="10"/>
        <v>-0.199999999949796</v>
      </c>
      <c r="P26" s="25">
        <f t="shared" si="11"/>
        <v>-3.6000000000058199</v>
      </c>
      <c r="Q26" s="26">
        <f t="shared" si="12"/>
        <v>-9.9999999974897905E-2</v>
      </c>
      <c r="R26" s="41"/>
      <c r="S26" s="21">
        <f t="shared" si="3"/>
        <v>44852</v>
      </c>
      <c r="T26" s="42">
        <v>8.7127999999999801</v>
      </c>
      <c r="U26" s="43">
        <f t="shared" si="13"/>
        <v>-0.50000000002015099</v>
      </c>
      <c r="V26" s="44">
        <f t="shared" si="14"/>
        <v>-4.0000000000191003</v>
      </c>
      <c r="W26" s="45">
        <f t="shared" si="15"/>
        <v>0.250000000010075</v>
      </c>
      <c r="X26" s="29">
        <v>12.1059</v>
      </c>
      <c r="Y26" s="43">
        <f t="shared" si="16"/>
        <v>9.99999999997669E-2</v>
      </c>
      <c r="Z26" s="44">
        <f t="shared" si="17"/>
        <v>-3.70000000000026</v>
      </c>
      <c r="AA26" s="45">
        <f t="shared" si="18"/>
        <v>4.9999999999883499E-2</v>
      </c>
      <c r="AB26" s="49">
        <v>9.0140999999999991</v>
      </c>
      <c r="AC26" s="43">
        <f t="shared" si="19"/>
        <v>9.9999999989108801E-2</v>
      </c>
      <c r="AD26" s="44">
        <f t="shared" si="20"/>
        <v>-3.40000000000096</v>
      </c>
      <c r="AE26" s="45">
        <f t="shared" si="21"/>
        <v>4.99999999945544E-2</v>
      </c>
      <c r="AF26" s="50">
        <v>80399</v>
      </c>
      <c r="AG26" s="58">
        <f t="shared" si="22"/>
        <v>52</v>
      </c>
      <c r="AH26" s="59"/>
      <c r="AI26" s="60"/>
      <c r="AJ26" s="61"/>
      <c r="AK26" s="62"/>
      <c r="AL26" s="60"/>
      <c r="AM26" s="64"/>
    </row>
    <row r="27" spans="1:48">
      <c r="A27" s="21">
        <v>44854</v>
      </c>
      <c r="B27" s="22">
        <v>791.80629999999996</v>
      </c>
      <c r="C27" s="27">
        <v>5.6340000000000003</v>
      </c>
      <c r="D27" s="23">
        <f t="shared" si="0"/>
        <v>797.44029999999998</v>
      </c>
      <c r="E27" s="24">
        <f t="shared" si="4"/>
        <v>9.9999999974897905E-2</v>
      </c>
      <c r="F27" s="25">
        <f t="shared" si="5"/>
        <v>-3.8999999999305102</v>
      </c>
      <c r="G27" s="26">
        <f t="shared" si="6"/>
        <v>4.9999999987449001E-2</v>
      </c>
      <c r="H27" s="6">
        <v>7.2487000000000004</v>
      </c>
      <c r="I27" s="35">
        <f t="shared" si="1"/>
        <v>799.05499999999995</v>
      </c>
      <c r="J27" s="24">
        <f t="shared" si="7"/>
        <v>0.199999999949796</v>
      </c>
      <c r="K27" s="25">
        <f t="shared" si="8"/>
        <v>-4.3000000000574801</v>
      </c>
      <c r="L27" s="26">
        <f t="shared" si="9"/>
        <v>9.9999999974897905E-2</v>
      </c>
      <c r="M27" s="6">
        <v>6.2164999999999999</v>
      </c>
      <c r="N27" s="35">
        <f t="shared" si="2"/>
        <v>798.02279999999996</v>
      </c>
      <c r="O27" s="24">
        <f t="shared" si="10"/>
        <v>9.9999999974897905E-2</v>
      </c>
      <c r="P27" s="25">
        <f t="shared" si="11"/>
        <v>-3.5000000000309202</v>
      </c>
      <c r="Q27" s="26">
        <f t="shared" si="12"/>
        <v>4.9999999987449001E-2</v>
      </c>
      <c r="R27" s="41"/>
      <c r="S27" s="21">
        <f t="shared" si="3"/>
        <v>44854</v>
      </c>
      <c r="T27" s="42">
        <v>8.7125999999999806</v>
      </c>
      <c r="U27" s="43">
        <f t="shared" si="13"/>
        <v>-0.19999999999953399</v>
      </c>
      <c r="V27" s="44">
        <f t="shared" si="14"/>
        <v>-4.2000000000186297</v>
      </c>
      <c r="W27" s="45">
        <f t="shared" si="15"/>
        <v>9.99999999997669E-2</v>
      </c>
      <c r="X27" s="29">
        <v>12.106</v>
      </c>
      <c r="Y27" s="43">
        <f t="shared" si="16"/>
        <v>9.99999999997669E-2</v>
      </c>
      <c r="Z27" s="44">
        <f t="shared" si="17"/>
        <v>-3.6000000000004899</v>
      </c>
      <c r="AA27" s="45">
        <f t="shared" si="18"/>
        <v>4.9999999999883499E-2</v>
      </c>
      <c r="AB27" s="49">
        <v>9.0139999999999993</v>
      </c>
      <c r="AC27" s="43">
        <f t="shared" si="19"/>
        <v>-9.99999999997669E-2</v>
      </c>
      <c r="AD27" s="44">
        <f t="shared" si="20"/>
        <v>-3.5000000000007199</v>
      </c>
      <c r="AE27" s="45">
        <f t="shared" si="21"/>
        <v>-4.9999999999883499E-2</v>
      </c>
      <c r="AF27" s="50">
        <v>80399</v>
      </c>
      <c r="AG27" s="58">
        <f t="shared" si="22"/>
        <v>52</v>
      </c>
      <c r="AH27" s="59"/>
      <c r="AI27" s="60"/>
      <c r="AJ27" s="61"/>
      <c r="AK27" s="62"/>
      <c r="AL27" s="60"/>
      <c r="AM27" s="64"/>
    </row>
    <row r="28" spans="1:48">
      <c r="A28" s="21">
        <v>44856</v>
      </c>
      <c r="B28" s="22">
        <v>791.80629999999996</v>
      </c>
      <c r="C28" s="27">
        <v>5.6341000000000099</v>
      </c>
      <c r="D28" s="23">
        <f t="shared" si="0"/>
        <v>797.44039999999995</v>
      </c>
      <c r="E28" s="24">
        <f t="shared" si="4"/>
        <v>9.9999999974897905E-2</v>
      </c>
      <c r="F28" s="25">
        <f t="shared" si="5"/>
        <v>-3.7999999999556202</v>
      </c>
      <c r="G28" s="26">
        <f t="shared" si="6"/>
        <v>4.9999999987449001E-2</v>
      </c>
      <c r="H28" s="6">
        <v>7.2488999999999999</v>
      </c>
      <c r="I28" s="35">
        <f t="shared" si="1"/>
        <v>799.05520000000001</v>
      </c>
      <c r="J28" s="24">
        <f t="shared" si="7"/>
        <v>0.20000000006348301</v>
      </c>
      <c r="K28" s="25">
        <f t="shared" si="8"/>
        <v>-4.099999999994</v>
      </c>
      <c r="L28" s="26">
        <f t="shared" si="9"/>
        <v>0.100000000031741</v>
      </c>
      <c r="M28" s="6">
        <v>6.2165999999999899</v>
      </c>
      <c r="N28" s="35">
        <f t="shared" si="2"/>
        <v>798.02290000000005</v>
      </c>
      <c r="O28" s="24">
        <f t="shared" si="10"/>
        <v>9.9999999974897905E-2</v>
      </c>
      <c r="P28" s="25">
        <f t="shared" si="11"/>
        <v>-3.40000000005602</v>
      </c>
      <c r="Q28" s="26">
        <f t="shared" si="12"/>
        <v>4.9999999987449001E-2</v>
      </c>
      <c r="R28" s="41"/>
      <c r="S28" s="21">
        <f t="shared" si="3"/>
        <v>44856</v>
      </c>
      <c r="T28" s="42">
        <v>8.7123999999999793</v>
      </c>
      <c r="U28" s="43">
        <f t="shared" si="13"/>
        <v>-0.20000000000130999</v>
      </c>
      <c r="V28" s="44">
        <f t="shared" si="14"/>
        <v>-4.40000000001994</v>
      </c>
      <c r="W28" s="45">
        <f t="shared" si="15"/>
        <v>0.100000000000655</v>
      </c>
      <c r="X28" s="29">
        <v>12.1061</v>
      </c>
      <c r="Y28" s="43">
        <f t="shared" si="16"/>
        <v>9.99999999997669E-2</v>
      </c>
      <c r="Z28" s="44">
        <f t="shared" si="17"/>
        <v>-3.5000000000007199</v>
      </c>
      <c r="AA28" s="45">
        <f t="shared" si="18"/>
        <v>4.9999999999883499E-2</v>
      </c>
      <c r="AB28" s="49">
        <v>9.0138999999999996</v>
      </c>
      <c r="AC28" s="43">
        <f t="shared" si="19"/>
        <v>-9.99999999997669E-2</v>
      </c>
      <c r="AD28" s="44">
        <f t="shared" si="20"/>
        <v>-3.6000000000004899</v>
      </c>
      <c r="AE28" s="45">
        <f t="shared" si="21"/>
        <v>-4.9999999999883499E-2</v>
      </c>
      <c r="AF28" s="50">
        <v>80399</v>
      </c>
      <c r="AG28" s="58">
        <f t="shared" si="22"/>
        <v>52</v>
      </c>
      <c r="AH28" s="59"/>
      <c r="AI28" s="60"/>
      <c r="AJ28"/>
      <c r="AK28"/>
      <c r="AL28"/>
      <c r="AM28"/>
    </row>
    <row r="29" spans="1:48">
      <c r="A29" s="21">
        <v>44858</v>
      </c>
      <c r="B29" s="22">
        <v>791.80629999999996</v>
      </c>
      <c r="C29" s="27">
        <v>5.6342000000000203</v>
      </c>
      <c r="D29" s="23">
        <f t="shared" si="0"/>
        <v>797.44050000000004</v>
      </c>
      <c r="E29" s="24">
        <f t="shared" si="4"/>
        <v>9.9999999974897905E-2</v>
      </c>
      <c r="F29" s="25">
        <f t="shared" si="5"/>
        <v>-3.69999999998072</v>
      </c>
      <c r="G29" s="26">
        <f t="shared" si="6"/>
        <v>4.9999999987449001E-2</v>
      </c>
      <c r="H29" s="6">
        <v>7.2491000000000003</v>
      </c>
      <c r="I29" s="35">
        <f t="shared" si="1"/>
        <v>799.05539999999996</v>
      </c>
      <c r="J29" s="24">
        <f t="shared" si="7"/>
        <v>0.199999999949796</v>
      </c>
      <c r="K29" s="25">
        <f t="shared" si="8"/>
        <v>-3.9000000000442001</v>
      </c>
      <c r="L29" s="26">
        <f t="shared" si="9"/>
        <v>9.9999999974897905E-2</v>
      </c>
      <c r="M29" s="6">
        <v>6.2166999999999799</v>
      </c>
      <c r="N29" s="35">
        <f t="shared" si="2"/>
        <v>798.02300000000002</v>
      </c>
      <c r="O29" s="24">
        <f t="shared" si="10"/>
        <v>9.9999999974897905E-2</v>
      </c>
      <c r="P29" s="25">
        <f t="shared" si="11"/>
        <v>-3.30000000008113</v>
      </c>
      <c r="Q29" s="26">
        <f t="shared" si="12"/>
        <v>4.9999999987449001E-2</v>
      </c>
      <c r="R29" s="41"/>
      <c r="S29" s="21">
        <f t="shared" si="3"/>
        <v>44858</v>
      </c>
      <c r="T29" s="42">
        <v>8.7121999999999797</v>
      </c>
      <c r="U29" s="43">
        <f t="shared" si="13"/>
        <v>-0.19999999999953399</v>
      </c>
      <c r="V29" s="44">
        <f t="shared" si="14"/>
        <v>-4.6000000000194801</v>
      </c>
      <c r="W29" s="45">
        <f t="shared" si="15"/>
        <v>9.99999999997669E-2</v>
      </c>
      <c r="X29" s="29">
        <v>12.106199999999999</v>
      </c>
      <c r="Y29" s="43">
        <f t="shared" si="16"/>
        <v>9.99999999997669E-2</v>
      </c>
      <c r="Z29" s="44">
        <f t="shared" si="17"/>
        <v>-3.40000000000096</v>
      </c>
      <c r="AA29" s="45">
        <f t="shared" si="18"/>
        <v>4.9999999999883499E-2</v>
      </c>
      <c r="AB29" s="49">
        <v>9.0137999999999998</v>
      </c>
      <c r="AC29" s="43">
        <f t="shared" si="19"/>
        <v>-9.99999999997669E-2</v>
      </c>
      <c r="AD29" s="44">
        <f t="shared" si="20"/>
        <v>-3.70000000000026</v>
      </c>
      <c r="AE29" s="45">
        <f t="shared" si="21"/>
        <v>-4.9999999999883499E-2</v>
      </c>
      <c r="AF29" s="50">
        <v>80399</v>
      </c>
      <c r="AG29" s="58">
        <f t="shared" si="22"/>
        <v>52</v>
      </c>
      <c r="AH29" s="59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F29-F27</f>
        <v>0.199999999949796</v>
      </c>
      <c r="F30" s="33">
        <f>K29-K27</f>
        <v>0.40000000001327901</v>
      </c>
      <c r="G30" s="33">
        <f>P29-P27</f>
        <v>0.199999999949796</v>
      </c>
      <c r="H30" s="33">
        <f>F29</f>
        <v>-3.69999999998072</v>
      </c>
      <c r="I30" s="66">
        <f>K29</f>
        <v>-3.9000000000442001</v>
      </c>
      <c r="J30" s="65">
        <f>P29</f>
        <v>-3.30000000008113</v>
      </c>
      <c r="K30" s="33">
        <f>(K29-K27)/4</f>
        <v>0.10000000000332</v>
      </c>
      <c r="L30" s="26"/>
      <c r="N30" s="35"/>
      <c r="O30" s="24"/>
      <c r="P30" s="25"/>
      <c r="Q30" s="26"/>
      <c r="R30" s="41"/>
      <c r="S30" s="21"/>
      <c r="T30" s="42"/>
      <c r="U30" s="65">
        <f>V29-V27</f>
        <v>-0.40000000000084401</v>
      </c>
      <c r="V30" s="33">
        <f>Z29-Z27</f>
        <v>0.19999999999953399</v>
      </c>
      <c r="W30" s="33">
        <f>AD29-AD27</f>
        <v>-0.19999999999953399</v>
      </c>
      <c r="X30" s="33">
        <f>V29</f>
        <v>-4.6000000000194801</v>
      </c>
      <c r="Y30" s="65">
        <f>Z29</f>
        <v>-3.40000000000096</v>
      </c>
      <c r="Z30" s="33">
        <f>AD29</f>
        <v>-3.70000000000026</v>
      </c>
      <c r="AA30" s="33">
        <f>(V29-V27)/4</f>
        <v>-0.100000000000211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Q28" workbookViewId="0">
      <selection activeCell="E28" sqref="E28:K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44842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44842</v>
      </c>
      <c r="B6" s="22">
        <v>791.80629999999996</v>
      </c>
      <c r="C6" s="27">
        <v>6.3471000000000002</v>
      </c>
      <c r="D6" s="23">
        <f t="shared" ref="D6:D20" si="0">C6+B6</f>
        <v>798.15340000000003</v>
      </c>
      <c r="E6" s="24">
        <v>0</v>
      </c>
      <c r="F6" s="25">
        <v>0</v>
      </c>
      <c r="G6" s="26">
        <v>0</v>
      </c>
      <c r="H6" s="6">
        <v>7.4744999999999999</v>
      </c>
      <c r="I6" s="35">
        <f t="shared" ref="I6:I20" si="1">H6+B6</f>
        <v>799.2808</v>
      </c>
      <c r="J6" s="24">
        <v>0</v>
      </c>
      <c r="K6" s="25">
        <v>0</v>
      </c>
      <c r="L6" s="26">
        <v>0</v>
      </c>
      <c r="M6" s="6">
        <v>6.1165000000000003</v>
      </c>
      <c r="N6" s="35">
        <f t="shared" ref="N6:N20" si="2">M6+B6</f>
        <v>797.92280000000005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44842</v>
      </c>
      <c r="T6" s="42">
        <v>8.5848999999999993</v>
      </c>
      <c r="U6" s="43">
        <v>0</v>
      </c>
      <c r="V6" s="44">
        <v>0</v>
      </c>
      <c r="W6" s="45">
        <f>U6/(S6-S11)</f>
        <v>0</v>
      </c>
      <c r="X6" s="29">
        <v>12.031700000000001</v>
      </c>
      <c r="Y6" s="43">
        <v>0</v>
      </c>
      <c r="Z6" s="44">
        <v>0</v>
      </c>
      <c r="AA6" s="45">
        <v>0</v>
      </c>
      <c r="AB6" s="49">
        <v>8.4719999999999995</v>
      </c>
      <c r="AC6" s="43">
        <v>0</v>
      </c>
      <c r="AD6" s="44">
        <v>0</v>
      </c>
      <c r="AE6" s="45">
        <v>0</v>
      </c>
      <c r="AF6" s="50">
        <v>80375</v>
      </c>
      <c r="AG6" s="58">
        <f>AF6-80371</f>
        <v>4</v>
      </c>
      <c r="AH6" s="59"/>
      <c r="AI6" s="60"/>
      <c r="AJ6" s="61"/>
      <c r="AK6" s="62"/>
      <c r="AL6" s="52"/>
      <c r="AM6" s="52"/>
    </row>
    <row r="7" spans="1:48">
      <c r="A7" s="21">
        <v>44843</v>
      </c>
      <c r="B7" s="22">
        <v>791.80629999999996</v>
      </c>
      <c r="C7" s="27">
        <v>6.3468999999999998</v>
      </c>
      <c r="D7" s="23">
        <f t="shared" si="0"/>
        <v>798.15319999999997</v>
      </c>
      <c r="E7" s="24">
        <f t="shared" ref="E7:E20" si="4">(D7-D6)*1000</f>
        <v>-0.199999999949796</v>
      </c>
      <c r="F7" s="25">
        <f t="shared" ref="F7:F20" si="5">F6+E7</f>
        <v>-0.199999999949796</v>
      </c>
      <c r="G7" s="26">
        <f t="shared" ref="G7:G20" si="6">E7/(A7-A6)</f>
        <v>-0.199999999949796</v>
      </c>
      <c r="H7" s="6">
        <v>7.4741999999999997</v>
      </c>
      <c r="I7" s="35">
        <f t="shared" si="1"/>
        <v>799.28049999999996</v>
      </c>
      <c r="J7" s="24">
        <f t="shared" ref="J7:J20" si="7">(I7-I6)*1000</f>
        <v>-0.30000000003838101</v>
      </c>
      <c r="K7" s="25">
        <f t="shared" ref="K7:K20" si="8">K6+J7</f>
        <v>-0.30000000003838101</v>
      </c>
      <c r="L7" s="26">
        <f t="shared" ref="L7:L20" si="9">J7/(A7-A6)</f>
        <v>-0.30000000003838101</v>
      </c>
      <c r="M7" s="6">
        <v>6.1162999999999998</v>
      </c>
      <c r="N7" s="35">
        <f t="shared" si="2"/>
        <v>797.92259999999999</v>
      </c>
      <c r="O7" s="24">
        <f t="shared" ref="O7:O20" si="10">(N7-N6)*1000</f>
        <v>-0.199999999949796</v>
      </c>
      <c r="P7" s="25">
        <f t="shared" ref="P7:P20" si="11">P6+O7</f>
        <v>-0.199999999949796</v>
      </c>
      <c r="Q7" s="26">
        <f t="shared" ref="Q7:Q20" si="12">O7/(A7-A6)</f>
        <v>-0.199999999949796</v>
      </c>
      <c r="R7" s="41"/>
      <c r="S7" s="21">
        <f t="shared" si="3"/>
        <v>44843</v>
      </c>
      <c r="T7" s="42">
        <v>8.5846999999999998</v>
      </c>
      <c r="U7" s="43">
        <f t="shared" ref="U7:U18" si="13">(T7-T6)*1000</f>
        <v>-0.19999999999953399</v>
      </c>
      <c r="V7" s="44">
        <f t="shared" ref="V7:V18" si="14">V6+U7</f>
        <v>-0.19999999999953399</v>
      </c>
      <c r="W7" s="45">
        <f t="shared" ref="W7:W18" si="15">U7/(S6-S7)</f>
        <v>0.19999999999953399</v>
      </c>
      <c r="X7" s="29">
        <v>12.0314</v>
      </c>
      <c r="Y7" s="43">
        <f t="shared" ref="Y7:Y18" si="16">(X7-X6)*1000</f>
        <v>-0.30000000000107702</v>
      </c>
      <c r="Z7" s="44">
        <f t="shared" ref="Z7:Z18" si="17">Z6+Y7</f>
        <v>-0.30000000000107702</v>
      </c>
      <c r="AA7" s="45">
        <f t="shared" ref="AA7:AA18" si="18">Y7/(S7-S6)</f>
        <v>-0.30000000000107702</v>
      </c>
      <c r="AB7" s="49">
        <v>8.4715000000000007</v>
      </c>
      <c r="AC7" s="43">
        <f t="shared" ref="AC7:AC18" si="19">(AB7-AB6)*1000</f>
        <v>-0.49999999999883499</v>
      </c>
      <c r="AD7" s="44">
        <f t="shared" ref="AD7:AD18" si="20">AD6+AC7</f>
        <v>-0.49999999999883499</v>
      </c>
      <c r="AE7" s="45">
        <f t="shared" ref="AE7:AE18" si="21">AC7/(S7-S6)</f>
        <v>-0.49999999999883499</v>
      </c>
      <c r="AF7" s="50">
        <v>80377</v>
      </c>
      <c r="AG7" s="58">
        <f t="shared" ref="AG7:AG18" si="22">AF7-80371</f>
        <v>6</v>
      </c>
      <c r="AH7" s="59"/>
      <c r="AI7" s="60"/>
      <c r="AJ7" s="61"/>
      <c r="AK7" s="62"/>
      <c r="AL7" s="52"/>
      <c r="AM7" s="52"/>
    </row>
    <row r="8" spans="1:48">
      <c r="A8" s="21">
        <v>44844</v>
      </c>
      <c r="B8" s="22">
        <v>791.80629999999996</v>
      </c>
      <c r="C8" s="27">
        <v>6.3468</v>
      </c>
      <c r="D8" s="23">
        <f t="shared" si="0"/>
        <v>798.15309999999999</v>
      </c>
      <c r="E8" s="24">
        <f t="shared" si="4"/>
        <v>-9.9999999974897905E-2</v>
      </c>
      <c r="F8" s="25">
        <f t="shared" si="5"/>
        <v>-0.29999999992469401</v>
      </c>
      <c r="G8" s="26">
        <f t="shared" si="6"/>
        <v>-9.9999999974897905E-2</v>
      </c>
      <c r="H8" s="6">
        <v>7.4740000000000002</v>
      </c>
      <c r="I8" s="35">
        <f t="shared" si="1"/>
        <v>799.28030000000001</v>
      </c>
      <c r="J8" s="24">
        <f t="shared" si="7"/>
        <v>-0.199999999949796</v>
      </c>
      <c r="K8" s="25">
        <f t="shared" si="8"/>
        <v>-0.49999999998817701</v>
      </c>
      <c r="L8" s="26">
        <f t="shared" si="9"/>
        <v>-0.199999999949796</v>
      </c>
      <c r="M8" s="6">
        <v>6.1163999999999996</v>
      </c>
      <c r="N8" s="35">
        <f t="shared" si="2"/>
        <v>797.92269999999996</v>
      </c>
      <c r="O8" s="24">
        <f t="shared" si="10"/>
        <v>9.9999999974897905E-2</v>
      </c>
      <c r="P8" s="25">
        <f t="shared" si="11"/>
        <v>-9.9999999974897905E-2</v>
      </c>
      <c r="Q8" s="26">
        <f t="shared" si="12"/>
        <v>9.9999999974897905E-2</v>
      </c>
      <c r="R8" s="41"/>
      <c r="S8" s="21">
        <f t="shared" si="3"/>
        <v>44844</v>
      </c>
      <c r="T8" s="42">
        <v>8.5847999999999995</v>
      </c>
      <c r="U8" s="43">
        <f t="shared" si="13"/>
        <v>9.99999999997669E-2</v>
      </c>
      <c r="V8" s="44">
        <f t="shared" si="14"/>
        <v>-9.99999999997669E-2</v>
      </c>
      <c r="W8" s="45">
        <f t="shared" si="15"/>
        <v>-9.99999999997669E-2</v>
      </c>
      <c r="X8" s="29">
        <v>12.0312</v>
      </c>
      <c r="Y8" s="43">
        <f t="shared" si="16"/>
        <v>-0.19999999999953399</v>
      </c>
      <c r="Z8" s="44">
        <f t="shared" si="17"/>
        <v>-0.50000000000061096</v>
      </c>
      <c r="AA8" s="45">
        <f t="shared" si="18"/>
        <v>-0.19999999999953399</v>
      </c>
      <c r="AB8" s="49">
        <v>8.4712999999999994</v>
      </c>
      <c r="AC8" s="43">
        <f t="shared" si="19"/>
        <v>-0.20000000000130999</v>
      </c>
      <c r="AD8" s="44">
        <f t="shared" si="20"/>
        <v>-0.70000000000014495</v>
      </c>
      <c r="AE8" s="45">
        <f t="shared" si="21"/>
        <v>-0.20000000000130999</v>
      </c>
      <c r="AF8" s="50">
        <v>80379</v>
      </c>
      <c r="AG8" s="58">
        <f t="shared" si="22"/>
        <v>8</v>
      </c>
      <c r="AH8" s="59"/>
      <c r="AI8" s="60"/>
      <c r="AJ8" s="61"/>
      <c r="AK8" s="62"/>
      <c r="AL8" s="52"/>
      <c r="AM8" s="52"/>
    </row>
    <row r="9" spans="1:48">
      <c r="A9" s="21">
        <v>44845</v>
      </c>
      <c r="B9" s="22">
        <v>791.80629999999996</v>
      </c>
      <c r="C9" s="27">
        <v>6.3464999999999998</v>
      </c>
      <c r="D9" s="23">
        <f t="shared" si="0"/>
        <v>798.15279999999996</v>
      </c>
      <c r="E9" s="24">
        <f t="shared" si="4"/>
        <v>-0.30000000003838101</v>
      </c>
      <c r="F9" s="25">
        <f t="shared" si="5"/>
        <v>-0.59999999996307496</v>
      </c>
      <c r="G9" s="26">
        <f t="shared" si="6"/>
        <v>-0.30000000003838101</v>
      </c>
      <c r="H9" s="6">
        <v>7.4737999999999998</v>
      </c>
      <c r="I9" s="35">
        <f t="shared" si="1"/>
        <v>799.28009999999995</v>
      </c>
      <c r="J9" s="24">
        <f t="shared" si="7"/>
        <v>-0.20000000006348301</v>
      </c>
      <c r="K9" s="25">
        <f t="shared" si="8"/>
        <v>-0.70000000005165897</v>
      </c>
      <c r="L9" s="26">
        <f t="shared" si="9"/>
        <v>-0.20000000006348301</v>
      </c>
      <c r="M9" s="6">
        <v>6.1162000000000001</v>
      </c>
      <c r="N9" s="35">
        <f t="shared" si="2"/>
        <v>797.92250000000001</v>
      </c>
      <c r="O9" s="24">
        <f t="shared" si="10"/>
        <v>-0.199999999949796</v>
      </c>
      <c r="P9" s="25">
        <f t="shared" si="11"/>
        <v>-0.29999999992469401</v>
      </c>
      <c r="Q9" s="26">
        <f t="shared" si="12"/>
        <v>-0.199999999949796</v>
      </c>
      <c r="R9" s="41"/>
      <c r="S9" s="21">
        <f t="shared" si="3"/>
        <v>44845</v>
      </c>
      <c r="T9" s="42">
        <v>8.5843000000000007</v>
      </c>
      <c r="U9" s="43">
        <f t="shared" si="13"/>
        <v>-0.49999999999883499</v>
      </c>
      <c r="V9" s="44">
        <f t="shared" si="14"/>
        <v>-0.59999999999860198</v>
      </c>
      <c r="W9" s="45">
        <f t="shared" si="15"/>
        <v>0.49999999999883499</v>
      </c>
      <c r="X9" s="29">
        <v>12.0311</v>
      </c>
      <c r="Y9" s="43">
        <f t="shared" si="16"/>
        <v>-9.99999999997669E-2</v>
      </c>
      <c r="Z9" s="44">
        <f t="shared" si="17"/>
        <v>-0.60000000000037801</v>
      </c>
      <c r="AA9" s="45">
        <f t="shared" si="18"/>
        <v>-9.99999999997669E-2</v>
      </c>
      <c r="AB9" s="49">
        <v>8.4711999999999996</v>
      </c>
      <c r="AC9" s="43">
        <f t="shared" si="19"/>
        <v>-9.99999999997669E-2</v>
      </c>
      <c r="AD9" s="44">
        <f t="shared" si="20"/>
        <v>-0.799999999999912</v>
      </c>
      <c r="AE9" s="45">
        <f t="shared" si="21"/>
        <v>-9.99999999997669E-2</v>
      </c>
      <c r="AF9" s="50">
        <v>80381</v>
      </c>
      <c r="AG9" s="58">
        <f t="shared" si="22"/>
        <v>10</v>
      </c>
      <c r="AH9" s="61"/>
      <c r="AI9" s="60"/>
      <c r="AJ9"/>
      <c r="AK9"/>
      <c r="AL9"/>
      <c r="AM9"/>
    </row>
    <row r="10" spans="1:48">
      <c r="A10" s="21">
        <v>44846</v>
      </c>
      <c r="B10" s="22">
        <v>791.80629999999996</v>
      </c>
      <c r="C10" s="27">
        <v>6.3463000000000003</v>
      </c>
      <c r="D10" s="23">
        <f t="shared" si="0"/>
        <v>798.15260000000001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7.4739000000000004</v>
      </c>
      <c r="I10" s="35">
        <f t="shared" si="1"/>
        <v>799.28020000000004</v>
      </c>
      <c r="J10" s="24">
        <f t="shared" si="7"/>
        <v>9.9999999974897905E-2</v>
      </c>
      <c r="K10" s="25">
        <f t="shared" si="8"/>
        <v>-0.60000000007676102</v>
      </c>
      <c r="L10" s="26">
        <f t="shared" si="9"/>
        <v>9.9999999974897905E-2</v>
      </c>
      <c r="M10" s="6">
        <v>6.1159999999999997</v>
      </c>
      <c r="N10" s="35">
        <f t="shared" si="2"/>
        <v>797.92229999999995</v>
      </c>
      <c r="O10" s="24">
        <f t="shared" si="10"/>
        <v>-0.20000000006348301</v>
      </c>
      <c r="P10" s="25">
        <f t="shared" si="11"/>
        <v>-0.49999999998817701</v>
      </c>
      <c r="Q10" s="26">
        <f t="shared" si="12"/>
        <v>-0.20000000006348301</v>
      </c>
      <c r="R10" s="41"/>
      <c r="S10" s="21">
        <f t="shared" si="3"/>
        <v>44846</v>
      </c>
      <c r="T10" s="42">
        <v>8.5841999999999992</v>
      </c>
      <c r="U10" s="43">
        <f t="shared" si="13"/>
        <v>-0.10000000000154299</v>
      </c>
      <c r="V10" s="44">
        <f t="shared" si="14"/>
        <v>-0.70000000000014495</v>
      </c>
      <c r="W10" s="45">
        <f t="shared" si="15"/>
        <v>0.10000000000154299</v>
      </c>
      <c r="X10" s="29">
        <v>12.030799999999999</v>
      </c>
      <c r="Y10" s="43">
        <f t="shared" si="16"/>
        <v>-0.30000000000107702</v>
      </c>
      <c r="Z10" s="44">
        <f t="shared" si="17"/>
        <v>-0.90000000000145497</v>
      </c>
      <c r="AA10" s="45">
        <f t="shared" si="18"/>
        <v>-0.30000000000107702</v>
      </c>
      <c r="AB10" s="49">
        <v>8.4709000000000003</v>
      </c>
      <c r="AC10" s="43">
        <f t="shared" si="19"/>
        <v>-0.29999999999930099</v>
      </c>
      <c r="AD10" s="44">
        <f t="shared" si="20"/>
        <v>-1.0999999999992101</v>
      </c>
      <c r="AE10" s="45">
        <f t="shared" si="21"/>
        <v>-0.29999999999930099</v>
      </c>
      <c r="AF10" s="50">
        <v>80383</v>
      </c>
      <c r="AG10" s="58">
        <f t="shared" si="22"/>
        <v>12</v>
      </c>
      <c r="AH10" s="59"/>
      <c r="AI10" s="60"/>
      <c r="AJ10" s="61"/>
      <c r="AK10" s="62"/>
      <c r="AL10" s="52"/>
      <c r="AM10" s="52"/>
    </row>
    <row r="11" spans="1:48">
      <c r="A11" s="21">
        <v>44847</v>
      </c>
      <c r="B11" s="22">
        <v>791.80629999999996</v>
      </c>
      <c r="C11" s="27">
        <v>6.3460999999999999</v>
      </c>
      <c r="D11" s="23">
        <f t="shared" si="0"/>
        <v>798.15239999999994</v>
      </c>
      <c r="E11" s="24">
        <f t="shared" si="4"/>
        <v>-0.20000000006348301</v>
      </c>
      <c r="F11" s="25">
        <f t="shared" si="5"/>
        <v>-0.99999999997635303</v>
      </c>
      <c r="G11" s="26">
        <f t="shared" si="6"/>
        <v>-0.20000000006348301</v>
      </c>
      <c r="H11" s="6">
        <v>7.4733999999999998</v>
      </c>
      <c r="I11" s="35">
        <f t="shared" si="1"/>
        <v>799.27970000000005</v>
      </c>
      <c r="J11" s="24">
        <f t="shared" si="7"/>
        <v>-0.49999999998817701</v>
      </c>
      <c r="K11" s="25">
        <f t="shared" si="8"/>
        <v>-1.1000000000649399</v>
      </c>
      <c r="L11" s="26">
        <f t="shared" si="9"/>
        <v>-0.49999999998817701</v>
      </c>
      <c r="M11" s="6">
        <v>6.1158000000000001</v>
      </c>
      <c r="N11" s="35">
        <f t="shared" si="2"/>
        <v>797.9221</v>
      </c>
      <c r="O11" s="24">
        <f t="shared" si="10"/>
        <v>-0.199999999949796</v>
      </c>
      <c r="P11" s="25">
        <f t="shared" si="11"/>
        <v>-0.69999999993797202</v>
      </c>
      <c r="Q11" s="26">
        <f t="shared" si="12"/>
        <v>-0.199999999949796</v>
      </c>
      <c r="R11" s="41"/>
      <c r="S11" s="21">
        <f t="shared" si="3"/>
        <v>44847</v>
      </c>
      <c r="T11" s="42">
        <v>8.5838999999999999</v>
      </c>
      <c r="U11" s="43">
        <f t="shared" si="13"/>
        <v>-0.29999999999930099</v>
      </c>
      <c r="V11" s="44">
        <f t="shared" si="14"/>
        <v>-0.999999999999446</v>
      </c>
      <c r="W11" s="45">
        <f t="shared" si="15"/>
        <v>0.29999999999930099</v>
      </c>
      <c r="X11" s="29">
        <v>12.0306</v>
      </c>
      <c r="Y11" s="43">
        <f t="shared" si="16"/>
        <v>-0.19999999999953399</v>
      </c>
      <c r="Z11" s="44">
        <f t="shared" si="17"/>
        <v>-1.10000000000099</v>
      </c>
      <c r="AA11" s="45">
        <f t="shared" si="18"/>
        <v>-0.19999999999953399</v>
      </c>
      <c r="AB11" s="49">
        <v>8.4707000000000008</v>
      </c>
      <c r="AC11" s="43">
        <f t="shared" si="19"/>
        <v>-0.19999999999953399</v>
      </c>
      <c r="AD11" s="44">
        <f t="shared" si="20"/>
        <v>-1.2999999999987499</v>
      </c>
      <c r="AE11" s="45">
        <f t="shared" si="21"/>
        <v>-0.19999999999953399</v>
      </c>
      <c r="AF11" s="50">
        <v>80385</v>
      </c>
      <c r="AG11" s="58">
        <f t="shared" si="22"/>
        <v>14</v>
      </c>
      <c r="AH11" s="61"/>
      <c r="AI11" s="60"/>
      <c r="AJ11"/>
      <c r="AK11"/>
      <c r="AL11"/>
      <c r="AM11"/>
    </row>
    <row r="12" spans="1:48">
      <c r="A12" s="21">
        <v>44848</v>
      </c>
      <c r="B12" s="22">
        <v>791.80629999999996</v>
      </c>
      <c r="C12" s="27">
        <v>6.3461999999999996</v>
      </c>
      <c r="D12" s="23">
        <f t="shared" si="0"/>
        <v>798.15250000000003</v>
      </c>
      <c r="E12" s="24">
        <f t="shared" si="4"/>
        <v>9.9999999974897905E-2</v>
      </c>
      <c r="F12" s="25">
        <f t="shared" si="5"/>
        <v>-0.90000000000145497</v>
      </c>
      <c r="G12" s="26">
        <f t="shared" si="6"/>
        <v>9.9999999974897905E-2</v>
      </c>
      <c r="H12" s="6">
        <v>7.4732000000000003</v>
      </c>
      <c r="I12" s="35">
        <f t="shared" si="1"/>
        <v>799.27949999999998</v>
      </c>
      <c r="J12" s="24">
        <f t="shared" si="7"/>
        <v>-0.199999999949796</v>
      </c>
      <c r="K12" s="25">
        <f t="shared" si="8"/>
        <v>-1.30000000001473</v>
      </c>
      <c r="L12" s="26">
        <f t="shared" si="9"/>
        <v>-0.199999999949796</v>
      </c>
      <c r="M12" s="6">
        <v>6.1154999999999999</v>
      </c>
      <c r="N12" s="35">
        <f t="shared" si="2"/>
        <v>797.92179999999996</v>
      </c>
      <c r="O12" s="24">
        <f t="shared" si="10"/>
        <v>-0.30000000003838101</v>
      </c>
      <c r="P12" s="25">
        <f t="shared" si="11"/>
        <v>-0.99999999997635303</v>
      </c>
      <c r="Q12" s="26">
        <f t="shared" si="12"/>
        <v>-0.30000000003838101</v>
      </c>
      <c r="R12" s="41"/>
      <c r="S12" s="21">
        <f t="shared" si="3"/>
        <v>44848</v>
      </c>
      <c r="T12" s="42">
        <v>8.5837000000000003</v>
      </c>
      <c r="U12" s="43">
        <f t="shared" si="13"/>
        <v>-0.19999999999953399</v>
      </c>
      <c r="V12" s="44">
        <f t="shared" si="14"/>
        <v>-1.1999999999989801</v>
      </c>
      <c r="W12" s="45">
        <f t="shared" si="15"/>
        <v>0.19999999999953399</v>
      </c>
      <c r="X12" s="29">
        <v>12.0304</v>
      </c>
      <c r="Y12" s="43">
        <f t="shared" si="16"/>
        <v>-0.19999999999953399</v>
      </c>
      <c r="Z12" s="44">
        <f t="shared" si="17"/>
        <v>-1.3000000000005201</v>
      </c>
      <c r="AA12" s="45">
        <f t="shared" si="18"/>
        <v>-0.19999999999953399</v>
      </c>
      <c r="AB12" s="49">
        <v>8.4704999999999906</v>
      </c>
      <c r="AC12" s="43">
        <f t="shared" si="19"/>
        <v>-0.200000000010192</v>
      </c>
      <c r="AD12" s="44">
        <f t="shared" si="20"/>
        <v>-1.50000000000894</v>
      </c>
      <c r="AE12" s="45">
        <f t="shared" si="21"/>
        <v>-0.200000000010192</v>
      </c>
      <c r="AF12" s="50">
        <v>80387</v>
      </c>
      <c r="AG12" s="58">
        <f t="shared" si="22"/>
        <v>16</v>
      </c>
      <c r="AH12" s="59"/>
      <c r="AI12" s="60"/>
      <c r="AJ12"/>
      <c r="AK12"/>
      <c r="AL12"/>
      <c r="AM12"/>
    </row>
    <row r="13" spans="1:48">
      <c r="A13" s="21">
        <v>44849</v>
      </c>
      <c r="B13" s="22">
        <v>791.80629999999996</v>
      </c>
      <c r="C13" s="27">
        <v>6.3456999999999999</v>
      </c>
      <c r="D13" s="23">
        <f t="shared" si="0"/>
        <v>798.15200000000004</v>
      </c>
      <c r="E13" s="24">
        <f t="shared" si="4"/>
        <v>-0.49999999998817701</v>
      </c>
      <c r="F13" s="25">
        <f t="shared" si="5"/>
        <v>-1.39999999998963</v>
      </c>
      <c r="G13" s="26">
        <f t="shared" si="6"/>
        <v>-0.49999999998817701</v>
      </c>
      <c r="H13" s="6">
        <v>7.4729999999999999</v>
      </c>
      <c r="I13" s="35">
        <f t="shared" si="1"/>
        <v>799.27930000000003</v>
      </c>
      <c r="J13" s="24">
        <f t="shared" si="7"/>
        <v>-0.20000000006348301</v>
      </c>
      <c r="K13" s="25">
        <f t="shared" si="8"/>
        <v>-1.5000000000782201</v>
      </c>
      <c r="L13" s="26">
        <f t="shared" si="9"/>
        <v>-0.20000000006348301</v>
      </c>
      <c r="M13" s="6">
        <v>6.1154000000000002</v>
      </c>
      <c r="N13" s="35">
        <f t="shared" si="2"/>
        <v>797.92169999999999</v>
      </c>
      <c r="O13" s="24">
        <f t="shared" si="10"/>
        <v>-9.9999999974897905E-2</v>
      </c>
      <c r="P13" s="25">
        <f t="shared" si="11"/>
        <v>-1.09999999995125</v>
      </c>
      <c r="Q13" s="26">
        <f t="shared" si="12"/>
        <v>-9.9999999974897905E-2</v>
      </c>
      <c r="R13" s="41"/>
      <c r="S13" s="21">
        <f t="shared" si="3"/>
        <v>44849</v>
      </c>
      <c r="T13" s="42">
        <v>8.5835000000000008</v>
      </c>
      <c r="U13" s="43">
        <f t="shared" si="13"/>
        <v>-0.19999999999953399</v>
      </c>
      <c r="V13" s="44">
        <f t="shared" si="14"/>
        <v>-1.39999999999851</v>
      </c>
      <c r="W13" s="45">
        <f t="shared" si="15"/>
        <v>0.19999999999953399</v>
      </c>
      <c r="X13" s="29">
        <v>12.0305</v>
      </c>
      <c r="Y13" s="43">
        <f t="shared" si="16"/>
        <v>9.99999999997669E-2</v>
      </c>
      <c r="Z13" s="44">
        <f t="shared" si="17"/>
        <v>-1.20000000000076</v>
      </c>
      <c r="AA13" s="45">
        <f t="shared" si="18"/>
        <v>9.99999999997669E-2</v>
      </c>
      <c r="AB13" s="49">
        <v>8.4703999999999997</v>
      </c>
      <c r="AC13" s="43">
        <f t="shared" si="19"/>
        <v>-9.9999999990885199E-2</v>
      </c>
      <c r="AD13" s="44">
        <f t="shared" si="20"/>
        <v>-1.59999999999982</v>
      </c>
      <c r="AE13" s="45">
        <f t="shared" si="21"/>
        <v>-9.9999999990885199E-2</v>
      </c>
      <c r="AF13" s="50">
        <v>80389</v>
      </c>
      <c r="AG13" s="58">
        <f t="shared" si="22"/>
        <v>18</v>
      </c>
      <c r="AH13" s="61"/>
      <c r="AI13" s="60"/>
      <c r="AJ13"/>
      <c r="AK13"/>
      <c r="AL13"/>
      <c r="AM13"/>
    </row>
    <row r="14" spans="1:48">
      <c r="A14" s="21">
        <v>44850</v>
      </c>
      <c r="B14" s="22">
        <v>791.80629999999996</v>
      </c>
      <c r="C14" s="27">
        <v>6.3455000000000004</v>
      </c>
      <c r="D14" s="23">
        <f t="shared" si="0"/>
        <v>798.15179999999998</v>
      </c>
      <c r="E14" s="24">
        <f t="shared" si="4"/>
        <v>-0.199999999949796</v>
      </c>
      <c r="F14" s="25">
        <f t="shared" si="5"/>
        <v>-1.5999999999394301</v>
      </c>
      <c r="G14" s="26">
        <f t="shared" si="6"/>
        <v>-0.199999999949796</v>
      </c>
      <c r="H14" s="6">
        <v>7.4730999999999996</v>
      </c>
      <c r="I14" s="35">
        <f t="shared" si="1"/>
        <v>799.27940000000001</v>
      </c>
      <c r="J14" s="24">
        <f t="shared" si="7"/>
        <v>0.10000000008858501</v>
      </c>
      <c r="K14" s="25">
        <f t="shared" si="8"/>
        <v>-1.39999999998963</v>
      </c>
      <c r="L14" s="26">
        <f t="shared" si="9"/>
        <v>0.10000000008858501</v>
      </c>
      <c r="M14" s="6">
        <v>6.1151999999999997</v>
      </c>
      <c r="N14" s="35">
        <f t="shared" si="2"/>
        <v>797.92150000000004</v>
      </c>
      <c r="O14" s="24">
        <f t="shared" si="10"/>
        <v>-0.20000000006348301</v>
      </c>
      <c r="P14" s="25">
        <f t="shared" si="11"/>
        <v>-1.30000000001473</v>
      </c>
      <c r="Q14" s="26">
        <f t="shared" si="12"/>
        <v>-0.20000000006348301</v>
      </c>
      <c r="R14" s="41"/>
      <c r="S14" s="21">
        <f t="shared" si="3"/>
        <v>44850</v>
      </c>
      <c r="T14" s="42">
        <v>8.5836000000000006</v>
      </c>
      <c r="U14" s="43">
        <f t="shared" si="13"/>
        <v>9.99999999997669E-2</v>
      </c>
      <c r="V14" s="44">
        <f t="shared" si="14"/>
        <v>-1.2999999999987499</v>
      </c>
      <c r="W14" s="45">
        <f t="shared" si="15"/>
        <v>-9.99999999997669E-2</v>
      </c>
      <c r="X14" s="29">
        <v>12.03</v>
      </c>
      <c r="Y14" s="43">
        <f t="shared" si="16"/>
        <v>-0.50000000000061096</v>
      </c>
      <c r="Z14" s="44">
        <f t="shared" si="17"/>
        <v>-1.70000000000137</v>
      </c>
      <c r="AA14" s="45">
        <f t="shared" si="18"/>
        <v>-0.50000000000061096</v>
      </c>
      <c r="AB14" s="49">
        <v>8.4700999999999897</v>
      </c>
      <c r="AC14" s="43">
        <f t="shared" si="19"/>
        <v>-0.30000000000995902</v>
      </c>
      <c r="AD14" s="44">
        <f t="shared" si="20"/>
        <v>-1.9000000000097801</v>
      </c>
      <c r="AE14" s="45">
        <f t="shared" si="21"/>
        <v>-0.30000000000995902</v>
      </c>
      <c r="AF14" s="50">
        <v>80391</v>
      </c>
      <c r="AG14" s="58">
        <f t="shared" si="22"/>
        <v>20</v>
      </c>
      <c r="AH14" s="59"/>
      <c r="AI14" s="60"/>
      <c r="AJ14"/>
      <c r="AK14"/>
      <c r="AL14"/>
      <c r="AM14"/>
    </row>
    <row r="15" spans="1:48">
      <c r="A15" s="21">
        <v>44851</v>
      </c>
      <c r="B15" s="22">
        <v>791.80629999999996</v>
      </c>
      <c r="C15" s="27">
        <v>6.3452999999999999</v>
      </c>
      <c r="D15" s="23">
        <f t="shared" si="0"/>
        <v>798.15160000000003</v>
      </c>
      <c r="E15" s="24">
        <f t="shared" si="4"/>
        <v>-0.20000000006348301</v>
      </c>
      <c r="F15" s="25">
        <f t="shared" si="5"/>
        <v>-1.8000000000029099</v>
      </c>
      <c r="G15" s="26">
        <f t="shared" si="6"/>
        <v>-0.20000000006348301</v>
      </c>
      <c r="H15" s="6">
        <v>7.4725999999999999</v>
      </c>
      <c r="I15" s="35">
        <f t="shared" si="1"/>
        <v>799.27890000000002</v>
      </c>
      <c r="J15" s="24">
        <f t="shared" si="7"/>
        <v>-0.49999999998817701</v>
      </c>
      <c r="K15" s="25">
        <f t="shared" si="8"/>
        <v>-1.8999999999778101</v>
      </c>
      <c r="L15" s="26">
        <f t="shared" si="9"/>
        <v>-0.49999999998817701</v>
      </c>
      <c r="M15" s="6">
        <v>6.1150000000000002</v>
      </c>
      <c r="N15" s="35">
        <f t="shared" si="2"/>
        <v>797.92129999999997</v>
      </c>
      <c r="O15" s="24">
        <f t="shared" si="10"/>
        <v>-0.199999999949796</v>
      </c>
      <c r="P15" s="25">
        <f t="shared" si="11"/>
        <v>-1.4999999999645299</v>
      </c>
      <c r="Q15" s="26">
        <f t="shared" si="12"/>
        <v>-0.199999999949796</v>
      </c>
      <c r="R15" s="41"/>
      <c r="S15" s="21">
        <f t="shared" si="3"/>
        <v>44851</v>
      </c>
      <c r="T15" s="42">
        <v>8.5831</v>
      </c>
      <c r="U15" s="43">
        <f t="shared" si="13"/>
        <v>-0.50000000000061096</v>
      </c>
      <c r="V15" s="44">
        <f t="shared" si="14"/>
        <v>-1.7999999999993599</v>
      </c>
      <c r="W15" s="45">
        <f t="shared" si="15"/>
        <v>0.50000000000061096</v>
      </c>
      <c r="X15" s="29">
        <v>12.0298</v>
      </c>
      <c r="Y15" s="43">
        <f t="shared" si="16"/>
        <v>-0.19999999999953399</v>
      </c>
      <c r="Z15" s="44">
        <f t="shared" si="17"/>
        <v>-1.9000000000009001</v>
      </c>
      <c r="AA15" s="45">
        <f t="shared" si="18"/>
        <v>-0.19999999999953399</v>
      </c>
      <c r="AB15" s="49">
        <v>8.4698999999999902</v>
      </c>
      <c r="AC15" s="43">
        <f t="shared" si="19"/>
        <v>-0.19999999999953399</v>
      </c>
      <c r="AD15" s="44">
        <f t="shared" si="20"/>
        <v>-2.1000000000093202</v>
      </c>
      <c r="AE15" s="45">
        <f t="shared" si="21"/>
        <v>-0.19999999999953399</v>
      </c>
      <c r="AF15" s="50">
        <v>80393</v>
      </c>
      <c r="AG15" s="58">
        <f t="shared" si="22"/>
        <v>22</v>
      </c>
      <c r="AH15" s="61"/>
      <c r="AI15" s="60"/>
      <c r="AJ15"/>
      <c r="AK15"/>
      <c r="AL15"/>
      <c r="AM15"/>
    </row>
    <row r="16" spans="1:48">
      <c r="A16" s="21">
        <v>44852</v>
      </c>
      <c r="B16" s="22">
        <v>791.80629999999996</v>
      </c>
      <c r="C16" s="27">
        <v>6.3451000000000004</v>
      </c>
      <c r="D16" s="23">
        <f t="shared" si="0"/>
        <v>798.15139999999997</v>
      </c>
      <c r="E16" s="24">
        <f t="shared" si="4"/>
        <v>-0.199999999949796</v>
      </c>
      <c r="F16" s="25">
        <f t="shared" si="5"/>
        <v>-1.9999999999527101</v>
      </c>
      <c r="G16" s="26">
        <f t="shared" si="6"/>
        <v>-0.199999999949796</v>
      </c>
      <c r="H16" s="6">
        <v>7.4724000000000004</v>
      </c>
      <c r="I16" s="35">
        <f t="shared" si="1"/>
        <v>799.27869999999996</v>
      </c>
      <c r="J16" s="24">
        <f t="shared" si="7"/>
        <v>-0.20000000006348301</v>
      </c>
      <c r="K16" s="25">
        <f t="shared" si="8"/>
        <v>-2.1000000000412902</v>
      </c>
      <c r="L16" s="26">
        <f t="shared" si="9"/>
        <v>-0.20000000006348301</v>
      </c>
      <c r="M16" s="6">
        <v>6.1153000000000004</v>
      </c>
      <c r="N16" s="35">
        <f t="shared" si="2"/>
        <v>797.92160000000001</v>
      </c>
      <c r="O16" s="24">
        <f t="shared" si="10"/>
        <v>0.30000000003838101</v>
      </c>
      <c r="P16" s="25">
        <f t="shared" si="11"/>
        <v>-1.1999999999261499</v>
      </c>
      <c r="Q16" s="26">
        <f t="shared" si="12"/>
        <v>0.30000000003838101</v>
      </c>
      <c r="R16" s="41"/>
      <c r="S16" s="21">
        <f t="shared" si="3"/>
        <v>44852</v>
      </c>
      <c r="T16" s="42">
        <v>8.5829000000000004</v>
      </c>
      <c r="U16" s="43">
        <f t="shared" si="13"/>
        <v>-0.19999999999953399</v>
      </c>
      <c r="V16" s="44">
        <f t="shared" si="14"/>
        <v>-1.99999999999889</v>
      </c>
      <c r="W16" s="45">
        <f t="shared" si="15"/>
        <v>0.19999999999953399</v>
      </c>
      <c r="X16" s="29">
        <v>12.0296</v>
      </c>
      <c r="Y16" s="43">
        <f t="shared" si="16"/>
        <v>-0.19999999999953399</v>
      </c>
      <c r="Z16" s="44">
        <f t="shared" si="17"/>
        <v>-2.10000000000043</v>
      </c>
      <c r="AA16" s="45">
        <f t="shared" si="18"/>
        <v>-0.19999999999953399</v>
      </c>
      <c r="AB16" s="49">
        <v>8.4696999999999907</v>
      </c>
      <c r="AC16" s="43">
        <f t="shared" si="19"/>
        <v>-0.19999999999953399</v>
      </c>
      <c r="AD16" s="44">
        <f t="shared" si="20"/>
        <v>-2.3000000000088501</v>
      </c>
      <c r="AE16" s="45">
        <f t="shared" si="21"/>
        <v>-0.19999999999953399</v>
      </c>
      <c r="AF16" s="50">
        <v>80395</v>
      </c>
      <c r="AG16" s="58">
        <f t="shared" si="22"/>
        <v>24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44853</v>
      </c>
      <c r="B17" s="22">
        <v>791.80629999999996</v>
      </c>
      <c r="C17" s="27">
        <v>6.3452000000000002</v>
      </c>
      <c r="D17" s="23">
        <f t="shared" si="0"/>
        <v>798.15150000000006</v>
      </c>
      <c r="E17" s="24">
        <f t="shared" si="4"/>
        <v>9.9999999974897905E-2</v>
      </c>
      <c r="F17" s="25">
        <f t="shared" si="5"/>
        <v>-1.8999999999778101</v>
      </c>
      <c r="G17" s="26">
        <f t="shared" si="6"/>
        <v>9.9999999974897905E-2</v>
      </c>
      <c r="H17" s="6">
        <v>7.4722</v>
      </c>
      <c r="I17" s="35">
        <f t="shared" si="1"/>
        <v>799.27850000000001</v>
      </c>
      <c r="J17" s="24">
        <f t="shared" si="7"/>
        <v>-0.199999999949796</v>
      </c>
      <c r="K17" s="25">
        <f t="shared" si="8"/>
        <v>-2.2999999999910901</v>
      </c>
      <c r="L17" s="26">
        <f t="shared" si="9"/>
        <v>-0.199999999949796</v>
      </c>
      <c r="M17" s="6">
        <v>6.1146000000000003</v>
      </c>
      <c r="N17" s="35">
        <f t="shared" si="2"/>
        <v>797.92089999999996</v>
      </c>
      <c r="O17" s="24">
        <f t="shared" si="10"/>
        <v>-0.70000000005165897</v>
      </c>
      <c r="P17" s="25">
        <f t="shared" si="11"/>
        <v>-1.8999999999778101</v>
      </c>
      <c r="Q17" s="26">
        <f t="shared" si="12"/>
        <v>-0.70000000005165897</v>
      </c>
      <c r="R17" s="41"/>
      <c r="S17" s="21">
        <f t="shared" si="3"/>
        <v>44853</v>
      </c>
      <c r="T17" s="42">
        <v>8.5827000000000009</v>
      </c>
      <c r="U17" s="43">
        <f t="shared" si="13"/>
        <v>-0.19999999999953399</v>
      </c>
      <c r="V17" s="44">
        <f t="shared" si="14"/>
        <v>-2.1999999999984299</v>
      </c>
      <c r="W17" s="45">
        <f t="shared" si="15"/>
        <v>0.19999999999953399</v>
      </c>
      <c r="X17" s="29">
        <v>12.029500000000001</v>
      </c>
      <c r="Y17" s="43">
        <f t="shared" si="16"/>
        <v>-9.99999999997669E-2</v>
      </c>
      <c r="Z17" s="44">
        <f t="shared" si="17"/>
        <v>-2.2000000000002</v>
      </c>
      <c r="AA17" s="45">
        <f t="shared" si="18"/>
        <v>-9.99999999997669E-2</v>
      </c>
      <c r="AB17" s="49">
        <v>8.4695</v>
      </c>
      <c r="AC17" s="43">
        <f t="shared" si="19"/>
        <v>-0.19999999999065199</v>
      </c>
      <c r="AD17" s="44">
        <f t="shared" si="20"/>
        <v>-2.4999999999995</v>
      </c>
      <c r="AE17" s="45">
        <f t="shared" si="21"/>
        <v>-0.19999999999065199</v>
      </c>
      <c r="AF17" s="50">
        <v>80397</v>
      </c>
      <c r="AG17" s="58">
        <f t="shared" si="22"/>
        <v>26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44854</v>
      </c>
      <c r="B18" s="22">
        <v>791.80629999999996</v>
      </c>
      <c r="C18" s="27">
        <v>6.3449999999999998</v>
      </c>
      <c r="D18" s="23">
        <f t="shared" si="0"/>
        <v>798.15129999999999</v>
      </c>
      <c r="E18" s="24">
        <f t="shared" si="4"/>
        <v>-0.199999999949796</v>
      </c>
      <c r="F18" s="25">
        <f t="shared" si="5"/>
        <v>-2.0999999999275998</v>
      </c>
      <c r="G18" s="26">
        <f t="shared" si="6"/>
        <v>-0.199999999949796</v>
      </c>
      <c r="H18" s="6">
        <v>7.4721000000000002</v>
      </c>
      <c r="I18" s="35">
        <f t="shared" si="1"/>
        <v>799.27840000000003</v>
      </c>
      <c r="J18" s="24">
        <f t="shared" si="7"/>
        <v>-0.10000000008858501</v>
      </c>
      <c r="K18" s="25">
        <f t="shared" si="8"/>
        <v>-2.40000000007967</v>
      </c>
      <c r="L18" s="26">
        <f t="shared" si="9"/>
        <v>-0.10000000008858501</v>
      </c>
      <c r="M18" s="6">
        <v>6.1143000000000001</v>
      </c>
      <c r="N18" s="35">
        <f t="shared" si="2"/>
        <v>797.92060000000004</v>
      </c>
      <c r="O18" s="24">
        <f t="shared" si="10"/>
        <v>-0.30000000003838101</v>
      </c>
      <c r="P18" s="25">
        <f t="shared" si="11"/>
        <v>-2.2000000000161899</v>
      </c>
      <c r="Q18" s="26">
        <f t="shared" si="12"/>
        <v>-0.30000000003838101</v>
      </c>
      <c r="R18" s="41"/>
      <c r="S18" s="21">
        <f t="shared" si="3"/>
        <v>44854</v>
      </c>
      <c r="T18" s="42">
        <v>8.5825999999999993</v>
      </c>
      <c r="U18" s="43">
        <f t="shared" si="13"/>
        <v>-0.10000000000154299</v>
      </c>
      <c r="V18" s="44">
        <f t="shared" si="14"/>
        <v>-2.2999999999999701</v>
      </c>
      <c r="W18" s="45">
        <f t="shared" si="15"/>
        <v>0.10000000000154299</v>
      </c>
      <c r="X18" s="29">
        <v>12.0296</v>
      </c>
      <c r="Y18" s="43">
        <f t="shared" si="16"/>
        <v>9.99999999997669E-2</v>
      </c>
      <c r="Z18" s="44">
        <f t="shared" si="17"/>
        <v>-2.10000000000043</v>
      </c>
      <c r="AA18" s="45">
        <f t="shared" si="18"/>
        <v>9.99999999997669E-2</v>
      </c>
      <c r="AB18" s="49">
        <v>8.4694000000000003</v>
      </c>
      <c r="AC18" s="43">
        <f t="shared" si="19"/>
        <v>-9.99999999997669E-2</v>
      </c>
      <c r="AD18" s="44">
        <f t="shared" si="20"/>
        <v>-2.59999999999927</v>
      </c>
      <c r="AE18" s="45">
        <f t="shared" si="21"/>
        <v>-9.99999999997669E-2</v>
      </c>
      <c r="AF18" s="50">
        <v>80399</v>
      </c>
      <c r="AG18" s="58">
        <f t="shared" si="22"/>
        <v>28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44855</v>
      </c>
      <c r="B19" s="22">
        <v>791.80629999999996</v>
      </c>
      <c r="C19" s="27">
        <v>6.3448000000000002</v>
      </c>
      <c r="D19" s="23">
        <f t="shared" si="0"/>
        <v>798.15110000000004</v>
      </c>
      <c r="E19" s="24">
        <f t="shared" si="4"/>
        <v>-0.20000000006348301</v>
      </c>
      <c r="F19" s="25">
        <f t="shared" si="5"/>
        <v>-2.2999999999910901</v>
      </c>
      <c r="G19" s="26">
        <f t="shared" si="6"/>
        <v>-0.20000000006348301</v>
      </c>
      <c r="H19" s="6">
        <v>7.4720000000000004</v>
      </c>
      <c r="I19" s="35">
        <f t="shared" si="1"/>
        <v>799.27829999999994</v>
      </c>
      <c r="J19" s="24">
        <f t="shared" si="7"/>
        <v>-9.9999999974897905E-2</v>
      </c>
      <c r="K19" s="25">
        <f t="shared" si="8"/>
        <v>-2.5000000000545701</v>
      </c>
      <c r="L19" s="26">
        <f t="shared" si="9"/>
        <v>-9.9999999974897905E-2</v>
      </c>
      <c r="M19" s="6">
        <v>6.1139999999999999</v>
      </c>
      <c r="N19" s="35">
        <f t="shared" si="2"/>
        <v>797.9203</v>
      </c>
      <c r="O19" s="24">
        <f t="shared" si="10"/>
        <v>-0.29999999992469401</v>
      </c>
      <c r="P19" s="25">
        <f t="shared" si="11"/>
        <v>-2.4999999999408802</v>
      </c>
      <c r="Q19" s="26">
        <f t="shared" si="12"/>
        <v>-0.29999999992469401</v>
      </c>
      <c r="R19" s="41"/>
      <c r="S19" s="21">
        <f t="shared" ref="S19:S27" si="23">A19</f>
        <v>44855</v>
      </c>
      <c r="T19" s="42">
        <v>8.5824999999999996</v>
      </c>
      <c r="U19" s="43">
        <f t="shared" ref="U19:U27" si="24">(T19-T18)*1000</f>
        <v>-9.99999999997669E-2</v>
      </c>
      <c r="V19" s="44">
        <f t="shared" ref="V19:V27" si="25">V18+U19</f>
        <v>-2.3999999999997401</v>
      </c>
      <c r="W19" s="45">
        <f t="shared" ref="W19:W27" si="26">U19/(S18-S19)</f>
        <v>9.99999999997669E-2</v>
      </c>
      <c r="X19" s="29">
        <v>12.029199999999999</v>
      </c>
      <c r="Y19" s="43">
        <f t="shared" ref="Y19:Y27" si="27">(X19-X18)*1000</f>
        <v>-0.40000000000084401</v>
      </c>
      <c r="Z19" s="44">
        <f t="shared" ref="Z19:Z27" si="28">Z18+Y19</f>
        <v>-2.5000000000012799</v>
      </c>
      <c r="AA19" s="45">
        <f t="shared" ref="AA19:AA27" si="29">Y19/(S19-S18)</f>
        <v>-0.40000000000084401</v>
      </c>
      <c r="AB19" s="49">
        <v>8.4693000000000005</v>
      </c>
      <c r="AC19" s="43">
        <f t="shared" ref="AC19:AC27" si="30">(AB19-AB18)*1000</f>
        <v>-9.99999999997669E-2</v>
      </c>
      <c r="AD19" s="44">
        <f t="shared" ref="AD19:AD27" si="31">AD18+AC19</f>
        <v>-2.6999999999990401</v>
      </c>
      <c r="AE19" s="45">
        <f t="shared" ref="AE19:AE27" si="32">AC19/(S19-S18)</f>
        <v>-9.99999999997669E-2</v>
      </c>
      <c r="AF19" s="50">
        <v>80401</v>
      </c>
      <c r="AG19" s="58">
        <f t="shared" ref="AG19:AG27" si="33">AF19-80371</f>
        <v>30</v>
      </c>
      <c r="AH19" s="61"/>
      <c r="AI19" s="60"/>
      <c r="AJ19"/>
      <c r="AK19"/>
      <c r="AL19"/>
      <c r="AM19"/>
    </row>
    <row r="20" spans="1:48">
      <c r="A20" s="21">
        <v>44856</v>
      </c>
      <c r="B20" s="22">
        <v>791.80629999999996</v>
      </c>
      <c r="C20" s="27">
        <v>6.3445</v>
      </c>
      <c r="D20" s="23">
        <f t="shared" si="0"/>
        <v>798.1508</v>
      </c>
      <c r="E20" s="24">
        <f t="shared" si="4"/>
        <v>-0.29999999992469401</v>
      </c>
      <c r="F20" s="25">
        <f t="shared" si="5"/>
        <v>-2.5999999999157799</v>
      </c>
      <c r="G20" s="26">
        <f t="shared" si="6"/>
        <v>-0.29999999992469401</v>
      </c>
      <c r="H20" s="6">
        <v>7.4722</v>
      </c>
      <c r="I20" s="35">
        <f t="shared" si="1"/>
        <v>799.27850000000001</v>
      </c>
      <c r="J20" s="24">
        <f t="shared" si="7"/>
        <v>0.20000000006348301</v>
      </c>
      <c r="K20" s="25">
        <f t="shared" si="8"/>
        <v>-2.2999999999910901</v>
      </c>
      <c r="L20" s="26">
        <f t="shared" si="9"/>
        <v>0.20000000006348301</v>
      </c>
      <c r="M20" s="6">
        <v>6.1140999999999996</v>
      </c>
      <c r="N20" s="35">
        <f t="shared" si="2"/>
        <v>797.92039999999997</v>
      </c>
      <c r="O20" s="24">
        <f t="shared" si="10"/>
        <v>9.9999999974897905E-2</v>
      </c>
      <c r="P20" s="25">
        <f t="shared" si="11"/>
        <v>-2.39999999996598</v>
      </c>
      <c r="Q20" s="26">
        <f t="shared" si="12"/>
        <v>9.9999999974897905E-2</v>
      </c>
      <c r="R20" s="41"/>
      <c r="S20" s="21">
        <f t="shared" si="23"/>
        <v>44856</v>
      </c>
      <c r="T20" s="42">
        <v>8.5825999999999993</v>
      </c>
      <c r="U20" s="43">
        <f t="shared" si="24"/>
        <v>9.99999999997669E-2</v>
      </c>
      <c r="V20" s="44">
        <f t="shared" si="25"/>
        <v>-2.2999999999999701</v>
      </c>
      <c r="W20" s="45">
        <f t="shared" si="26"/>
        <v>-9.99999999997669E-2</v>
      </c>
      <c r="X20" s="29">
        <v>12.0298</v>
      </c>
      <c r="Y20" s="43">
        <f t="shared" si="27"/>
        <v>0.60000000000037801</v>
      </c>
      <c r="Z20" s="44">
        <f t="shared" si="28"/>
        <v>-1.9000000000009001</v>
      </c>
      <c r="AA20" s="45">
        <f t="shared" si="29"/>
        <v>0.60000000000037801</v>
      </c>
      <c r="AB20" s="49">
        <v>8.4692000000000007</v>
      </c>
      <c r="AC20" s="43">
        <f t="shared" si="30"/>
        <v>-9.99999999997669E-2</v>
      </c>
      <c r="AD20" s="44">
        <f t="shared" si="31"/>
        <v>-2.7999999999987999</v>
      </c>
      <c r="AE20" s="45">
        <f t="shared" si="32"/>
        <v>-9.99999999997669E-2</v>
      </c>
      <c r="AF20" s="50">
        <v>80403</v>
      </c>
      <c r="AG20" s="58">
        <f t="shared" si="33"/>
        <v>32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44858</v>
      </c>
      <c r="B21" s="22">
        <v>791.80629999999996</v>
      </c>
      <c r="C21" s="27">
        <v>6.3444000000000003</v>
      </c>
      <c r="D21" s="23">
        <f t="shared" ref="D21:D27" si="34">C21+B21</f>
        <v>798.15070000000003</v>
      </c>
      <c r="E21" s="24">
        <f t="shared" ref="E21:E27" si="35">(D21-D20)*1000</f>
        <v>-0.10000000008858501</v>
      </c>
      <c r="F21" s="25">
        <f t="shared" ref="F21:F27" si="36">F20+E21</f>
        <v>-2.70000000000437</v>
      </c>
      <c r="G21" s="26">
        <f t="shared" ref="G21:G27" si="37">E21/(A21-A20)</f>
        <v>-5.0000000044292399E-2</v>
      </c>
      <c r="H21" s="6">
        <v>7.4718</v>
      </c>
      <c r="I21" s="35">
        <f t="shared" ref="I21:I27" si="38">H21+B21</f>
        <v>799.27809999999999</v>
      </c>
      <c r="J21" s="24">
        <f t="shared" ref="J21:J27" si="39">(I21-I20)*1000</f>
        <v>-0.40000000001327901</v>
      </c>
      <c r="K21" s="25">
        <f t="shared" ref="K21:K27" si="40">K20+J21</f>
        <v>-2.70000000000437</v>
      </c>
      <c r="L21" s="26">
        <f t="shared" ref="L21:L27" si="41">J21/(A21-A20)</f>
        <v>-0.20000000000663901</v>
      </c>
      <c r="M21" s="6">
        <v>6.1134000000000004</v>
      </c>
      <c r="N21" s="35">
        <f t="shared" ref="N21:N27" si="42">M21+B21</f>
        <v>797.91970000000003</v>
      </c>
      <c r="O21" s="24">
        <f t="shared" ref="O21:O27" si="43">(N21-N20)*1000</f>
        <v>-0.70000000005165897</v>
      </c>
      <c r="P21" s="25">
        <f t="shared" ref="P21:P27" si="44">P20+O21</f>
        <v>-3.1000000000176402</v>
      </c>
      <c r="Q21" s="26">
        <f t="shared" ref="Q21:Q27" si="45">O21/(A21-A20)</f>
        <v>-0.35000000002582998</v>
      </c>
      <c r="R21" s="41"/>
      <c r="S21" s="21">
        <f t="shared" si="23"/>
        <v>44858</v>
      </c>
      <c r="T21" s="42">
        <v>8.5822999999999894</v>
      </c>
      <c r="U21" s="43">
        <f t="shared" si="24"/>
        <v>-0.30000000000995902</v>
      </c>
      <c r="V21" s="44">
        <f t="shared" si="25"/>
        <v>-2.6000000000099299</v>
      </c>
      <c r="W21" s="45">
        <f t="shared" si="26"/>
        <v>0.15000000000497901</v>
      </c>
      <c r="X21" s="29">
        <v>12.0299</v>
      </c>
      <c r="Y21" s="43">
        <f t="shared" si="27"/>
        <v>9.99999999997669E-2</v>
      </c>
      <c r="Z21" s="44">
        <f t="shared" si="28"/>
        <v>-1.80000000000113</v>
      </c>
      <c r="AA21" s="45">
        <f t="shared" si="29"/>
        <v>4.9999999999883499E-2</v>
      </c>
      <c r="AB21" s="49">
        <v>8.4689999999999994</v>
      </c>
      <c r="AC21" s="43">
        <f t="shared" si="30"/>
        <v>-0.20000000000130999</v>
      </c>
      <c r="AD21" s="44">
        <f t="shared" si="31"/>
        <v>-3.0000000000001101</v>
      </c>
      <c r="AE21" s="45">
        <f t="shared" si="32"/>
        <v>-0.100000000000655</v>
      </c>
      <c r="AF21" s="50">
        <v>80405</v>
      </c>
      <c r="AG21" s="58">
        <f t="shared" si="33"/>
        <v>34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44860</v>
      </c>
      <c r="B22" s="22">
        <v>791.80629999999996</v>
      </c>
      <c r="C22" s="27">
        <v>6.3441999999999998</v>
      </c>
      <c r="D22" s="23">
        <f t="shared" si="34"/>
        <v>798.15049999999997</v>
      </c>
      <c r="E22" s="24">
        <f t="shared" si="35"/>
        <v>-0.199999999949796</v>
      </c>
      <c r="F22" s="25">
        <f t="shared" si="36"/>
        <v>-2.8999999999541601</v>
      </c>
      <c r="G22" s="26">
        <f t="shared" si="37"/>
        <v>-9.9999999974897905E-2</v>
      </c>
      <c r="H22" s="6">
        <v>7.4717000000000002</v>
      </c>
      <c r="I22" s="35">
        <f t="shared" si="38"/>
        <v>799.27800000000002</v>
      </c>
      <c r="J22" s="24">
        <f t="shared" si="39"/>
        <v>-9.9999999974897905E-2</v>
      </c>
      <c r="K22" s="25">
        <f t="shared" si="40"/>
        <v>-2.79999999997926</v>
      </c>
      <c r="L22" s="26">
        <f t="shared" si="41"/>
        <v>-4.9999999987449001E-2</v>
      </c>
      <c r="M22" s="6">
        <v>6.1131000000000002</v>
      </c>
      <c r="N22" s="35">
        <f t="shared" si="42"/>
        <v>797.9194</v>
      </c>
      <c r="O22" s="24">
        <f t="shared" si="43"/>
        <v>-0.29999999992469401</v>
      </c>
      <c r="P22" s="25">
        <f t="shared" si="44"/>
        <v>-3.3999999999423398</v>
      </c>
      <c r="Q22" s="26">
        <f t="shared" si="45"/>
        <v>-0.149999999962347</v>
      </c>
      <c r="R22" s="41"/>
      <c r="S22" s="21">
        <f t="shared" si="23"/>
        <v>44860</v>
      </c>
      <c r="T22" s="42">
        <v>8.5821999999999896</v>
      </c>
      <c r="U22" s="43">
        <f t="shared" si="24"/>
        <v>-9.99999999997669E-2</v>
      </c>
      <c r="V22" s="44">
        <f t="shared" si="25"/>
        <v>-2.7000000000096902</v>
      </c>
      <c r="W22" s="45">
        <f t="shared" si="26"/>
        <v>4.9999999999883499E-2</v>
      </c>
      <c r="X22" s="29">
        <v>12.029</v>
      </c>
      <c r="Y22" s="43">
        <f t="shared" si="27"/>
        <v>-0.89999999999967895</v>
      </c>
      <c r="Z22" s="44">
        <f t="shared" si="28"/>
        <v>-2.7000000000008102</v>
      </c>
      <c r="AA22" s="45">
        <f t="shared" si="29"/>
        <v>-0.44999999999983897</v>
      </c>
      <c r="AB22" s="49">
        <v>8.4689999999999994</v>
      </c>
      <c r="AC22" s="43">
        <f t="shared" si="30"/>
        <v>0</v>
      </c>
      <c r="AD22" s="44">
        <f t="shared" si="31"/>
        <v>-3.0000000000001101</v>
      </c>
      <c r="AE22" s="45">
        <f t="shared" si="32"/>
        <v>0</v>
      </c>
      <c r="AF22" s="50">
        <v>80407</v>
      </c>
      <c r="AG22" s="58">
        <f t="shared" si="33"/>
        <v>36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44862</v>
      </c>
      <c r="B23" s="22">
        <v>791.80629999999996</v>
      </c>
      <c r="C23" s="27">
        <v>6.3444000000000003</v>
      </c>
      <c r="D23" s="23">
        <f t="shared" si="34"/>
        <v>798.15070000000003</v>
      </c>
      <c r="E23" s="24">
        <f t="shared" si="35"/>
        <v>0.199999999949796</v>
      </c>
      <c r="F23" s="25">
        <f t="shared" si="36"/>
        <v>-2.70000000000437</v>
      </c>
      <c r="G23" s="26">
        <f t="shared" si="37"/>
        <v>9.9999999974897905E-2</v>
      </c>
      <c r="H23" s="6">
        <v>7.4714999999999998</v>
      </c>
      <c r="I23" s="35">
        <f t="shared" si="38"/>
        <v>799.27779999999996</v>
      </c>
      <c r="J23" s="24">
        <f t="shared" si="39"/>
        <v>-0.20000000006348301</v>
      </c>
      <c r="K23" s="25">
        <f t="shared" si="40"/>
        <v>-3.0000000000427498</v>
      </c>
      <c r="L23" s="26">
        <f t="shared" si="41"/>
        <v>-0.100000000031741</v>
      </c>
      <c r="M23" s="6">
        <v>6.1135000000000002</v>
      </c>
      <c r="N23" s="35">
        <f t="shared" si="42"/>
        <v>797.91980000000001</v>
      </c>
      <c r="O23" s="24">
        <f t="shared" si="43"/>
        <v>0.40000000001327901</v>
      </c>
      <c r="P23" s="25">
        <f t="shared" si="44"/>
        <v>-2.9999999999290599</v>
      </c>
      <c r="Q23" s="26">
        <f t="shared" si="45"/>
        <v>0.20000000000663901</v>
      </c>
      <c r="R23" s="41"/>
      <c r="S23" s="21">
        <f t="shared" si="23"/>
        <v>44862</v>
      </c>
      <c r="T23" s="42">
        <v>8.5820999999999898</v>
      </c>
      <c r="U23" s="43">
        <f t="shared" si="24"/>
        <v>-9.99999999997669E-2</v>
      </c>
      <c r="V23" s="44">
        <f t="shared" si="25"/>
        <v>-2.8000000000094598</v>
      </c>
      <c r="W23" s="45">
        <f t="shared" si="26"/>
        <v>4.9999999999883499E-2</v>
      </c>
      <c r="X23" s="29">
        <v>12.0289</v>
      </c>
      <c r="Y23" s="43">
        <f t="shared" si="27"/>
        <v>-9.99999999997669E-2</v>
      </c>
      <c r="Z23" s="44">
        <f t="shared" si="28"/>
        <v>-2.8000000000005798</v>
      </c>
      <c r="AA23" s="45">
        <f t="shared" si="29"/>
        <v>-4.9999999999883499E-2</v>
      </c>
      <c r="AB23" s="49">
        <v>8.4688999999999997</v>
      </c>
      <c r="AC23" s="43">
        <f t="shared" si="30"/>
        <v>-9.99999999997669E-2</v>
      </c>
      <c r="AD23" s="44">
        <f t="shared" si="31"/>
        <v>-3.0999999999998802</v>
      </c>
      <c r="AE23" s="45">
        <f t="shared" si="32"/>
        <v>-4.9999999999883499E-2</v>
      </c>
      <c r="AF23" s="50">
        <v>80409</v>
      </c>
      <c r="AG23" s="58">
        <f t="shared" si="33"/>
        <v>38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44864</v>
      </c>
      <c r="B24" s="22">
        <v>791.80629999999996</v>
      </c>
      <c r="C24" s="27">
        <v>6.3437999999999999</v>
      </c>
      <c r="D24" s="23">
        <f t="shared" si="34"/>
        <v>798.15009999999995</v>
      </c>
      <c r="E24" s="24">
        <f t="shared" si="35"/>
        <v>-0.59999999996307496</v>
      </c>
      <c r="F24" s="25">
        <f t="shared" si="36"/>
        <v>-3.2999999999674401</v>
      </c>
      <c r="G24" s="26">
        <f t="shared" si="37"/>
        <v>-0.29999999998153698</v>
      </c>
      <c r="H24" s="6">
        <v>7.4714999999999998</v>
      </c>
      <c r="I24" s="35">
        <f t="shared" si="38"/>
        <v>799.27779999999996</v>
      </c>
      <c r="J24" s="24">
        <f t="shared" si="39"/>
        <v>0</v>
      </c>
      <c r="K24" s="25">
        <f t="shared" si="40"/>
        <v>-3.0000000000427498</v>
      </c>
      <c r="L24" s="26">
        <f t="shared" si="41"/>
        <v>0</v>
      </c>
      <c r="M24" s="6">
        <v>6.1124999999999998</v>
      </c>
      <c r="N24" s="35">
        <f t="shared" si="42"/>
        <v>797.91880000000003</v>
      </c>
      <c r="O24" s="24">
        <f t="shared" si="43"/>
        <v>-1.00000000009004</v>
      </c>
      <c r="P24" s="25">
        <f t="shared" si="44"/>
        <v>-4.0000000000191003</v>
      </c>
      <c r="Q24" s="26">
        <f t="shared" si="45"/>
        <v>-0.50000000004501999</v>
      </c>
      <c r="R24" s="41"/>
      <c r="S24" s="21">
        <f t="shared" si="23"/>
        <v>44864</v>
      </c>
      <c r="T24" s="42">
        <v>8.5822000000000003</v>
      </c>
      <c r="U24" s="43">
        <f t="shared" si="24"/>
        <v>0.100000000010425</v>
      </c>
      <c r="V24" s="44">
        <f t="shared" si="25"/>
        <v>-2.6999999999990401</v>
      </c>
      <c r="W24" s="45">
        <f t="shared" si="26"/>
        <v>-5.00000000052125E-2</v>
      </c>
      <c r="X24" s="29">
        <v>12.0288</v>
      </c>
      <c r="Y24" s="43">
        <f t="shared" si="27"/>
        <v>-9.99999999997669E-2</v>
      </c>
      <c r="Z24" s="44">
        <f t="shared" si="28"/>
        <v>-2.9000000000003499</v>
      </c>
      <c r="AA24" s="45">
        <f t="shared" si="29"/>
        <v>-4.9999999999883499E-2</v>
      </c>
      <c r="AB24" s="49">
        <v>8.4688999999999997</v>
      </c>
      <c r="AC24" s="43">
        <f t="shared" si="30"/>
        <v>0</v>
      </c>
      <c r="AD24" s="44">
        <f t="shared" si="31"/>
        <v>-3.0999999999998802</v>
      </c>
      <c r="AE24" s="45">
        <f t="shared" si="32"/>
        <v>0</v>
      </c>
      <c r="AF24" s="50">
        <v>80411</v>
      </c>
      <c r="AG24" s="58">
        <f t="shared" si="33"/>
        <v>40</v>
      </c>
      <c r="AH24" s="59"/>
      <c r="AI24" s="60"/>
      <c r="AJ24" s="52"/>
      <c r="AK24" s="52"/>
      <c r="AL24" s="52"/>
      <c r="AM24" s="52"/>
    </row>
    <row r="25" spans="1:48">
      <c r="A25" s="21">
        <v>44866</v>
      </c>
      <c r="B25" s="22">
        <v>791.80629999999996</v>
      </c>
      <c r="C25" s="27">
        <v>6.3436000000000003</v>
      </c>
      <c r="D25" s="23">
        <f t="shared" si="34"/>
        <v>798.1499</v>
      </c>
      <c r="E25" s="24">
        <f t="shared" si="35"/>
        <v>-0.199999999949796</v>
      </c>
      <c r="F25" s="25">
        <f t="shared" si="36"/>
        <v>-3.49999999991724</v>
      </c>
      <c r="G25" s="26">
        <f t="shared" si="37"/>
        <v>-9.9999999974897905E-2</v>
      </c>
      <c r="H25" s="6">
        <v>7.4714</v>
      </c>
      <c r="I25" s="35">
        <f t="shared" si="38"/>
        <v>799.27769999999998</v>
      </c>
      <c r="J25" s="24">
        <f t="shared" si="39"/>
        <v>-9.9999999974897905E-2</v>
      </c>
      <c r="K25" s="25">
        <f t="shared" si="40"/>
        <v>-3.1000000000176402</v>
      </c>
      <c r="L25" s="26">
        <f t="shared" si="41"/>
        <v>-4.9999999987449001E-2</v>
      </c>
      <c r="M25" s="6">
        <v>6.1121999999999996</v>
      </c>
      <c r="N25" s="35">
        <f t="shared" si="42"/>
        <v>797.91849999999999</v>
      </c>
      <c r="O25" s="24">
        <f t="shared" si="43"/>
        <v>-0.29999999992469401</v>
      </c>
      <c r="P25" s="25">
        <f t="shared" si="44"/>
        <v>-4.2999999999437897</v>
      </c>
      <c r="Q25" s="26">
        <f t="shared" si="45"/>
        <v>-0.149999999962347</v>
      </c>
      <c r="R25" s="41"/>
      <c r="S25" s="21">
        <f t="shared" si="23"/>
        <v>44866</v>
      </c>
      <c r="T25" s="42">
        <v>8.5818999999999903</v>
      </c>
      <c r="U25" s="43">
        <f t="shared" si="24"/>
        <v>-0.30000000000995902</v>
      </c>
      <c r="V25" s="44">
        <f t="shared" si="25"/>
        <v>-3.0000000000089999</v>
      </c>
      <c r="W25" s="45">
        <f t="shared" si="26"/>
        <v>0.15000000000497901</v>
      </c>
      <c r="X25" s="29">
        <v>12.0283</v>
      </c>
      <c r="Y25" s="43">
        <f t="shared" si="27"/>
        <v>-0.50000000000061096</v>
      </c>
      <c r="Z25" s="44">
        <f t="shared" si="28"/>
        <v>-3.40000000000096</v>
      </c>
      <c r="AA25" s="45">
        <f t="shared" si="29"/>
        <v>-0.25000000000030598</v>
      </c>
      <c r="AB25" s="49">
        <v>8.4687000000000001</v>
      </c>
      <c r="AC25" s="43">
        <f t="shared" si="30"/>
        <v>-0.19999999999953399</v>
      </c>
      <c r="AD25" s="44">
        <f t="shared" si="31"/>
        <v>-3.2999999999994101</v>
      </c>
      <c r="AE25" s="45">
        <f t="shared" si="32"/>
        <v>-9.99999999997669E-2</v>
      </c>
      <c r="AF25" s="50">
        <v>80413</v>
      </c>
      <c r="AG25" s="58">
        <f t="shared" si="33"/>
        <v>42</v>
      </c>
      <c r="AH25" s="61"/>
      <c r="AI25" s="60"/>
      <c r="AJ25" s="52"/>
      <c r="AK25" s="52"/>
      <c r="AL25" s="52"/>
      <c r="AM25" s="52"/>
    </row>
    <row r="26" spans="1:48">
      <c r="A26" s="21">
        <v>44868</v>
      </c>
      <c r="B26" s="22">
        <v>791.80629999999996</v>
      </c>
      <c r="C26" s="27">
        <v>6.3434999999999997</v>
      </c>
      <c r="D26" s="23">
        <f t="shared" si="34"/>
        <v>798.14980000000003</v>
      </c>
      <c r="E26" s="24">
        <f t="shared" si="35"/>
        <v>-0.10000000008858501</v>
      </c>
      <c r="F26" s="25">
        <f t="shared" si="36"/>
        <v>-3.6000000000058199</v>
      </c>
      <c r="G26" s="26">
        <f t="shared" si="37"/>
        <v>-5.0000000044292399E-2</v>
      </c>
      <c r="H26" s="6">
        <v>7.4711999999999996</v>
      </c>
      <c r="I26" s="35">
        <f t="shared" si="38"/>
        <v>799.27750000000003</v>
      </c>
      <c r="J26" s="24">
        <f t="shared" si="39"/>
        <v>-0.20000000006348301</v>
      </c>
      <c r="K26" s="25">
        <f t="shared" si="40"/>
        <v>-3.30000000008113</v>
      </c>
      <c r="L26" s="26">
        <f t="shared" si="41"/>
        <v>-0.100000000031741</v>
      </c>
      <c r="M26" s="6">
        <v>6.1121999999999996</v>
      </c>
      <c r="N26" s="35">
        <f t="shared" si="42"/>
        <v>797.91849999999999</v>
      </c>
      <c r="O26" s="24">
        <f t="shared" si="43"/>
        <v>0</v>
      </c>
      <c r="P26" s="25">
        <f t="shared" si="44"/>
        <v>-4.2999999999437897</v>
      </c>
      <c r="Q26" s="26">
        <f t="shared" si="45"/>
        <v>0</v>
      </c>
      <c r="R26" s="41"/>
      <c r="S26" s="21">
        <f t="shared" si="23"/>
        <v>44868</v>
      </c>
      <c r="T26" s="42">
        <v>8.5817999999999905</v>
      </c>
      <c r="U26" s="43">
        <f t="shared" si="24"/>
        <v>-9.99999999997669E-2</v>
      </c>
      <c r="V26" s="44">
        <f t="shared" si="25"/>
        <v>-3.1000000000087602</v>
      </c>
      <c r="W26" s="45">
        <f t="shared" si="26"/>
        <v>4.9999999999883499E-2</v>
      </c>
      <c r="X26" s="29">
        <v>12.028499999999999</v>
      </c>
      <c r="Y26" s="43">
        <f t="shared" si="27"/>
        <v>0.19999999999953399</v>
      </c>
      <c r="Z26" s="44">
        <f t="shared" si="28"/>
        <v>-3.2000000000014199</v>
      </c>
      <c r="AA26" s="45">
        <f t="shared" si="29"/>
        <v>9.99999999997669E-2</v>
      </c>
      <c r="AB26" s="49">
        <v>8.4685000000000006</v>
      </c>
      <c r="AC26" s="43">
        <f t="shared" si="30"/>
        <v>-0.19999999999953399</v>
      </c>
      <c r="AD26" s="44">
        <f t="shared" si="31"/>
        <v>-3.4999999999989502</v>
      </c>
      <c r="AE26" s="45">
        <f t="shared" si="32"/>
        <v>-9.99999999997669E-2</v>
      </c>
      <c r="AF26" s="50">
        <v>80415</v>
      </c>
      <c r="AG26" s="58">
        <f t="shared" si="33"/>
        <v>44</v>
      </c>
      <c r="AH26" s="59"/>
      <c r="AI26" s="60"/>
      <c r="AJ26" s="61"/>
      <c r="AK26" s="62"/>
      <c r="AL26" s="60"/>
      <c r="AM26" s="64"/>
    </row>
    <row r="27" spans="1:48">
      <c r="A27" s="21">
        <v>44870</v>
      </c>
      <c r="B27" s="22">
        <v>791.80629999999996</v>
      </c>
      <c r="C27" s="27">
        <v>6.3436000000000003</v>
      </c>
      <c r="D27" s="23">
        <f t="shared" si="34"/>
        <v>798.1499</v>
      </c>
      <c r="E27" s="24">
        <f t="shared" si="35"/>
        <v>0.10000000008858501</v>
      </c>
      <c r="F27" s="25">
        <f t="shared" si="36"/>
        <v>-3.49999999991724</v>
      </c>
      <c r="G27" s="26">
        <f t="shared" si="37"/>
        <v>5.0000000044292399E-2</v>
      </c>
      <c r="H27" s="6">
        <v>7.4714999999999998</v>
      </c>
      <c r="I27" s="35">
        <f t="shared" si="38"/>
        <v>799.27779999999996</v>
      </c>
      <c r="J27" s="24">
        <f t="shared" si="39"/>
        <v>0.30000000003838101</v>
      </c>
      <c r="K27" s="25">
        <f t="shared" si="40"/>
        <v>-3.0000000000427498</v>
      </c>
      <c r="L27" s="26">
        <f t="shared" si="41"/>
        <v>0.15000000001919001</v>
      </c>
      <c r="M27" s="6">
        <v>6.1124999999999998</v>
      </c>
      <c r="N27" s="35">
        <f t="shared" si="42"/>
        <v>797.91880000000003</v>
      </c>
      <c r="O27" s="24">
        <f t="shared" si="43"/>
        <v>0.29999999992469401</v>
      </c>
      <c r="P27" s="25">
        <f t="shared" si="44"/>
        <v>-4.0000000000191003</v>
      </c>
      <c r="Q27" s="26">
        <f t="shared" si="45"/>
        <v>0.149999999962347</v>
      </c>
      <c r="R27" s="41"/>
      <c r="S27" s="21">
        <f t="shared" si="23"/>
        <v>44870</v>
      </c>
      <c r="T27" s="42">
        <v>8.5820000000000007</v>
      </c>
      <c r="U27" s="43">
        <f t="shared" si="24"/>
        <v>0.200000000010192</v>
      </c>
      <c r="V27" s="44">
        <f t="shared" si="25"/>
        <v>-2.8999999999985699</v>
      </c>
      <c r="W27" s="45">
        <f t="shared" si="26"/>
        <v>-0.100000000005096</v>
      </c>
      <c r="X27" s="29">
        <v>12.028600000000001</v>
      </c>
      <c r="Y27" s="43">
        <f t="shared" si="27"/>
        <v>0.10000000000154299</v>
      </c>
      <c r="Z27" s="44">
        <f t="shared" si="28"/>
        <v>-3.0999999999998802</v>
      </c>
      <c r="AA27" s="45">
        <f t="shared" si="29"/>
        <v>5.0000000000771601E-2</v>
      </c>
      <c r="AB27" s="49">
        <v>8.4687000000000001</v>
      </c>
      <c r="AC27" s="43">
        <f t="shared" si="30"/>
        <v>0.19999999999953399</v>
      </c>
      <c r="AD27" s="44">
        <f t="shared" si="31"/>
        <v>-3.2999999999994101</v>
      </c>
      <c r="AE27" s="45">
        <f t="shared" si="32"/>
        <v>9.99999999997669E-2</v>
      </c>
      <c r="AF27" s="50">
        <v>80417</v>
      </c>
      <c r="AG27" s="58">
        <f t="shared" si="33"/>
        <v>46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F27-F18</f>
        <v>-1.39999999998963</v>
      </c>
      <c r="F28" s="33">
        <f>K27-K18</f>
        <v>-0.59999999996307496</v>
      </c>
      <c r="G28" s="33">
        <f>P27-P18</f>
        <v>-1.8000000000029099</v>
      </c>
      <c r="H28" s="33">
        <f>F27</f>
        <v>-3.49999999991724</v>
      </c>
      <c r="I28" s="66">
        <f>K27</f>
        <v>-3.0000000000427498</v>
      </c>
      <c r="J28" s="65">
        <f>P27</f>
        <v>-4.0000000000191003</v>
      </c>
      <c r="K28" s="33">
        <f>(P27-P18)/15</f>
        <v>-0.12000000000019399</v>
      </c>
      <c r="L28" s="26"/>
      <c r="N28" s="35"/>
      <c r="O28" s="24"/>
      <c r="P28" s="25"/>
      <c r="Q28" s="26"/>
      <c r="R28" s="41"/>
      <c r="S28" s="21"/>
      <c r="T28" s="42"/>
      <c r="U28" s="65">
        <f>V27-V18</f>
        <v>-0.59999999999860198</v>
      </c>
      <c r="V28" s="33">
        <f>Z27-Z18</f>
        <v>-0.999999999999446</v>
      </c>
      <c r="W28" s="33">
        <f>AD27-AD18</f>
        <v>-0.70000000000014495</v>
      </c>
      <c r="X28" s="33">
        <f>V27</f>
        <v>-2.8999999999985699</v>
      </c>
      <c r="Y28" s="65">
        <f>Z27</f>
        <v>-3.0999999999998802</v>
      </c>
      <c r="Z28" s="33">
        <f>AD27</f>
        <v>-3.2999999999994101</v>
      </c>
      <c r="AA28" s="33">
        <f>(AD27-AD18)/15</f>
        <v>-4.66666666666763E-2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R17" workbookViewId="0">
      <selection activeCell="R27" sqref="A27:XFD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44859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44859</v>
      </c>
      <c r="B6" s="22">
        <v>791.80629999999996</v>
      </c>
      <c r="C6" s="27">
        <v>5.7157</v>
      </c>
      <c r="D6" s="23">
        <f t="shared" ref="D6:D26" si="0">C6+B6</f>
        <v>797.52200000000005</v>
      </c>
      <c r="E6" s="24">
        <v>0</v>
      </c>
      <c r="F6" s="25">
        <v>0</v>
      </c>
      <c r="G6" s="26">
        <v>0</v>
      </c>
      <c r="H6" s="6">
        <v>6.4965000000000002</v>
      </c>
      <c r="I6" s="35">
        <f t="shared" ref="I6:I26" si="1">H6+B6</f>
        <v>798.30280000000005</v>
      </c>
      <c r="J6" s="24">
        <v>0</v>
      </c>
      <c r="K6" s="25">
        <v>0</v>
      </c>
      <c r="L6" s="26">
        <v>0</v>
      </c>
      <c r="M6" s="6">
        <v>5.1176000000000004</v>
      </c>
      <c r="N6" s="35">
        <f t="shared" ref="N6:N26" si="2">M6+B6</f>
        <v>796.9239</v>
      </c>
      <c r="O6" s="24">
        <v>0</v>
      </c>
      <c r="P6" s="25">
        <v>0</v>
      </c>
      <c r="Q6" s="26">
        <v>0</v>
      </c>
      <c r="R6" s="41"/>
      <c r="S6" s="21">
        <f t="shared" ref="S6:S26" si="3">A6</f>
        <v>44859</v>
      </c>
      <c r="T6" s="42">
        <v>8.5848999999999993</v>
      </c>
      <c r="U6" s="43">
        <v>0</v>
      </c>
      <c r="V6" s="44">
        <v>0</v>
      </c>
      <c r="W6" s="45">
        <f>U6/(S6-S11)</f>
        <v>0</v>
      </c>
      <c r="X6" s="29">
        <v>11.8918</v>
      </c>
      <c r="Y6" s="43">
        <v>0</v>
      </c>
      <c r="Z6" s="44">
        <v>0</v>
      </c>
      <c r="AA6" s="45">
        <v>0</v>
      </c>
      <c r="AB6" s="49">
        <v>8.4719999999999995</v>
      </c>
      <c r="AC6" s="43">
        <v>0</v>
      </c>
      <c r="AD6" s="44">
        <v>0</v>
      </c>
      <c r="AE6" s="45">
        <v>0</v>
      </c>
      <c r="AF6" s="50">
        <v>80412</v>
      </c>
      <c r="AG6" s="58">
        <f>AF6-80406</f>
        <v>6</v>
      </c>
      <c r="AH6" s="59"/>
      <c r="AI6" s="60"/>
      <c r="AJ6" s="61"/>
      <c r="AK6" s="62"/>
      <c r="AL6" s="52"/>
      <c r="AM6" s="52"/>
    </row>
    <row r="7" spans="1:48">
      <c r="A7" s="21">
        <v>44860</v>
      </c>
      <c r="B7" s="22">
        <v>791.80629999999996</v>
      </c>
      <c r="C7" s="27">
        <v>5.7154999999999996</v>
      </c>
      <c r="D7" s="23">
        <f t="shared" si="0"/>
        <v>797.52179999999998</v>
      </c>
      <c r="E7" s="24">
        <f t="shared" ref="E7:E26" si="4">(D7-D6)*1000</f>
        <v>-0.199999999949796</v>
      </c>
      <c r="F7" s="25">
        <f t="shared" ref="F7:F26" si="5">F6+E7</f>
        <v>-0.199999999949796</v>
      </c>
      <c r="G7" s="26">
        <f t="shared" ref="G7:G26" si="6">E7/(A7-A6)</f>
        <v>-0.199999999949796</v>
      </c>
      <c r="H7" s="6">
        <v>6.4968000000000004</v>
      </c>
      <c r="I7" s="35">
        <f t="shared" si="1"/>
        <v>798.30309999999997</v>
      </c>
      <c r="J7" s="24">
        <f t="shared" ref="J7:J26" si="7">(I7-I6)*1000</f>
        <v>0.30000000003838101</v>
      </c>
      <c r="K7" s="25">
        <f t="shared" ref="K7:K26" si="8">K6+J7</f>
        <v>0.30000000003838101</v>
      </c>
      <c r="L7" s="26">
        <f t="shared" ref="L7:L26" si="9">J7/(A7-A6)</f>
        <v>0.30000000003838101</v>
      </c>
      <c r="M7" s="6">
        <v>5.1177999999999999</v>
      </c>
      <c r="N7" s="35">
        <f t="shared" si="2"/>
        <v>796.92409999999995</v>
      </c>
      <c r="O7" s="24">
        <f t="shared" ref="O7:O26" si="10">(N7-N6)*1000</f>
        <v>0.199999999949796</v>
      </c>
      <c r="P7" s="25">
        <f t="shared" ref="P7:P26" si="11">P6+O7</f>
        <v>0.199999999949796</v>
      </c>
      <c r="Q7" s="26">
        <f t="shared" ref="Q7:Q26" si="12">O7/(A7-A6)</f>
        <v>0.199999999949796</v>
      </c>
      <c r="R7" s="41"/>
      <c r="S7" s="21">
        <f t="shared" si="3"/>
        <v>44860</v>
      </c>
      <c r="T7" s="42">
        <v>8.5846999999999998</v>
      </c>
      <c r="U7" s="43">
        <f t="shared" ref="U7:U26" si="13">(T7-T6)*1000</f>
        <v>-0.19999999999953399</v>
      </c>
      <c r="V7" s="44">
        <f t="shared" ref="V7:V26" si="14">V6+U7</f>
        <v>-0.19999999999953399</v>
      </c>
      <c r="W7" s="45">
        <f t="shared" ref="W7:W26" si="15">U7/(S6-S7)</f>
        <v>0.19999999999953399</v>
      </c>
      <c r="X7" s="29">
        <v>11.8916</v>
      </c>
      <c r="Y7" s="43">
        <f t="shared" ref="Y7:Y26" si="16">(X7-X6)*1000</f>
        <v>-0.19999999999953399</v>
      </c>
      <c r="Z7" s="44">
        <f t="shared" ref="Z7:Z26" si="17">Z6+Y7</f>
        <v>-0.19999999999953399</v>
      </c>
      <c r="AA7" s="45">
        <f t="shared" ref="AA7:AA26" si="18">Y7/(S7-S6)</f>
        <v>-0.19999999999953399</v>
      </c>
      <c r="AB7" s="49">
        <v>8.4715000000000007</v>
      </c>
      <c r="AC7" s="43">
        <f t="shared" ref="AC7:AC26" si="19">(AB7-AB6)*1000</f>
        <v>-0.49999999999883499</v>
      </c>
      <c r="AD7" s="44">
        <f t="shared" ref="AD7:AD26" si="20">AD6+AC7</f>
        <v>-0.49999999999883499</v>
      </c>
      <c r="AE7" s="45">
        <f t="shared" ref="AE7:AE26" si="21">AC7/(S7-S6)</f>
        <v>-0.49999999999883499</v>
      </c>
      <c r="AF7" s="50">
        <v>80415</v>
      </c>
      <c r="AG7" s="58">
        <f t="shared" ref="AG7:AG26" si="22">AF7-80406</f>
        <v>9</v>
      </c>
      <c r="AH7" s="59"/>
      <c r="AI7" s="60"/>
      <c r="AJ7" s="61"/>
      <c r="AK7" s="62"/>
      <c r="AL7" s="52"/>
      <c r="AM7" s="52"/>
    </row>
    <row r="8" spans="1:48">
      <c r="A8" s="21">
        <v>44861</v>
      </c>
      <c r="B8" s="22">
        <v>791.80629999999996</v>
      </c>
      <c r="C8" s="27">
        <v>5.7156000000000002</v>
      </c>
      <c r="D8" s="23">
        <f t="shared" si="0"/>
        <v>797.52189999999996</v>
      </c>
      <c r="E8" s="24">
        <f t="shared" si="4"/>
        <v>9.9999999974897905E-2</v>
      </c>
      <c r="F8" s="25">
        <f t="shared" si="5"/>
        <v>-9.9999999974897905E-2</v>
      </c>
      <c r="G8" s="26">
        <f t="shared" si="6"/>
        <v>9.9999999974897905E-2</v>
      </c>
      <c r="H8" s="6">
        <v>6.4962</v>
      </c>
      <c r="I8" s="35">
        <f t="shared" si="1"/>
        <v>798.30250000000001</v>
      </c>
      <c r="J8" s="24">
        <f t="shared" si="7"/>
        <v>-0.59999999996307496</v>
      </c>
      <c r="K8" s="25">
        <f t="shared" si="8"/>
        <v>-0.29999999992469401</v>
      </c>
      <c r="L8" s="26">
        <f t="shared" si="9"/>
        <v>-0.59999999996307496</v>
      </c>
      <c r="M8" s="6">
        <v>5.1177999999999999</v>
      </c>
      <c r="N8" s="35">
        <f t="shared" si="2"/>
        <v>796.92409999999995</v>
      </c>
      <c r="O8" s="24">
        <f t="shared" si="10"/>
        <v>0</v>
      </c>
      <c r="P8" s="25">
        <f t="shared" si="11"/>
        <v>0.199999999949796</v>
      </c>
      <c r="Q8" s="26">
        <f t="shared" si="12"/>
        <v>0</v>
      </c>
      <c r="R8" s="41"/>
      <c r="S8" s="21">
        <f t="shared" si="3"/>
        <v>44861</v>
      </c>
      <c r="T8" s="42">
        <v>8.5847999999999995</v>
      </c>
      <c r="U8" s="43">
        <f t="shared" si="13"/>
        <v>9.99999999997669E-2</v>
      </c>
      <c r="V8" s="44">
        <f t="shared" si="14"/>
        <v>-9.99999999997669E-2</v>
      </c>
      <c r="W8" s="45">
        <f t="shared" si="15"/>
        <v>-9.99999999997669E-2</v>
      </c>
      <c r="X8" s="29">
        <v>11.891400000000001</v>
      </c>
      <c r="Y8" s="43">
        <f t="shared" si="16"/>
        <v>-0.19999999999953399</v>
      </c>
      <c r="Z8" s="44">
        <f t="shared" si="17"/>
        <v>-0.39999999999906799</v>
      </c>
      <c r="AA8" s="45">
        <f t="shared" si="18"/>
        <v>-0.19999999999953399</v>
      </c>
      <c r="AB8" s="49">
        <v>8.4712999999999994</v>
      </c>
      <c r="AC8" s="43">
        <f t="shared" si="19"/>
        <v>-0.20000000000130999</v>
      </c>
      <c r="AD8" s="44">
        <f t="shared" si="20"/>
        <v>-0.70000000000014495</v>
      </c>
      <c r="AE8" s="45">
        <f t="shared" si="21"/>
        <v>-0.20000000000130999</v>
      </c>
      <c r="AF8" s="50">
        <v>80418</v>
      </c>
      <c r="AG8" s="58">
        <f t="shared" si="22"/>
        <v>12</v>
      </c>
      <c r="AH8" s="59"/>
      <c r="AI8" s="60"/>
      <c r="AJ8" s="61"/>
      <c r="AK8" s="62"/>
      <c r="AL8" s="52"/>
      <c r="AM8" s="52"/>
    </row>
    <row r="9" spans="1:48">
      <c r="A9" s="21">
        <v>44862</v>
      </c>
      <c r="B9" s="22">
        <v>791.80629999999996</v>
      </c>
      <c r="C9" s="27">
        <v>5.7150999999999996</v>
      </c>
      <c r="D9" s="23">
        <f t="shared" si="0"/>
        <v>797.52139999999997</v>
      </c>
      <c r="E9" s="24">
        <f t="shared" si="4"/>
        <v>-0.49999999998817701</v>
      </c>
      <c r="F9" s="25">
        <f t="shared" si="5"/>
        <v>-0.59999999996307496</v>
      </c>
      <c r="G9" s="26">
        <f t="shared" si="6"/>
        <v>-0.49999999998817701</v>
      </c>
      <c r="H9" s="6">
        <v>6.4960000000000004</v>
      </c>
      <c r="I9" s="35">
        <f t="shared" si="1"/>
        <v>798.30229999999995</v>
      </c>
      <c r="J9" s="24">
        <f t="shared" si="7"/>
        <v>-0.20000000006348301</v>
      </c>
      <c r="K9" s="25">
        <f t="shared" si="8"/>
        <v>-0.49999999998817701</v>
      </c>
      <c r="L9" s="26">
        <f t="shared" si="9"/>
        <v>-0.20000000006348301</v>
      </c>
      <c r="M9" s="6">
        <v>5.1176000000000004</v>
      </c>
      <c r="N9" s="35">
        <f t="shared" si="2"/>
        <v>796.9239</v>
      </c>
      <c r="O9" s="24">
        <f t="shared" si="10"/>
        <v>-0.199999999949796</v>
      </c>
      <c r="P9" s="25">
        <f t="shared" si="11"/>
        <v>0</v>
      </c>
      <c r="Q9" s="26">
        <f t="shared" si="12"/>
        <v>-0.199999999949796</v>
      </c>
      <c r="R9" s="41"/>
      <c r="S9" s="21">
        <f t="shared" si="3"/>
        <v>44862</v>
      </c>
      <c r="T9" s="42">
        <v>8.5843000000000007</v>
      </c>
      <c r="U9" s="43">
        <f t="shared" si="13"/>
        <v>-0.49999999999883499</v>
      </c>
      <c r="V9" s="44">
        <f t="shared" si="14"/>
        <v>-0.59999999999860198</v>
      </c>
      <c r="W9" s="45">
        <f t="shared" si="15"/>
        <v>0.49999999999883499</v>
      </c>
      <c r="X9" s="29">
        <v>11.8912</v>
      </c>
      <c r="Y9" s="43">
        <f t="shared" si="16"/>
        <v>-0.20000000000130999</v>
      </c>
      <c r="Z9" s="44">
        <f t="shared" si="17"/>
        <v>-0.60000000000037801</v>
      </c>
      <c r="AA9" s="45">
        <f t="shared" si="18"/>
        <v>-0.20000000000130999</v>
      </c>
      <c r="AB9" s="49">
        <v>8.4711999999999996</v>
      </c>
      <c r="AC9" s="43">
        <f t="shared" si="19"/>
        <v>-9.99999999997669E-2</v>
      </c>
      <c r="AD9" s="44">
        <f t="shared" si="20"/>
        <v>-0.799999999999912</v>
      </c>
      <c r="AE9" s="45">
        <f t="shared" si="21"/>
        <v>-9.99999999997669E-2</v>
      </c>
      <c r="AF9" s="50">
        <v>80421</v>
      </c>
      <c r="AG9" s="58">
        <f t="shared" si="22"/>
        <v>15</v>
      </c>
      <c r="AH9" s="61"/>
      <c r="AI9" s="60"/>
      <c r="AJ9"/>
      <c r="AK9"/>
      <c r="AL9"/>
      <c r="AM9"/>
    </row>
    <row r="10" spans="1:48">
      <c r="A10" s="21">
        <v>44863</v>
      </c>
      <c r="B10" s="22">
        <v>791.80629999999996</v>
      </c>
      <c r="C10" s="27">
        <v>5.7152000000000003</v>
      </c>
      <c r="D10" s="23">
        <f t="shared" si="0"/>
        <v>797.52149999999995</v>
      </c>
      <c r="E10" s="24">
        <f t="shared" si="4"/>
        <v>9.9999999974897905E-2</v>
      </c>
      <c r="F10" s="25">
        <f t="shared" si="5"/>
        <v>-0.49999999998817701</v>
      </c>
      <c r="G10" s="26">
        <f t="shared" si="6"/>
        <v>9.9999999974897905E-2</v>
      </c>
      <c r="H10" s="6">
        <v>6.4958</v>
      </c>
      <c r="I10" s="35">
        <f t="shared" si="1"/>
        <v>798.3021</v>
      </c>
      <c r="J10" s="24">
        <f t="shared" si="7"/>
        <v>-0.199999999949796</v>
      </c>
      <c r="K10" s="25">
        <f t="shared" si="8"/>
        <v>-0.69999999993797202</v>
      </c>
      <c r="L10" s="26">
        <f t="shared" si="9"/>
        <v>-0.199999999949796</v>
      </c>
      <c r="M10" s="6">
        <v>5.1173999999999999</v>
      </c>
      <c r="N10" s="35">
        <f t="shared" si="2"/>
        <v>796.92370000000005</v>
      </c>
      <c r="O10" s="24">
        <f t="shared" si="10"/>
        <v>-0.20000000006348301</v>
      </c>
      <c r="P10" s="25">
        <f t="shared" si="11"/>
        <v>-0.20000000006348301</v>
      </c>
      <c r="Q10" s="26">
        <f t="shared" si="12"/>
        <v>-0.20000000006348301</v>
      </c>
      <c r="R10" s="41"/>
      <c r="S10" s="21">
        <f t="shared" si="3"/>
        <v>44863</v>
      </c>
      <c r="T10" s="42">
        <v>8.5841999999999992</v>
      </c>
      <c r="U10" s="43">
        <f t="shared" si="13"/>
        <v>-0.10000000000154299</v>
      </c>
      <c r="V10" s="44">
        <f t="shared" si="14"/>
        <v>-0.70000000000014495</v>
      </c>
      <c r="W10" s="45">
        <f t="shared" si="15"/>
        <v>0.10000000000154299</v>
      </c>
      <c r="X10" s="29">
        <v>11.891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8.4709000000000003</v>
      </c>
      <c r="AC10" s="43">
        <f t="shared" si="19"/>
        <v>-0.29999999999930099</v>
      </c>
      <c r="AD10" s="44">
        <f t="shared" si="20"/>
        <v>-1.0999999999992101</v>
      </c>
      <c r="AE10" s="45">
        <f t="shared" si="21"/>
        <v>-0.29999999999930099</v>
      </c>
      <c r="AF10" s="50">
        <v>80424</v>
      </c>
      <c r="AG10" s="58">
        <f t="shared" si="22"/>
        <v>18</v>
      </c>
      <c r="AH10" s="59"/>
      <c r="AI10" s="60"/>
      <c r="AJ10" s="61"/>
      <c r="AK10" s="62"/>
      <c r="AL10" s="52"/>
      <c r="AM10" s="52"/>
    </row>
    <row r="11" spans="1:48">
      <c r="A11" s="21">
        <v>44864</v>
      </c>
      <c r="B11" s="22">
        <v>791.80629999999996</v>
      </c>
      <c r="C11" s="27">
        <v>5.7146999999999997</v>
      </c>
      <c r="D11" s="23">
        <f t="shared" si="0"/>
        <v>797.52099999999996</v>
      </c>
      <c r="E11" s="24">
        <f t="shared" si="4"/>
        <v>-0.49999999998817701</v>
      </c>
      <c r="F11" s="25">
        <f t="shared" si="5"/>
        <v>-0.99999999997635303</v>
      </c>
      <c r="G11" s="26">
        <f t="shared" si="6"/>
        <v>-0.49999999998817701</v>
      </c>
      <c r="H11" s="6">
        <v>6.4961000000000002</v>
      </c>
      <c r="I11" s="35">
        <f t="shared" si="1"/>
        <v>798.30240000000003</v>
      </c>
      <c r="J11" s="24">
        <f t="shared" si="7"/>
        <v>0.29999999992469401</v>
      </c>
      <c r="K11" s="25">
        <f t="shared" si="8"/>
        <v>-0.40000000001327901</v>
      </c>
      <c r="L11" s="26">
        <f t="shared" si="9"/>
        <v>0.29999999992469401</v>
      </c>
      <c r="M11" s="6">
        <v>5.1174999999999997</v>
      </c>
      <c r="N11" s="35">
        <f t="shared" si="2"/>
        <v>796.92380000000003</v>
      </c>
      <c r="O11" s="24">
        <f t="shared" si="10"/>
        <v>9.9999999974897905E-2</v>
      </c>
      <c r="P11" s="25">
        <f t="shared" si="11"/>
        <v>-0.10000000008858501</v>
      </c>
      <c r="Q11" s="26">
        <f t="shared" si="12"/>
        <v>9.9999999974897905E-2</v>
      </c>
      <c r="R11" s="41"/>
      <c r="S11" s="21">
        <f t="shared" si="3"/>
        <v>44864</v>
      </c>
      <c r="T11" s="42">
        <v>8.5838999999999999</v>
      </c>
      <c r="U11" s="43">
        <f t="shared" si="13"/>
        <v>-0.29999999999930099</v>
      </c>
      <c r="V11" s="44">
        <f t="shared" si="14"/>
        <v>-0.999999999999446</v>
      </c>
      <c r="W11" s="45">
        <f t="shared" si="15"/>
        <v>0.29999999999930099</v>
      </c>
      <c r="X11" s="29">
        <v>11.8908</v>
      </c>
      <c r="Y11" s="43">
        <f t="shared" si="16"/>
        <v>-0.19999999999953399</v>
      </c>
      <c r="Z11" s="44">
        <f t="shared" si="17"/>
        <v>-0.999999999999446</v>
      </c>
      <c r="AA11" s="45">
        <f t="shared" si="18"/>
        <v>-0.19999999999953399</v>
      </c>
      <c r="AB11" s="49">
        <v>8.4707000000000008</v>
      </c>
      <c r="AC11" s="43">
        <f t="shared" si="19"/>
        <v>-0.19999999999953399</v>
      </c>
      <c r="AD11" s="44">
        <f t="shared" si="20"/>
        <v>-1.2999999999987499</v>
      </c>
      <c r="AE11" s="45">
        <f t="shared" si="21"/>
        <v>-0.19999999999953399</v>
      </c>
      <c r="AF11" s="50">
        <v>80427</v>
      </c>
      <c r="AG11" s="58">
        <f t="shared" si="22"/>
        <v>21</v>
      </c>
      <c r="AH11" s="61"/>
      <c r="AI11" s="60"/>
      <c r="AJ11"/>
      <c r="AK11"/>
      <c r="AL11"/>
      <c r="AM11"/>
    </row>
    <row r="12" spans="1:48">
      <c r="A12" s="21">
        <v>44865</v>
      </c>
      <c r="B12" s="22">
        <v>791.80629999999996</v>
      </c>
      <c r="C12" s="27">
        <v>5.7149999999999999</v>
      </c>
      <c r="D12" s="23">
        <f t="shared" si="0"/>
        <v>797.5213</v>
      </c>
      <c r="E12" s="24">
        <f t="shared" si="4"/>
        <v>0.30000000003838101</v>
      </c>
      <c r="F12" s="25">
        <f t="shared" si="5"/>
        <v>-0.69999999993797202</v>
      </c>
      <c r="G12" s="26">
        <f t="shared" si="6"/>
        <v>0.30000000003838101</v>
      </c>
      <c r="H12" s="6">
        <v>6.4954000000000001</v>
      </c>
      <c r="I12" s="35">
        <f t="shared" si="1"/>
        <v>798.30169999999998</v>
      </c>
      <c r="J12" s="24">
        <f t="shared" si="7"/>
        <v>-0.69999999993797202</v>
      </c>
      <c r="K12" s="25">
        <f t="shared" si="8"/>
        <v>-1.09999999995125</v>
      </c>
      <c r="L12" s="26">
        <f t="shared" si="9"/>
        <v>-0.69999999993797202</v>
      </c>
      <c r="M12" s="6">
        <v>5.117</v>
      </c>
      <c r="N12" s="35">
        <f t="shared" si="2"/>
        <v>796.92330000000004</v>
      </c>
      <c r="O12" s="24">
        <f t="shared" si="10"/>
        <v>-0.49999999998817701</v>
      </c>
      <c r="P12" s="25">
        <f t="shared" si="11"/>
        <v>-0.60000000007676102</v>
      </c>
      <c r="Q12" s="26">
        <f t="shared" si="12"/>
        <v>-0.49999999998817701</v>
      </c>
      <c r="R12" s="41"/>
      <c r="S12" s="21">
        <f t="shared" si="3"/>
        <v>44865</v>
      </c>
      <c r="T12" s="42">
        <v>8.5837000000000003</v>
      </c>
      <c r="U12" s="43">
        <f t="shared" si="13"/>
        <v>-0.19999999999953399</v>
      </c>
      <c r="V12" s="44">
        <f t="shared" si="14"/>
        <v>-1.1999999999989801</v>
      </c>
      <c r="W12" s="45">
        <f t="shared" si="15"/>
        <v>0.19999999999953399</v>
      </c>
      <c r="X12" s="29">
        <v>11.891</v>
      </c>
      <c r="Y12" s="43">
        <f t="shared" si="16"/>
        <v>0.19999999999953399</v>
      </c>
      <c r="Z12" s="44">
        <f t="shared" si="17"/>
        <v>-0.799999999999912</v>
      </c>
      <c r="AA12" s="45">
        <f t="shared" si="18"/>
        <v>0.19999999999953399</v>
      </c>
      <c r="AB12" s="49">
        <v>8.4704999999999906</v>
      </c>
      <c r="AC12" s="43">
        <f t="shared" si="19"/>
        <v>-0.200000000010192</v>
      </c>
      <c r="AD12" s="44">
        <f t="shared" si="20"/>
        <v>-1.50000000000894</v>
      </c>
      <c r="AE12" s="45">
        <f t="shared" si="21"/>
        <v>-0.200000000010192</v>
      </c>
      <c r="AF12" s="50">
        <v>80430</v>
      </c>
      <c r="AG12" s="58">
        <f t="shared" si="22"/>
        <v>24</v>
      </c>
      <c r="AH12" s="59"/>
      <c r="AI12" s="60"/>
      <c r="AJ12"/>
      <c r="AK12"/>
      <c r="AL12"/>
      <c r="AM12"/>
    </row>
    <row r="13" spans="1:48">
      <c r="A13" s="21">
        <v>44866</v>
      </c>
      <c r="B13" s="22">
        <v>791.80629999999996</v>
      </c>
      <c r="C13" s="27">
        <v>5.7142999999999997</v>
      </c>
      <c r="D13" s="23">
        <f t="shared" si="0"/>
        <v>797.52059999999994</v>
      </c>
      <c r="E13" s="24">
        <f t="shared" si="4"/>
        <v>-0.70000000005165897</v>
      </c>
      <c r="F13" s="25">
        <f t="shared" si="5"/>
        <v>-1.39999999998963</v>
      </c>
      <c r="G13" s="26">
        <f t="shared" si="6"/>
        <v>-0.70000000005165897</v>
      </c>
      <c r="H13" s="6">
        <v>6.4951999999999996</v>
      </c>
      <c r="I13" s="35">
        <f t="shared" si="1"/>
        <v>798.30150000000003</v>
      </c>
      <c r="J13" s="24">
        <f t="shared" si="7"/>
        <v>-0.20000000006348301</v>
      </c>
      <c r="K13" s="25">
        <f t="shared" si="8"/>
        <v>-1.30000000001473</v>
      </c>
      <c r="L13" s="26">
        <f t="shared" si="9"/>
        <v>-0.20000000006348301</v>
      </c>
      <c r="M13" s="6">
        <v>5.1172000000000004</v>
      </c>
      <c r="N13" s="35">
        <f t="shared" si="2"/>
        <v>796.92349999999999</v>
      </c>
      <c r="O13" s="24">
        <f t="shared" si="10"/>
        <v>0.20000000006348301</v>
      </c>
      <c r="P13" s="25">
        <f t="shared" si="11"/>
        <v>-0.40000000001327901</v>
      </c>
      <c r="Q13" s="26">
        <f t="shared" si="12"/>
        <v>0.20000000006348301</v>
      </c>
      <c r="R13" s="41"/>
      <c r="S13" s="21">
        <f t="shared" si="3"/>
        <v>44866</v>
      </c>
      <c r="T13" s="42">
        <v>8.5835000000000008</v>
      </c>
      <c r="U13" s="43">
        <f t="shared" si="13"/>
        <v>-0.19999999999953399</v>
      </c>
      <c r="V13" s="44">
        <f t="shared" si="14"/>
        <v>-1.39999999999851</v>
      </c>
      <c r="W13" s="45">
        <f t="shared" si="15"/>
        <v>0.19999999999953399</v>
      </c>
      <c r="X13" s="29">
        <v>11.8904</v>
      </c>
      <c r="Y13" s="43">
        <f t="shared" si="16"/>
        <v>-0.60000000000037801</v>
      </c>
      <c r="Z13" s="44">
        <f t="shared" si="17"/>
        <v>-1.4000000000002899</v>
      </c>
      <c r="AA13" s="45">
        <f t="shared" si="18"/>
        <v>-0.60000000000037801</v>
      </c>
      <c r="AB13" s="49">
        <v>8.4703999999999997</v>
      </c>
      <c r="AC13" s="43">
        <f t="shared" si="19"/>
        <v>-9.9999999990885199E-2</v>
      </c>
      <c r="AD13" s="44">
        <f t="shared" si="20"/>
        <v>-1.59999999999982</v>
      </c>
      <c r="AE13" s="45">
        <f t="shared" si="21"/>
        <v>-9.9999999990885199E-2</v>
      </c>
      <c r="AF13" s="50">
        <v>80433</v>
      </c>
      <c r="AG13" s="58">
        <f t="shared" si="22"/>
        <v>27</v>
      </c>
      <c r="AH13" s="61"/>
      <c r="AI13" s="60"/>
      <c r="AJ13"/>
      <c r="AK13"/>
      <c r="AL13"/>
      <c r="AM13"/>
    </row>
    <row r="14" spans="1:48">
      <c r="A14" s="21">
        <v>44867</v>
      </c>
      <c r="B14" s="22">
        <v>791.80629999999996</v>
      </c>
      <c r="C14" s="27">
        <v>5.7141000000000002</v>
      </c>
      <c r="D14" s="23">
        <f t="shared" si="0"/>
        <v>797.5204</v>
      </c>
      <c r="E14" s="24">
        <f t="shared" si="4"/>
        <v>-0.199999999949796</v>
      </c>
      <c r="F14" s="25">
        <f t="shared" si="5"/>
        <v>-1.5999999999394301</v>
      </c>
      <c r="G14" s="26">
        <f t="shared" si="6"/>
        <v>-0.199999999949796</v>
      </c>
      <c r="H14" s="6">
        <v>6.4954999999999998</v>
      </c>
      <c r="I14" s="35">
        <f t="shared" si="1"/>
        <v>798.30179999999996</v>
      </c>
      <c r="J14" s="24">
        <f t="shared" si="7"/>
        <v>0.30000000003838101</v>
      </c>
      <c r="K14" s="25">
        <f t="shared" si="8"/>
        <v>-0.99999999997635303</v>
      </c>
      <c r="L14" s="26">
        <f t="shared" si="9"/>
        <v>0.30000000003838101</v>
      </c>
      <c r="M14" s="6">
        <v>5.1166</v>
      </c>
      <c r="N14" s="35">
        <f t="shared" si="2"/>
        <v>796.92290000000003</v>
      </c>
      <c r="O14" s="24">
        <f t="shared" si="10"/>
        <v>-0.60000000007676102</v>
      </c>
      <c r="P14" s="25">
        <f t="shared" si="11"/>
        <v>-1.00000000009004</v>
      </c>
      <c r="Q14" s="26">
        <f t="shared" si="12"/>
        <v>-0.60000000007676102</v>
      </c>
      <c r="R14" s="41"/>
      <c r="S14" s="21">
        <f t="shared" si="3"/>
        <v>44867</v>
      </c>
      <c r="T14" s="42">
        <v>8.5836000000000006</v>
      </c>
      <c r="U14" s="43">
        <f t="shared" si="13"/>
        <v>9.99999999997669E-2</v>
      </c>
      <c r="V14" s="44">
        <f t="shared" si="14"/>
        <v>-1.2999999999987499</v>
      </c>
      <c r="W14" s="45">
        <f t="shared" si="15"/>
        <v>-9.99999999997669E-2</v>
      </c>
      <c r="X14" s="29">
        <v>11.8902</v>
      </c>
      <c r="Y14" s="43">
        <f t="shared" si="16"/>
        <v>-0.19999999999953399</v>
      </c>
      <c r="Z14" s="44">
        <f t="shared" si="17"/>
        <v>-1.59999999999982</v>
      </c>
      <c r="AA14" s="45">
        <f t="shared" si="18"/>
        <v>-0.19999999999953399</v>
      </c>
      <c r="AB14" s="49">
        <v>8.4700999999999897</v>
      </c>
      <c r="AC14" s="43">
        <f t="shared" si="19"/>
        <v>-0.30000000000995902</v>
      </c>
      <c r="AD14" s="44">
        <f t="shared" si="20"/>
        <v>-1.9000000000097801</v>
      </c>
      <c r="AE14" s="45">
        <f t="shared" si="21"/>
        <v>-0.30000000000995902</v>
      </c>
      <c r="AF14" s="50">
        <v>80436</v>
      </c>
      <c r="AG14" s="58">
        <f t="shared" si="22"/>
        <v>30</v>
      </c>
      <c r="AH14" s="59"/>
      <c r="AI14" s="60"/>
      <c r="AJ14"/>
      <c r="AK14"/>
      <c r="AL14"/>
      <c r="AM14"/>
    </row>
    <row r="15" spans="1:48">
      <c r="A15" s="21">
        <v>44868</v>
      </c>
      <c r="B15" s="22">
        <v>791.80629999999996</v>
      </c>
      <c r="C15" s="27">
        <v>5.7148000000000003</v>
      </c>
      <c r="D15" s="23">
        <f t="shared" si="0"/>
        <v>797.52110000000005</v>
      </c>
      <c r="E15" s="24">
        <f t="shared" si="4"/>
        <v>0.69999999993797202</v>
      </c>
      <c r="F15" s="25">
        <f t="shared" si="5"/>
        <v>-0.90000000000145497</v>
      </c>
      <c r="G15" s="26">
        <f t="shared" si="6"/>
        <v>0.69999999993797202</v>
      </c>
      <c r="H15" s="6">
        <v>6.4947999999999997</v>
      </c>
      <c r="I15" s="35">
        <f t="shared" si="1"/>
        <v>798.30110000000002</v>
      </c>
      <c r="J15" s="24">
        <f t="shared" si="7"/>
        <v>-0.69999999993797202</v>
      </c>
      <c r="K15" s="25">
        <f t="shared" si="8"/>
        <v>-1.69999999991433</v>
      </c>
      <c r="L15" s="26">
        <f t="shared" si="9"/>
        <v>-0.69999999993797202</v>
      </c>
      <c r="M15" s="6">
        <v>5.1163999999999996</v>
      </c>
      <c r="N15" s="35">
        <f t="shared" si="2"/>
        <v>796.92269999999996</v>
      </c>
      <c r="O15" s="24">
        <f t="shared" si="10"/>
        <v>-0.199999999949796</v>
      </c>
      <c r="P15" s="25">
        <f t="shared" si="11"/>
        <v>-1.2000000000398401</v>
      </c>
      <c r="Q15" s="26">
        <f t="shared" si="12"/>
        <v>-0.199999999949796</v>
      </c>
      <c r="R15" s="41"/>
      <c r="S15" s="21">
        <f t="shared" si="3"/>
        <v>44868</v>
      </c>
      <c r="T15" s="42">
        <v>8.5831</v>
      </c>
      <c r="U15" s="43">
        <f t="shared" si="13"/>
        <v>-0.50000000000061096</v>
      </c>
      <c r="V15" s="44">
        <f t="shared" si="14"/>
        <v>-1.7999999999993599</v>
      </c>
      <c r="W15" s="45">
        <f t="shared" si="15"/>
        <v>0.50000000000061096</v>
      </c>
      <c r="X15" s="29">
        <v>11.8901</v>
      </c>
      <c r="Y15" s="43">
        <f t="shared" si="16"/>
        <v>-9.99999999997669E-2</v>
      </c>
      <c r="Z15" s="44">
        <f t="shared" si="17"/>
        <v>-1.6999999999995901</v>
      </c>
      <c r="AA15" s="45">
        <f t="shared" si="18"/>
        <v>-9.99999999997669E-2</v>
      </c>
      <c r="AB15" s="49">
        <v>8.4698999999999902</v>
      </c>
      <c r="AC15" s="43">
        <f t="shared" si="19"/>
        <v>-0.19999999999953399</v>
      </c>
      <c r="AD15" s="44">
        <f t="shared" si="20"/>
        <v>-2.1000000000093202</v>
      </c>
      <c r="AE15" s="45">
        <f t="shared" si="21"/>
        <v>-0.19999999999953399</v>
      </c>
      <c r="AF15" s="50">
        <v>80439</v>
      </c>
      <c r="AG15" s="58">
        <f t="shared" si="22"/>
        <v>33</v>
      </c>
      <c r="AH15" s="61"/>
      <c r="AI15" s="60"/>
      <c r="AJ15"/>
      <c r="AK15"/>
      <c r="AL15"/>
      <c r="AM15"/>
    </row>
    <row r="16" spans="1:48">
      <c r="A16" s="21">
        <v>44869</v>
      </c>
      <c r="B16" s="22">
        <v>791.80629999999996</v>
      </c>
      <c r="C16" s="27">
        <v>5.7137000000000002</v>
      </c>
      <c r="D16" s="23">
        <f t="shared" si="0"/>
        <v>797.52</v>
      </c>
      <c r="E16" s="24">
        <f t="shared" si="4"/>
        <v>-1.09999999995125</v>
      </c>
      <c r="F16" s="25">
        <f t="shared" si="5"/>
        <v>-1.9999999999527101</v>
      </c>
      <c r="G16" s="26">
        <f t="shared" si="6"/>
        <v>-1.09999999995125</v>
      </c>
      <c r="H16" s="6">
        <v>6.4946000000000002</v>
      </c>
      <c r="I16" s="35">
        <f t="shared" si="1"/>
        <v>798.30089999999996</v>
      </c>
      <c r="J16" s="24">
        <f t="shared" si="7"/>
        <v>-0.20000000006348301</v>
      </c>
      <c r="K16" s="25">
        <f t="shared" si="8"/>
        <v>-1.8999999999778101</v>
      </c>
      <c r="L16" s="26">
        <f t="shared" si="9"/>
        <v>-0.20000000006348301</v>
      </c>
      <c r="M16" s="6">
        <v>5.1165000000000003</v>
      </c>
      <c r="N16" s="35">
        <f t="shared" si="2"/>
        <v>796.92280000000005</v>
      </c>
      <c r="O16" s="24">
        <f t="shared" si="10"/>
        <v>9.9999999974897905E-2</v>
      </c>
      <c r="P16" s="25">
        <f t="shared" si="11"/>
        <v>-1.1000000000649399</v>
      </c>
      <c r="Q16" s="26">
        <f t="shared" si="12"/>
        <v>9.9999999974897905E-2</v>
      </c>
      <c r="R16" s="41"/>
      <c r="S16" s="21">
        <f t="shared" si="3"/>
        <v>44869</v>
      </c>
      <c r="T16" s="42">
        <v>8.5829000000000004</v>
      </c>
      <c r="U16" s="43">
        <f t="shared" si="13"/>
        <v>-0.19999999999953399</v>
      </c>
      <c r="V16" s="44">
        <f t="shared" si="14"/>
        <v>-1.99999999999889</v>
      </c>
      <c r="W16" s="45">
        <f t="shared" si="15"/>
        <v>0.19999999999953399</v>
      </c>
      <c r="X16" s="29">
        <v>11.889799999999999</v>
      </c>
      <c r="Y16" s="43">
        <f t="shared" si="16"/>
        <v>-0.30000000000107702</v>
      </c>
      <c r="Z16" s="44">
        <f t="shared" si="17"/>
        <v>-2.0000000000006701</v>
      </c>
      <c r="AA16" s="45">
        <f t="shared" si="18"/>
        <v>-0.30000000000107702</v>
      </c>
      <c r="AB16" s="49">
        <v>8.4696999999999907</v>
      </c>
      <c r="AC16" s="43">
        <f t="shared" si="19"/>
        <v>-0.19999999999953399</v>
      </c>
      <c r="AD16" s="44">
        <f t="shared" si="20"/>
        <v>-2.3000000000088501</v>
      </c>
      <c r="AE16" s="45">
        <f t="shared" si="21"/>
        <v>-0.19999999999953399</v>
      </c>
      <c r="AF16" s="50">
        <v>80442</v>
      </c>
      <c r="AG16" s="58">
        <f t="shared" si="22"/>
        <v>36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44870</v>
      </c>
      <c r="B17" s="22">
        <v>791.80629999999996</v>
      </c>
      <c r="C17" s="27">
        <v>5.7134999999999998</v>
      </c>
      <c r="D17" s="23">
        <f t="shared" si="0"/>
        <v>797.51980000000003</v>
      </c>
      <c r="E17" s="24">
        <f t="shared" si="4"/>
        <v>-0.20000000006348301</v>
      </c>
      <c r="F17" s="25">
        <f t="shared" si="5"/>
        <v>-2.2000000000161899</v>
      </c>
      <c r="G17" s="26">
        <f t="shared" si="6"/>
        <v>-0.20000000006348301</v>
      </c>
      <c r="H17" s="6">
        <v>6.4950000000000001</v>
      </c>
      <c r="I17" s="35">
        <f t="shared" si="1"/>
        <v>798.30129999999997</v>
      </c>
      <c r="J17" s="24">
        <f t="shared" si="7"/>
        <v>0.40000000001327901</v>
      </c>
      <c r="K17" s="25">
        <f t="shared" si="8"/>
        <v>-1.4999999999645299</v>
      </c>
      <c r="L17" s="26">
        <f t="shared" si="9"/>
        <v>0.40000000001327901</v>
      </c>
      <c r="M17" s="6">
        <v>5.1159999999999997</v>
      </c>
      <c r="N17" s="35">
        <f t="shared" si="2"/>
        <v>796.92229999999995</v>
      </c>
      <c r="O17" s="24">
        <f t="shared" si="10"/>
        <v>-0.49999999998817701</v>
      </c>
      <c r="P17" s="25">
        <f t="shared" si="11"/>
        <v>-1.60000000005311</v>
      </c>
      <c r="Q17" s="26">
        <f t="shared" si="12"/>
        <v>-0.49999999998817701</v>
      </c>
      <c r="R17" s="41"/>
      <c r="S17" s="21">
        <f t="shared" si="3"/>
        <v>44870</v>
      </c>
      <c r="T17" s="42">
        <v>8.5827000000000009</v>
      </c>
      <c r="U17" s="43">
        <f t="shared" si="13"/>
        <v>-0.19999999999953399</v>
      </c>
      <c r="V17" s="44">
        <f t="shared" si="14"/>
        <v>-2.1999999999984299</v>
      </c>
      <c r="W17" s="45">
        <f t="shared" si="15"/>
        <v>0.19999999999953399</v>
      </c>
      <c r="X17" s="29">
        <v>11.8896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8.4695</v>
      </c>
      <c r="AC17" s="43">
        <f t="shared" si="19"/>
        <v>-0.19999999999065199</v>
      </c>
      <c r="AD17" s="44">
        <f t="shared" si="20"/>
        <v>-2.4999999999995</v>
      </c>
      <c r="AE17" s="45">
        <f t="shared" si="21"/>
        <v>-0.19999999999065199</v>
      </c>
      <c r="AF17" s="50">
        <v>80445</v>
      </c>
      <c r="AG17" s="58">
        <f t="shared" si="22"/>
        <v>39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44871</v>
      </c>
      <c r="B18" s="22">
        <v>791.80629999999996</v>
      </c>
      <c r="C18" s="27">
        <v>5.7141999999999999</v>
      </c>
      <c r="D18" s="23">
        <f t="shared" si="0"/>
        <v>797.52049999999997</v>
      </c>
      <c r="E18" s="24">
        <f t="shared" si="4"/>
        <v>0.70000000005165897</v>
      </c>
      <c r="F18" s="25">
        <f t="shared" si="5"/>
        <v>-1.4999999999645299</v>
      </c>
      <c r="G18" s="26">
        <f t="shared" si="6"/>
        <v>0.70000000005165897</v>
      </c>
      <c r="H18" s="6">
        <v>6.4942000000000002</v>
      </c>
      <c r="I18" s="35">
        <f t="shared" si="1"/>
        <v>798.30050000000006</v>
      </c>
      <c r="J18" s="24">
        <f t="shared" si="7"/>
        <v>-0.80000000002655702</v>
      </c>
      <c r="K18" s="25">
        <f t="shared" si="8"/>
        <v>-2.2999999999910901</v>
      </c>
      <c r="L18" s="26">
        <f t="shared" si="9"/>
        <v>-0.80000000002655702</v>
      </c>
      <c r="M18" s="6">
        <v>5.1158000000000001</v>
      </c>
      <c r="N18" s="35">
        <f t="shared" si="2"/>
        <v>796.9221</v>
      </c>
      <c r="O18" s="24">
        <f t="shared" si="10"/>
        <v>-0.199999999949796</v>
      </c>
      <c r="P18" s="25">
        <f t="shared" si="11"/>
        <v>-1.8000000000029099</v>
      </c>
      <c r="Q18" s="26">
        <f t="shared" si="12"/>
        <v>-0.199999999949796</v>
      </c>
      <c r="R18" s="41"/>
      <c r="S18" s="21">
        <f t="shared" si="3"/>
        <v>44871</v>
      </c>
      <c r="T18" s="42">
        <v>8.5825999999999993</v>
      </c>
      <c r="U18" s="43">
        <f t="shared" si="13"/>
        <v>-0.10000000000154299</v>
      </c>
      <c r="V18" s="44">
        <f t="shared" si="14"/>
        <v>-2.2999999999999701</v>
      </c>
      <c r="W18" s="45">
        <f t="shared" si="15"/>
        <v>0.10000000000154299</v>
      </c>
      <c r="X18" s="29">
        <v>11.8895</v>
      </c>
      <c r="Y18" s="43">
        <f t="shared" si="16"/>
        <v>-9.99999999997669E-2</v>
      </c>
      <c r="Z18" s="44">
        <f t="shared" si="17"/>
        <v>-2.2999999999999701</v>
      </c>
      <c r="AA18" s="45">
        <f t="shared" si="18"/>
        <v>-9.99999999997669E-2</v>
      </c>
      <c r="AB18" s="49">
        <v>8.4694000000000003</v>
      </c>
      <c r="AC18" s="43">
        <f t="shared" si="19"/>
        <v>-9.99999999997669E-2</v>
      </c>
      <c r="AD18" s="44">
        <f t="shared" si="20"/>
        <v>-2.59999999999927</v>
      </c>
      <c r="AE18" s="45">
        <f t="shared" si="21"/>
        <v>-9.99999999997669E-2</v>
      </c>
      <c r="AF18" s="50">
        <v>80448</v>
      </c>
      <c r="AG18" s="58">
        <f t="shared" si="22"/>
        <v>42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44872</v>
      </c>
      <c r="B19" s="22">
        <v>791.80629999999996</v>
      </c>
      <c r="C19" s="27">
        <v>5.7130999999999901</v>
      </c>
      <c r="D19" s="23">
        <f t="shared" si="0"/>
        <v>797.51940000000002</v>
      </c>
      <c r="E19" s="24">
        <f t="shared" si="4"/>
        <v>-1.1000000000649399</v>
      </c>
      <c r="F19" s="25">
        <f t="shared" si="5"/>
        <v>-2.6000000000294698</v>
      </c>
      <c r="G19" s="26">
        <f t="shared" si="6"/>
        <v>-1.1000000000649399</v>
      </c>
      <c r="H19" s="6">
        <v>6.4940000000000104</v>
      </c>
      <c r="I19" s="35">
        <f t="shared" si="1"/>
        <v>798.30029999999999</v>
      </c>
      <c r="J19" s="24">
        <f t="shared" si="7"/>
        <v>-0.199999999949796</v>
      </c>
      <c r="K19" s="25">
        <f t="shared" si="8"/>
        <v>-2.4999999999408802</v>
      </c>
      <c r="L19" s="26">
        <f t="shared" si="9"/>
        <v>-0.199999999949796</v>
      </c>
      <c r="M19" s="6">
        <v>5.1159999999999997</v>
      </c>
      <c r="N19" s="35">
        <f t="shared" si="2"/>
        <v>796.92229999999995</v>
      </c>
      <c r="O19" s="24">
        <f t="shared" si="10"/>
        <v>0.199999999949796</v>
      </c>
      <c r="P19" s="25">
        <f t="shared" si="11"/>
        <v>-1.60000000005311</v>
      </c>
      <c r="Q19" s="26">
        <f t="shared" si="12"/>
        <v>0.199999999949796</v>
      </c>
      <c r="R19" s="41"/>
      <c r="S19" s="21">
        <f t="shared" si="3"/>
        <v>44872</v>
      </c>
      <c r="T19" s="42">
        <v>8.5824999999999996</v>
      </c>
      <c r="U19" s="43">
        <f t="shared" si="13"/>
        <v>-9.99999999997669E-2</v>
      </c>
      <c r="V19" s="44">
        <f t="shared" si="14"/>
        <v>-2.3999999999997401</v>
      </c>
      <c r="W19" s="45">
        <f t="shared" si="15"/>
        <v>9.99999999997669E-2</v>
      </c>
      <c r="X19" s="29">
        <v>11.889200000000001</v>
      </c>
      <c r="Y19" s="43">
        <f t="shared" si="16"/>
        <v>-0.29999999999930099</v>
      </c>
      <c r="Z19" s="44">
        <f t="shared" si="17"/>
        <v>-2.59999999999927</v>
      </c>
      <c r="AA19" s="45">
        <f t="shared" si="18"/>
        <v>-0.29999999999930099</v>
      </c>
      <c r="AB19" s="49">
        <v>8.4693000000000005</v>
      </c>
      <c r="AC19" s="43">
        <f t="shared" si="19"/>
        <v>-9.99999999997669E-2</v>
      </c>
      <c r="AD19" s="44">
        <f t="shared" si="20"/>
        <v>-2.6999999999990401</v>
      </c>
      <c r="AE19" s="45">
        <f t="shared" si="21"/>
        <v>-9.99999999997669E-2</v>
      </c>
      <c r="AF19" s="50">
        <v>80451</v>
      </c>
      <c r="AG19" s="58">
        <f t="shared" si="22"/>
        <v>45</v>
      </c>
      <c r="AH19" s="61"/>
      <c r="AI19" s="60"/>
      <c r="AJ19"/>
      <c r="AK19"/>
      <c r="AL19"/>
      <c r="AM19"/>
    </row>
    <row r="20" spans="1:48">
      <c r="A20" s="21">
        <v>44873</v>
      </c>
      <c r="B20" s="22">
        <v>791.80629999999996</v>
      </c>
      <c r="C20" s="27">
        <v>5.7128999999999897</v>
      </c>
      <c r="D20" s="23">
        <f t="shared" si="0"/>
        <v>797.51919999999996</v>
      </c>
      <c r="E20" s="24">
        <f t="shared" si="4"/>
        <v>-0.199999999949796</v>
      </c>
      <c r="F20" s="25">
        <f t="shared" si="5"/>
        <v>-2.79999999997926</v>
      </c>
      <c r="G20" s="26">
        <f t="shared" si="6"/>
        <v>-0.199999999949796</v>
      </c>
      <c r="H20" s="6">
        <v>6.4945000000000004</v>
      </c>
      <c r="I20" s="35">
        <f t="shared" si="1"/>
        <v>798.30079999999998</v>
      </c>
      <c r="J20" s="24">
        <f t="shared" si="7"/>
        <v>0.49999999998817701</v>
      </c>
      <c r="K20" s="25">
        <f t="shared" si="8"/>
        <v>-1.9999999999527101</v>
      </c>
      <c r="L20" s="26">
        <f t="shared" si="9"/>
        <v>0.49999999998817701</v>
      </c>
      <c r="M20" s="6">
        <v>5.1154000000000099</v>
      </c>
      <c r="N20" s="35">
        <f t="shared" si="2"/>
        <v>796.92169999999999</v>
      </c>
      <c r="O20" s="24">
        <f t="shared" si="10"/>
        <v>-0.59999999996307496</v>
      </c>
      <c r="P20" s="25">
        <f t="shared" si="11"/>
        <v>-2.2000000000161899</v>
      </c>
      <c r="Q20" s="26">
        <f t="shared" si="12"/>
        <v>-0.59999999996307496</v>
      </c>
      <c r="R20" s="41"/>
      <c r="S20" s="21">
        <f t="shared" si="3"/>
        <v>44873</v>
      </c>
      <c r="T20" s="42">
        <v>8.5825999999999993</v>
      </c>
      <c r="U20" s="43">
        <f t="shared" si="13"/>
        <v>9.99999999997669E-2</v>
      </c>
      <c r="V20" s="44">
        <f t="shared" si="14"/>
        <v>-2.2999999999999701</v>
      </c>
      <c r="W20" s="45">
        <f t="shared" si="15"/>
        <v>-9.99999999997669E-2</v>
      </c>
      <c r="X20" s="29">
        <v>11.889200000000001</v>
      </c>
      <c r="Y20" s="43">
        <f t="shared" si="16"/>
        <v>0</v>
      </c>
      <c r="Z20" s="44">
        <f t="shared" si="17"/>
        <v>-2.59999999999927</v>
      </c>
      <c r="AA20" s="45">
        <f t="shared" si="18"/>
        <v>0</v>
      </c>
      <c r="AB20" s="49">
        <v>8.4692000000000007</v>
      </c>
      <c r="AC20" s="43">
        <f t="shared" si="19"/>
        <v>-9.99999999997669E-2</v>
      </c>
      <c r="AD20" s="44">
        <f t="shared" si="20"/>
        <v>-2.7999999999987999</v>
      </c>
      <c r="AE20" s="45">
        <f t="shared" si="21"/>
        <v>-9.99999999997669E-2</v>
      </c>
      <c r="AF20" s="50">
        <v>80454</v>
      </c>
      <c r="AG20" s="58">
        <f t="shared" si="22"/>
        <v>48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44875</v>
      </c>
      <c r="B21" s="22">
        <v>791.80629999999996</v>
      </c>
      <c r="C21" s="27">
        <v>5.7134999999999998</v>
      </c>
      <c r="D21" s="23">
        <f t="shared" si="0"/>
        <v>797.51980000000003</v>
      </c>
      <c r="E21" s="24">
        <f t="shared" si="4"/>
        <v>0.59999999996307496</v>
      </c>
      <c r="F21" s="25">
        <f t="shared" si="5"/>
        <v>-2.2000000000161899</v>
      </c>
      <c r="G21" s="26">
        <f t="shared" si="6"/>
        <v>0.29999999998153698</v>
      </c>
      <c r="H21" s="6">
        <v>6.4936000000000096</v>
      </c>
      <c r="I21" s="35">
        <f t="shared" si="1"/>
        <v>798.29989999999998</v>
      </c>
      <c r="J21" s="24">
        <f t="shared" si="7"/>
        <v>-0.90000000000145497</v>
      </c>
      <c r="K21" s="25">
        <f t="shared" si="8"/>
        <v>-2.8999999999541601</v>
      </c>
      <c r="L21" s="26">
        <f t="shared" si="9"/>
        <v>-0.45000000000072798</v>
      </c>
      <c r="M21" s="6">
        <v>5.1152000000000104</v>
      </c>
      <c r="N21" s="35">
        <f t="shared" si="2"/>
        <v>796.92150000000004</v>
      </c>
      <c r="O21" s="24">
        <f t="shared" si="10"/>
        <v>-0.20000000006348301</v>
      </c>
      <c r="P21" s="25">
        <f t="shared" si="11"/>
        <v>-2.40000000007967</v>
      </c>
      <c r="Q21" s="26">
        <f t="shared" si="12"/>
        <v>-0.100000000031741</v>
      </c>
      <c r="R21" s="41"/>
      <c r="S21" s="21">
        <f t="shared" si="3"/>
        <v>44875</v>
      </c>
      <c r="T21" s="42">
        <v>8.5822999999999894</v>
      </c>
      <c r="U21" s="43">
        <f t="shared" si="13"/>
        <v>-0.30000000000995902</v>
      </c>
      <c r="V21" s="44">
        <f t="shared" si="14"/>
        <v>-2.6000000000099299</v>
      </c>
      <c r="W21" s="45">
        <f t="shared" si="15"/>
        <v>0.15000000000497901</v>
      </c>
      <c r="X21" s="29">
        <v>11.8888</v>
      </c>
      <c r="Y21" s="43">
        <f t="shared" si="16"/>
        <v>-0.40000000000084401</v>
      </c>
      <c r="Z21" s="44">
        <f t="shared" si="17"/>
        <v>-3.0000000000001101</v>
      </c>
      <c r="AA21" s="45">
        <f t="shared" si="18"/>
        <v>-0.20000000000042201</v>
      </c>
      <c r="AB21" s="49">
        <v>8.4689999999999994</v>
      </c>
      <c r="AC21" s="43">
        <f t="shared" si="19"/>
        <v>-0.20000000000130999</v>
      </c>
      <c r="AD21" s="44">
        <f t="shared" si="20"/>
        <v>-3.0000000000001101</v>
      </c>
      <c r="AE21" s="45">
        <f t="shared" si="21"/>
        <v>-0.100000000000655</v>
      </c>
      <c r="AF21" s="50">
        <v>80457</v>
      </c>
      <c r="AG21" s="58">
        <f t="shared" si="22"/>
        <v>51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44877</v>
      </c>
      <c r="B22" s="22">
        <v>791.80629999999996</v>
      </c>
      <c r="C22" s="27">
        <v>5.7124999999999897</v>
      </c>
      <c r="D22" s="23">
        <f t="shared" si="0"/>
        <v>797.51880000000006</v>
      </c>
      <c r="E22" s="24">
        <f t="shared" si="4"/>
        <v>-0.99999999997635303</v>
      </c>
      <c r="F22" s="25">
        <f t="shared" si="5"/>
        <v>-3.1999999999925399</v>
      </c>
      <c r="G22" s="26">
        <f t="shared" si="6"/>
        <v>-0.49999999998817701</v>
      </c>
      <c r="H22" s="6">
        <v>6.4943</v>
      </c>
      <c r="I22" s="35">
        <f t="shared" si="1"/>
        <v>798.30060000000003</v>
      </c>
      <c r="J22" s="24">
        <f t="shared" si="7"/>
        <v>0.69999999993797202</v>
      </c>
      <c r="K22" s="25">
        <f t="shared" si="8"/>
        <v>-2.2000000000161899</v>
      </c>
      <c r="L22" s="26">
        <f t="shared" si="9"/>
        <v>0.34999999996898601</v>
      </c>
      <c r="M22" s="6">
        <v>5.1154999999999999</v>
      </c>
      <c r="N22" s="35">
        <f t="shared" si="2"/>
        <v>796.92179999999996</v>
      </c>
      <c r="O22" s="24">
        <f t="shared" si="10"/>
        <v>0.30000000003838101</v>
      </c>
      <c r="P22" s="25">
        <f t="shared" si="11"/>
        <v>-2.1000000000412902</v>
      </c>
      <c r="Q22" s="26">
        <f t="shared" si="12"/>
        <v>0.15000000001919001</v>
      </c>
      <c r="R22" s="41"/>
      <c r="S22" s="21">
        <f t="shared" si="3"/>
        <v>44877</v>
      </c>
      <c r="T22" s="42">
        <v>8.5821999999999896</v>
      </c>
      <c r="U22" s="43">
        <f t="shared" si="13"/>
        <v>-9.99999999997669E-2</v>
      </c>
      <c r="V22" s="44">
        <f t="shared" si="14"/>
        <v>-2.7000000000096902</v>
      </c>
      <c r="W22" s="45">
        <f t="shared" si="15"/>
        <v>4.9999999999883499E-2</v>
      </c>
      <c r="X22" s="29">
        <v>11.8886</v>
      </c>
      <c r="Y22" s="43">
        <f t="shared" si="16"/>
        <v>-0.19999999999953399</v>
      </c>
      <c r="Z22" s="44">
        <f t="shared" si="17"/>
        <v>-3.1999999999996498</v>
      </c>
      <c r="AA22" s="45">
        <f t="shared" si="18"/>
        <v>-9.99999999997669E-2</v>
      </c>
      <c r="AB22" s="49">
        <v>8.4689999999999994</v>
      </c>
      <c r="AC22" s="43">
        <f t="shared" si="19"/>
        <v>0</v>
      </c>
      <c r="AD22" s="44">
        <f t="shared" si="20"/>
        <v>-3.0000000000001101</v>
      </c>
      <c r="AE22" s="45">
        <f t="shared" si="21"/>
        <v>0</v>
      </c>
      <c r="AF22" s="50">
        <v>80460</v>
      </c>
      <c r="AG22" s="58">
        <f t="shared" si="22"/>
        <v>54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44879</v>
      </c>
      <c r="B23" s="22">
        <v>791.80629999999996</v>
      </c>
      <c r="C23" s="27">
        <v>5.7122999999999902</v>
      </c>
      <c r="D23" s="23">
        <f t="shared" si="0"/>
        <v>797.51859999999999</v>
      </c>
      <c r="E23" s="24">
        <f t="shared" si="4"/>
        <v>-0.199999999949796</v>
      </c>
      <c r="F23" s="25">
        <f t="shared" si="5"/>
        <v>-3.3999999999423398</v>
      </c>
      <c r="G23" s="26">
        <f t="shared" si="6"/>
        <v>-9.9999999974897905E-2</v>
      </c>
      <c r="H23" s="6">
        <v>6.4932000000000096</v>
      </c>
      <c r="I23" s="35">
        <f t="shared" si="1"/>
        <v>798.29949999999997</v>
      </c>
      <c r="J23" s="24">
        <f t="shared" si="7"/>
        <v>-1.09999999995125</v>
      </c>
      <c r="K23" s="25">
        <f t="shared" si="8"/>
        <v>-3.2999999999674401</v>
      </c>
      <c r="L23" s="26">
        <f t="shared" si="9"/>
        <v>-0.54999999997562599</v>
      </c>
      <c r="M23" s="6">
        <v>5.1148000000000096</v>
      </c>
      <c r="N23" s="35">
        <f t="shared" si="2"/>
        <v>796.92110000000002</v>
      </c>
      <c r="O23" s="24">
        <f t="shared" si="10"/>
        <v>-0.69999999993797202</v>
      </c>
      <c r="P23" s="25">
        <f t="shared" si="11"/>
        <v>-2.79999999997926</v>
      </c>
      <c r="Q23" s="26">
        <f t="shared" si="12"/>
        <v>-0.34999999996898601</v>
      </c>
      <c r="R23" s="41"/>
      <c r="S23" s="21">
        <f t="shared" si="3"/>
        <v>44879</v>
      </c>
      <c r="T23" s="42">
        <v>8.5820999999999898</v>
      </c>
      <c r="U23" s="43">
        <f t="shared" si="13"/>
        <v>-9.99999999997669E-2</v>
      </c>
      <c r="V23" s="44">
        <f t="shared" si="14"/>
        <v>-2.8000000000094598</v>
      </c>
      <c r="W23" s="45">
        <f t="shared" si="15"/>
        <v>4.9999999999883499E-2</v>
      </c>
      <c r="X23" s="29">
        <v>11.888999999999999</v>
      </c>
      <c r="Y23" s="43">
        <f t="shared" si="16"/>
        <v>0.39999999999906799</v>
      </c>
      <c r="Z23" s="44">
        <f t="shared" si="17"/>
        <v>-2.8000000000005798</v>
      </c>
      <c r="AA23" s="45">
        <f t="shared" si="18"/>
        <v>0.19999999999953399</v>
      </c>
      <c r="AB23" s="49">
        <v>8.4688999999999997</v>
      </c>
      <c r="AC23" s="43">
        <f t="shared" si="19"/>
        <v>-9.99999999997669E-2</v>
      </c>
      <c r="AD23" s="44">
        <f t="shared" si="20"/>
        <v>-3.0999999999998802</v>
      </c>
      <c r="AE23" s="45">
        <f t="shared" si="21"/>
        <v>-4.9999999999883499E-2</v>
      </c>
      <c r="AF23" s="50">
        <v>80472</v>
      </c>
      <c r="AG23" s="58">
        <f t="shared" si="22"/>
        <v>66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44881</v>
      </c>
      <c r="B24" s="22">
        <v>791.80629999999996</v>
      </c>
      <c r="C24" s="27">
        <v>5.7126000000000001</v>
      </c>
      <c r="D24" s="23">
        <f t="shared" si="0"/>
        <v>797.51890000000003</v>
      </c>
      <c r="E24" s="24">
        <f t="shared" si="4"/>
        <v>0.29999999992469401</v>
      </c>
      <c r="F24" s="25">
        <f t="shared" si="5"/>
        <v>-3.1000000000176402</v>
      </c>
      <c r="G24" s="26">
        <f t="shared" si="6"/>
        <v>0.149999999962347</v>
      </c>
      <c r="H24" s="6">
        <v>6.4930000000000101</v>
      </c>
      <c r="I24" s="35">
        <f t="shared" si="1"/>
        <v>798.29930000000002</v>
      </c>
      <c r="J24" s="24">
        <f t="shared" si="7"/>
        <v>-0.199999999949796</v>
      </c>
      <c r="K24" s="25">
        <f t="shared" si="8"/>
        <v>-3.49999999991724</v>
      </c>
      <c r="L24" s="26">
        <f t="shared" si="9"/>
        <v>-9.9999999974897905E-2</v>
      </c>
      <c r="M24" s="6">
        <v>5.11460000000001</v>
      </c>
      <c r="N24" s="35">
        <f t="shared" si="2"/>
        <v>796.92089999999996</v>
      </c>
      <c r="O24" s="24">
        <f t="shared" si="10"/>
        <v>-0.20000000006348301</v>
      </c>
      <c r="P24" s="25">
        <f t="shared" si="11"/>
        <v>-3.0000000000427498</v>
      </c>
      <c r="Q24" s="26">
        <f t="shared" si="12"/>
        <v>-0.100000000031741</v>
      </c>
      <c r="R24" s="41"/>
      <c r="S24" s="21">
        <f t="shared" si="3"/>
        <v>44881</v>
      </c>
      <c r="T24" s="42">
        <v>8.5822000000000003</v>
      </c>
      <c r="U24" s="43">
        <f t="shared" si="13"/>
        <v>0.100000000010425</v>
      </c>
      <c r="V24" s="44">
        <f t="shared" si="14"/>
        <v>-2.6999999999990401</v>
      </c>
      <c r="W24" s="45">
        <f t="shared" si="15"/>
        <v>-5.00000000052125E-2</v>
      </c>
      <c r="X24" s="29">
        <v>11.888199999999999</v>
      </c>
      <c r="Y24" s="43">
        <f t="shared" si="16"/>
        <v>-0.799999999999912</v>
      </c>
      <c r="Z24" s="44">
        <f t="shared" si="17"/>
        <v>-3.6000000000004899</v>
      </c>
      <c r="AA24" s="45">
        <f t="shared" si="18"/>
        <v>-0.399999999999956</v>
      </c>
      <c r="AB24" s="49">
        <v>8.4688999999999997</v>
      </c>
      <c r="AC24" s="43">
        <f t="shared" si="19"/>
        <v>0</v>
      </c>
      <c r="AD24" s="44">
        <f t="shared" si="20"/>
        <v>-3.0999999999998802</v>
      </c>
      <c r="AE24" s="45">
        <f t="shared" si="21"/>
        <v>0</v>
      </c>
      <c r="AF24" s="50">
        <v>80483</v>
      </c>
      <c r="AG24" s="58">
        <f t="shared" si="22"/>
        <v>77</v>
      </c>
      <c r="AH24" s="59"/>
      <c r="AI24" s="60"/>
      <c r="AJ24" s="52"/>
      <c r="AK24" s="52"/>
      <c r="AL24" s="52"/>
      <c r="AM24" s="52"/>
    </row>
    <row r="25" spans="1:48">
      <c r="A25" s="21">
        <v>44883</v>
      </c>
      <c r="B25" s="22">
        <v>791.80629999999996</v>
      </c>
      <c r="C25" s="27">
        <v>5.7118999999999902</v>
      </c>
      <c r="D25" s="23">
        <f t="shared" si="0"/>
        <v>797.51819999999998</v>
      </c>
      <c r="E25" s="24">
        <f t="shared" si="4"/>
        <v>-0.69999999993797202</v>
      </c>
      <c r="F25" s="25">
        <f t="shared" si="5"/>
        <v>-3.7999999999556202</v>
      </c>
      <c r="G25" s="26">
        <f t="shared" si="6"/>
        <v>-0.34999999996898601</v>
      </c>
      <c r="H25" s="6">
        <v>6.4924999999999997</v>
      </c>
      <c r="I25" s="35">
        <f t="shared" si="1"/>
        <v>798.29880000000003</v>
      </c>
      <c r="J25" s="24">
        <f t="shared" si="7"/>
        <v>-0.50000000010186296</v>
      </c>
      <c r="K25" s="25">
        <f t="shared" si="8"/>
        <v>-4.0000000000191003</v>
      </c>
      <c r="L25" s="26">
        <f t="shared" si="9"/>
        <v>-0.25000000005093198</v>
      </c>
      <c r="M25" s="6">
        <v>5.1147999999999998</v>
      </c>
      <c r="N25" s="35">
        <f t="shared" si="2"/>
        <v>796.92110000000002</v>
      </c>
      <c r="O25" s="24">
        <f t="shared" si="10"/>
        <v>0.199999999949796</v>
      </c>
      <c r="P25" s="25">
        <f t="shared" si="11"/>
        <v>-2.8000000000929499</v>
      </c>
      <c r="Q25" s="26">
        <f t="shared" si="12"/>
        <v>9.9999999974897905E-2</v>
      </c>
      <c r="R25" s="41"/>
      <c r="S25" s="21">
        <f t="shared" si="3"/>
        <v>44883</v>
      </c>
      <c r="T25" s="42">
        <v>8.5818999999999903</v>
      </c>
      <c r="U25" s="43">
        <f t="shared" si="13"/>
        <v>-0.30000000000995902</v>
      </c>
      <c r="V25" s="44">
        <f t="shared" si="14"/>
        <v>-3.0000000000089999</v>
      </c>
      <c r="W25" s="45">
        <f t="shared" si="15"/>
        <v>0.15000000000497901</v>
      </c>
      <c r="X25" s="29">
        <v>11.888</v>
      </c>
      <c r="Y25" s="43">
        <f t="shared" si="16"/>
        <v>-0.19999999999953399</v>
      </c>
      <c r="Z25" s="44">
        <f t="shared" si="17"/>
        <v>-3.80000000000003</v>
      </c>
      <c r="AA25" s="45">
        <f t="shared" si="18"/>
        <v>-9.99999999997669E-2</v>
      </c>
      <c r="AB25" s="49">
        <v>8.4687000000000001</v>
      </c>
      <c r="AC25" s="43">
        <f t="shared" si="19"/>
        <v>-0.19999999999953399</v>
      </c>
      <c r="AD25" s="44">
        <f t="shared" si="20"/>
        <v>-3.2999999999994101</v>
      </c>
      <c r="AE25" s="45">
        <f t="shared" si="21"/>
        <v>-9.99999999997669E-2</v>
      </c>
      <c r="AF25" s="50">
        <v>80496</v>
      </c>
      <c r="AG25" s="58">
        <f t="shared" si="22"/>
        <v>90</v>
      </c>
      <c r="AH25" s="61"/>
      <c r="AI25" s="60"/>
      <c r="AJ25" s="52"/>
      <c r="AK25" s="52"/>
      <c r="AL25" s="52"/>
      <c r="AM25" s="52"/>
    </row>
    <row r="26" spans="1:48">
      <c r="A26" s="21">
        <v>44885</v>
      </c>
      <c r="B26" s="22">
        <v>791.80629999999996</v>
      </c>
      <c r="C26" s="27">
        <v>5.7119999999999997</v>
      </c>
      <c r="D26" s="23">
        <f t="shared" si="0"/>
        <v>797.51829999999995</v>
      </c>
      <c r="E26" s="24">
        <f t="shared" si="4"/>
        <v>9.9999999974897905E-2</v>
      </c>
      <c r="F26" s="25">
        <f t="shared" si="5"/>
        <v>-3.69999999998072</v>
      </c>
      <c r="G26" s="26">
        <f t="shared" si="6"/>
        <v>4.9999999987449001E-2</v>
      </c>
      <c r="H26" s="6">
        <v>6.4927000000000001</v>
      </c>
      <c r="I26" s="35">
        <f t="shared" si="1"/>
        <v>798.29899999999998</v>
      </c>
      <c r="J26" s="24">
        <f t="shared" si="7"/>
        <v>0.20000000006348301</v>
      </c>
      <c r="K26" s="25">
        <f t="shared" si="8"/>
        <v>-3.7999999999556202</v>
      </c>
      <c r="L26" s="26">
        <f t="shared" si="9"/>
        <v>0.100000000031741</v>
      </c>
      <c r="M26" s="6">
        <v>5.1148999999999996</v>
      </c>
      <c r="N26" s="35">
        <f t="shared" si="2"/>
        <v>796.9212</v>
      </c>
      <c r="O26" s="24">
        <f t="shared" si="10"/>
        <v>0.10000000008858501</v>
      </c>
      <c r="P26" s="25">
        <f t="shared" si="11"/>
        <v>-2.70000000000437</v>
      </c>
      <c r="Q26" s="26">
        <f t="shared" si="12"/>
        <v>5.0000000044292399E-2</v>
      </c>
      <c r="R26" s="41"/>
      <c r="S26" s="21">
        <f t="shared" si="3"/>
        <v>44885</v>
      </c>
      <c r="T26" s="42">
        <v>8.5817999999999905</v>
      </c>
      <c r="U26" s="43">
        <f t="shared" si="13"/>
        <v>-9.99999999997669E-2</v>
      </c>
      <c r="V26" s="44">
        <f t="shared" si="14"/>
        <v>-3.1000000000087602</v>
      </c>
      <c r="W26" s="45">
        <f t="shared" si="15"/>
        <v>4.9999999999883499E-2</v>
      </c>
      <c r="X26" s="29">
        <v>11.888199999999999</v>
      </c>
      <c r="Y26" s="43">
        <f t="shared" si="16"/>
        <v>0.19999999999953399</v>
      </c>
      <c r="Z26" s="44">
        <f t="shared" si="17"/>
        <v>-3.6000000000004899</v>
      </c>
      <c r="AA26" s="45">
        <f t="shared" si="18"/>
        <v>9.99999999997669E-2</v>
      </c>
      <c r="AB26" s="49">
        <v>8.4685000000000006</v>
      </c>
      <c r="AC26" s="43">
        <f t="shared" si="19"/>
        <v>-0.19999999999953399</v>
      </c>
      <c r="AD26" s="44">
        <f t="shared" si="20"/>
        <v>-3.4999999999989502</v>
      </c>
      <c r="AE26" s="45">
        <f t="shared" si="21"/>
        <v>-9.99999999997669E-2</v>
      </c>
      <c r="AF26" s="50">
        <v>80496</v>
      </c>
      <c r="AG26" s="58">
        <f t="shared" si="22"/>
        <v>90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F26-F6</f>
        <v>-3.69999999998072</v>
      </c>
      <c r="F27" s="33">
        <f>K26-K6</f>
        <v>-3.7999999999556202</v>
      </c>
      <c r="G27" s="33">
        <f>P26-P6</f>
        <v>-2.70000000000437</v>
      </c>
      <c r="H27" s="33">
        <f>F26</f>
        <v>-3.69999999998072</v>
      </c>
      <c r="I27" s="66">
        <f>K26</f>
        <v>-3.7999999999556202</v>
      </c>
      <c r="J27" s="65">
        <f>P26</f>
        <v>-2.70000000000437</v>
      </c>
      <c r="K27" s="33">
        <f>(P26-P6)/27</f>
        <v>-0.100000000000162</v>
      </c>
      <c r="L27" s="26"/>
      <c r="N27" s="35"/>
      <c r="O27" s="24"/>
      <c r="P27" s="25"/>
      <c r="Q27" s="26"/>
      <c r="R27" s="41"/>
      <c r="S27" s="21"/>
      <c r="T27" s="42"/>
      <c r="U27" s="65">
        <f>V26-V6</f>
        <v>-3.1000000000087602</v>
      </c>
      <c r="V27" s="33">
        <f>Z26-Z6</f>
        <v>-3.6000000000004899</v>
      </c>
      <c r="W27" s="33">
        <f>AD26-AD6</f>
        <v>-3.4999999999989502</v>
      </c>
      <c r="X27" s="33">
        <f>V26</f>
        <v>-3.1000000000087602</v>
      </c>
      <c r="Y27" s="65">
        <f>Z26</f>
        <v>-3.6000000000004899</v>
      </c>
      <c r="Z27" s="33">
        <f>AD26</f>
        <v>-3.4999999999989502</v>
      </c>
      <c r="AA27" s="33">
        <f>(Z26-Z6)/27</f>
        <v>-0.13333333333335201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A7" workbookViewId="0">
      <selection activeCell="H6" sqref="H6:H23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44867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44867</v>
      </c>
      <c r="B6" s="22">
        <v>791.80629999999996</v>
      </c>
      <c r="C6" s="27">
        <v>5.8949999999999996</v>
      </c>
      <c r="D6" s="23">
        <f t="shared" ref="D6:D25" si="0">C6+B6</f>
        <v>797.70129999999995</v>
      </c>
      <c r="E6" s="24">
        <v>0</v>
      </c>
      <c r="F6" s="25">
        <v>0</v>
      </c>
      <c r="G6" s="26">
        <v>0</v>
      </c>
      <c r="H6" s="6">
        <v>6.6128</v>
      </c>
      <c r="I6" s="35">
        <f t="shared" ref="I6:I25" si="1">H6+B6</f>
        <v>798.41909999999996</v>
      </c>
      <c r="J6" s="24">
        <v>0</v>
      </c>
      <c r="K6" s="25">
        <v>0</v>
      </c>
      <c r="L6" s="26">
        <v>0</v>
      </c>
      <c r="M6" s="6">
        <v>6.0561999999999996</v>
      </c>
      <c r="N6" s="35">
        <f t="shared" ref="N6:N25" si="2">M6+B6</f>
        <v>797.86249999999995</v>
      </c>
      <c r="O6" s="24">
        <v>0</v>
      </c>
      <c r="P6" s="25">
        <v>0</v>
      </c>
      <c r="Q6" s="26">
        <v>0</v>
      </c>
      <c r="R6" s="41"/>
      <c r="S6" s="21">
        <f t="shared" ref="S6:S25" si="3">A6</f>
        <v>44867</v>
      </c>
      <c r="T6" s="42">
        <v>8.9537999999999993</v>
      </c>
      <c r="U6" s="43">
        <v>0</v>
      </c>
      <c r="V6" s="44">
        <v>0</v>
      </c>
      <c r="W6" s="45">
        <f>U6/(S6-S11)</f>
        <v>0</v>
      </c>
      <c r="X6" s="29">
        <v>11.8918</v>
      </c>
      <c r="Y6" s="43">
        <v>0</v>
      </c>
      <c r="Z6" s="44">
        <v>0</v>
      </c>
      <c r="AA6" s="45">
        <v>0</v>
      </c>
      <c r="AB6" s="49">
        <v>8.8265999999999991</v>
      </c>
      <c r="AC6" s="43">
        <v>0</v>
      </c>
      <c r="AD6" s="44">
        <v>0</v>
      </c>
      <c r="AE6" s="45">
        <v>0</v>
      </c>
      <c r="AF6" s="50">
        <v>80428</v>
      </c>
      <c r="AG6" s="58">
        <f>AF6-80422</f>
        <v>6</v>
      </c>
      <c r="AH6" s="59"/>
      <c r="AI6" s="60"/>
      <c r="AJ6" s="61"/>
      <c r="AK6" s="62"/>
      <c r="AL6" s="52"/>
      <c r="AM6" s="52"/>
    </row>
    <row r="7" spans="1:48">
      <c r="A7" s="21">
        <v>44868</v>
      </c>
      <c r="B7" s="22">
        <v>791.80629999999996</v>
      </c>
      <c r="C7" s="27">
        <v>5.8955000000000002</v>
      </c>
      <c r="D7" s="23">
        <f t="shared" si="0"/>
        <v>797.70180000000005</v>
      </c>
      <c r="E7" s="24">
        <f t="shared" ref="E7:E25" si="4">(D7-D6)*1000</f>
        <v>0.49999999998817701</v>
      </c>
      <c r="F7" s="25">
        <f t="shared" ref="F7:F25" si="5">F6+E7</f>
        <v>0.49999999998817701</v>
      </c>
      <c r="G7" s="26">
        <f t="shared" ref="G7:G25" si="6">E7/(A7-A6)</f>
        <v>0.49999999998817701</v>
      </c>
      <c r="H7" s="6">
        <v>6.6128999999999998</v>
      </c>
      <c r="I7" s="35">
        <f t="shared" si="1"/>
        <v>798.41920000000005</v>
      </c>
      <c r="J7" s="24">
        <f t="shared" ref="J7:J25" si="7">(I7-I6)*1000</f>
        <v>9.9999999974897905E-2</v>
      </c>
      <c r="K7" s="25">
        <f t="shared" ref="K7:K25" si="8">K6+J7</f>
        <v>9.9999999974897905E-2</v>
      </c>
      <c r="L7" s="26">
        <f t="shared" ref="L7:L25" si="9">J7/(A7-A6)</f>
        <v>9.9999999974897905E-2</v>
      </c>
      <c r="M7" s="6">
        <v>6.056</v>
      </c>
      <c r="N7" s="35">
        <f t="shared" si="2"/>
        <v>797.8623</v>
      </c>
      <c r="O7" s="24">
        <f t="shared" ref="O7:O25" si="10">(N7-N6)*1000</f>
        <v>-0.199999999949796</v>
      </c>
      <c r="P7" s="25">
        <f t="shared" ref="P7:P25" si="11">P6+O7</f>
        <v>-0.199999999949796</v>
      </c>
      <c r="Q7" s="26">
        <f t="shared" ref="Q7:Q25" si="12">O7/(A7-A6)</f>
        <v>-0.199999999949796</v>
      </c>
      <c r="R7" s="41"/>
      <c r="S7" s="21">
        <f t="shared" si="3"/>
        <v>44868</v>
      </c>
      <c r="T7" s="42">
        <v>8.9535999999999998</v>
      </c>
      <c r="U7" s="43">
        <f t="shared" ref="U7:U25" si="13">(T7-T6)*1000</f>
        <v>-0.19999999999953399</v>
      </c>
      <c r="V7" s="44">
        <f t="shared" ref="V7:V25" si="14">V6+U7</f>
        <v>-0.19999999999953399</v>
      </c>
      <c r="W7" s="45">
        <f t="shared" ref="W7:W25" si="15">U7/(S6-S7)</f>
        <v>0.19999999999953399</v>
      </c>
      <c r="X7" s="29">
        <v>11.8916</v>
      </c>
      <c r="Y7" s="43">
        <f t="shared" ref="Y7:Y25" si="16">(X7-X6)*1000</f>
        <v>-0.19999999999953399</v>
      </c>
      <c r="Z7" s="44">
        <f t="shared" ref="Z7:Z25" si="17">Z6+Y7</f>
        <v>-0.19999999999953399</v>
      </c>
      <c r="AA7" s="45">
        <f t="shared" ref="AA7:AA25" si="18">Y7/(S7-S6)</f>
        <v>-0.19999999999953399</v>
      </c>
      <c r="AB7" s="49">
        <v>8.8260000000000005</v>
      </c>
      <c r="AC7" s="43">
        <f t="shared" ref="AC7:AC25" si="19">(AB7-AB6)*1000</f>
        <v>-0.59999999999860198</v>
      </c>
      <c r="AD7" s="44">
        <f t="shared" ref="AD7:AD25" si="20">AD6+AC7</f>
        <v>-0.59999999999860198</v>
      </c>
      <c r="AE7" s="45">
        <f t="shared" ref="AE7:AE25" si="21">AC7/(S7-S6)</f>
        <v>-0.59999999999860198</v>
      </c>
      <c r="AF7" s="50">
        <v>80431</v>
      </c>
      <c r="AG7" s="58">
        <f t="shared" ref="AG7:AG25" si="22">AF7-80422</f>
        <v>9</v>
      </c>
      <c r="AH7" s="59"/>
      <c r="AI7" s="60"/>
      <c r="AJ7" s="61"/>
      <c r="AK7" s="62"/>
      <c r="AL7" s="52"/>
      <c r="AM7" s="52"/>
    </row>
    <row r="8" spans="1:48">
      <c r="A8" s="21">
        <v>44869</v>
      </c>
      <c r="B8" s="22">
        <v>791.80629999999996</v>
      </c>
      <c r="C8" s="27">
        <v>5.8948</v>
      </c>
      <c r="D8" s="23">
        <f t="shared" si="0"/>
        <v>797.7011</v>
      </c>
      <c r="E8" s="24">
        <f t="shared" si="4"/>
        <v>-0.69999999993797202</v>
      </c>
      <c r="F8" s="25">
        <f t="shared" si="5"/>
        <v>-0.199999999949796</v>
      </c>
      <c r="G8" s="26">
        <f t="shared" si="6"/>
        <v>-0.69999999993797202</v>
      </c>
      <c r="H8" s="6">
        <v>6.6127000000000002</v>
      </c>
      <c r="I8" s="35">
        <f t="shared" si="1"/>
        <v>798.41899999999998</v>
      </c>
      <c r="J8" s="24">
        <f t="shared" si="7"/>
        <v>-0.199999999949796</v>
      </c>
      <c r="K8" s="25">
        <f t="shared" si="8"/>
        <v>-9.9999999974897905E-2</v>
      </c>
      <c r="L8" s="26">
        <f t="shared" si="9"/>
        <v>-0.199999999949796</v>
      </c>
      <c r="M8" s="6">
        <v>6.0557999999999996</v>
      </c>
      <c r="N8" s="35">
        <f t="shared" si="2"/>
        <v>797.86210000000005</v>
      </c>
      <c r="O8" s="24">
        <f t="shared" si="10"/>
        <v>-0.20000000006348301</v>
      </c>
      <c r="P8" s="25">
        <f t="shared" si="11"/>
        <v>-0.40000000001327901</v>
      </c>
      <c r="Q8" s="26">
        <f t="shared" si="12"/>
        <v>-0.20000000006348301</v>
      </c>
      <c r="R8" s="41"/>
      <c r="S8" s="21">
        <f t="shared" si="3"/>
        <v>44869</v>
      </c>
      <c r="T8" s="42">
        <v>8.9534000000000002</v>
      </c>
      <c r="U8" s="43">
        <f t="shared" si="13"/>
        <v>-0.19999999999953399</v>
      </c>
      <c r="V8" s="44">
        <f t="shared" si="14"/>
        <v>-0.39999999999906799</v>
      </c>
      <c r="W8" s="45">
        <f t="shared" si="15"/>
        <v>0.19999999999953399</v>
      </c>
      <c r="X8" s="29">
        <v>11.891400000000001</v>
      </c>
      <c r="Y8" s="43">
        <f t="shared" si="16"/>
        <v>-0.19999999999953399</v>
      </c>
      <c r="Z8" s="44">
        <f t="shared" si="17"/>
        <v>-0.39999999999906799</v>
      </c>
      <c r="AA8" s="45">
        <f t="shared" si="18"/>
        <v>-0.19999999999953399</v>
      </c>
      <c r="AB8" s="49">
        <v>8.8262999999999998</v>
      </c>
      <c r="AC8" s="43">
        <f t="shared" si="19"/>
        <v>0.29999999999930099</v>
      </c>
      <c r="AD8" s="44">
        <f t="shared" si="20"/>
        <v>-0.29999999999930099</v>
      </c>
      <c r="AE8" s="45">
        <f t="shared" si="21"/>
        <v>0.29999999999930099</v>
      </c>
      <c r="AF8" s="50">
        <v>80434</v>
      </c>
      <c r="AG8" s="58">
        <f t="shared" si="22"/>
        <v>12</v>
      </c>
      <c r="AH8" s="59"/>
      <c r="AI8" s="60"/>
      <c r="AJ8" s="61"/>
      <c r="AK8" s="62"/>
      <c r="AL8" s="52"/>
      <c r="AM8" s="52"/>
    </row>
    <row r="9" spans="1:48">
      <c r="A9" s="21">
        <v>44870</v>
      </c>
      <c r="B9" s="22">
        <v>791.80629999999996</v>
      </c>
      <c r="C9" s="27">
        <v>5.8945999999999996</v>
      </c>
      <c r="D9" s="23">
        <f t="shared" si="0"/>
        <v>797.70090000000005</v>
      </c>
      <c r="E9" s="24">
        <f t="shared" si="4"/>
        <v>-0.20000000006348301</v>
      </c>
      <c r="F9" s="25">
        <f t="shared" si="5"/>
        <v>-0.40000000001327901</v>
      </c>
      <c r="G9" s="26">
        <f t="shared" si="6"/>
        <v>-0.20000000006348301</v>
      </c>
      <c r="H9" s="6">
        <v>6.6124999999999998</v>
      </c>
      <c r="I9" s="35">
        <f t="shared" si="1"/>
        <v>798.41880000000003</v>
      </c>
      <c r="J9" s="24">
        <f t="shared" si="7"/>
        <v>-0.20000000006348301</v>
      </c>
      <c r="K9" s="25">
        <f t="shared" si="8"/>
        <v>-0.30000000003838101</v>
      </c>
      <c r="L9" s="26">
        <f t="shared" si="9"/>
        <v>-0.20000000006348301</v>
      </c>
      <c r="M9" s="6">
        <v>6.0556999999999999</v>
      </c>
      <c r="N9" s="35">
        <f t="shared" si="2"/>
        <v>797.86199999999997</v>
      </c>
      <c r="O9" s="24">
        <f t="shared" si="10"/>
        <v>-9.9999999974897905E-2</v>
      </c>
      <c r="P9" s="25">
        <f t="shared" si="11"/>
        <v>-0.49999999998817701</v>
      </c>
      <c r="Q9" s="26">
        <f t="shared" si="12"/>
        <v>-9.9999999974897905E-2</v>
      </c>
      <c r="R9" s="41"/>
      <c r="S9" s="21">
        <f t="shared" si="3"/>
        <v>44870</v>
      </c>
      <c r="T9" s="42">
        <v>8.9529999999999994</v>
      </c>
      <c r="U9" s="43">
        <f t="shared" si="13"/>
        <v>-0.40000000000084401</v>
      </c>
      <c r="V9" s="44">
        <f t="shared" si="14"/>
        <v>-0.799999999999912</v>
      </c>
      <c r="W9" s="45">
        <f t="shared" si="15"/>
        <v>0.40000000000084401</v>
      </c>
      <c r="X9" s="29">
        <v>11.8912</v>
      </c>
      <c r="Y9" s="43">
        <f t="shared" si="16"/>
        <v>-0.20000000000130999</v>
      </c>
      <c r="Z9" s="44">
        <f t="shared" si="17"/>
        <v>-0.60000000000037801</v>
      </c>
      <c r="AA9" s="45">
        <f t="shared" si="18"/>
        <v>-0.20000000000130999</v>
      </c>
      <c r="AB9" s="49">
        <v>8.8261000000000003</v>
      </c>
      <c r="AC9" s="43">
        <f t="shared" si="19"/>
        <v>-0.19999999999953399</v>
      </c>
      <c r="AD9" s="44">
        <f t="shared" si="20"/>
        <v>-0.49999999999883499</v>
      </c>
      <c r="AE9" s="45">
        <f t="shared" si="21"/>
        <v>-0.19999999999953399</v>
      </c>
      <c r="AF9" s="50">
        <v>80437</v>
      </c>
      <c r="AG9" s="58">
        <f t="shared" si="22"/>
        <v>15</v>
      </c>
      <c r="AH9" s="61"/>
      <c r="AI9" s="60"/>
      <c r="AJ9"/>
      <c r="AK9"/>
      <c r="AL9"/>
      <c r="AM9"/>
    </row>
    <row r="10" spans="1:48">
      <c r="A10" s="21">
        <v>44871</v>
      </c>
      <c r="B10" s="22">
        <v>791.80629999999996</v>
      </c>
      <c r="C10" s="27">
        <v>5.8944000000000001</v>
      </c>
      <c r="D10" s="23">
        <f t="shared" si="0"/>
        <v>797.70069999999998</v>
      </c>
      <c r="E10" s="24">
        <f t="shared" si="4"/>
        <v>-0.199999999949796</v>
      </c>
      <c r="F10" s="25">
        <f t="shared" si="5"/>
        <v>-0.59999999996307496</v>
      </c>
      <c r="G10" s="26">
        <f t="shared" si="6"/>
        <v>-0.199999999949796</v>
      </c>
      <c r="H10" s="6">
        <v>6.6123000000000003</v>
      </c>
      <c r="I10" s="35">
        <f t="shared" si="1"/>
        <v>798.41859999999997</v>
      </c>
      <c r="J10" s="24">
        <f t="shared" si="7"/>
        <v>-0.199999999949796</v>
      </c>
      <c r="K10" s="25">
        <f t="shared" si="8"/>
        <v>-0.49999999998817701</v>
      </c>
      <c r="L10" s="26">
        <f t="shared" si="9"/>
        <v>-0.199999999949796</v>
      </c>
      <c r="M10" s="6">
        <v>6.0553999999999997</v>
      </c>
      <c r="N10" s="35">
        <f t="shared" si="2"/>
        <v>797.86170000000004</v>
      </c>
      <c r="O10" s="24">
        <f t="shared" si="10"/>
        <v>-0.30000000003838101</v>
      </c>
      <c r="P10" s="25">
        <f t="shared" si="11"/>
        <v>-0.80000000002655702</v>
      </c>
      <c r="Q10" s="26">
        <f t="shared" si="12"/>
        <v>-0.30000000003838101</v>
      </c>
      <c r="R10" s="41"/>
      <c r="S10" s="21">
        <f t="shared" si="3"/>
        <v>44871</v>
      </c>
      <c r="T10" s="42">
        <v>8.9529999999999994</v>
      </c>
      <c r="U10" s="43">
        <f t="shared" si="13"/>
        <v>0</v>
      </c>
      <c r="V10" s="44">
        <f t="shared" si="14"/>
        <v>-0.799999999999912</v>
      </c>
      <c r="W10" s="45">
        <f t="shared" si="15"/>
        <v>0</v>
      </c>
      <c r="X10" s="29">
        <v>11.891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8.8259000000000007</v>
      </c>
      <c r="AC10" s="43">
        <f t="shared" si="19"/>
        <v>-0.19999999999953399</v>
      </c>
      <c r="AD10" s="44">
        <f t="shared" si="20"/>
        <v>-0.69999999999836904</v>
      </c>
      <c r="AE10" s="45">
        <f t="shared" si="21"/>
        <v>-0.19999999999953399</v>
      </c>
      <c r="AF10" s="50">
        <v>80440</v>
      </c>
      <c r="AG10" s="58">
        <f t="shared" si="22"/>
        <v>18</v>
      </c>
      <c r="AH10" s="59"/>
      <c r="AI10" s="60"/>
      <c r="AJ10" s="61"/>
      <c r="AK10" s="62"/>
      <c r="AL10" s="52"/>
      <c r="AM10" s="52"/>
    </row>
    <row r="11" spans="1:48">
      <c r="A11" s="21">
        <v>44872</v>
      </c>
      <c r="B11" s="22">
        <v>791.80629999999996</v>
      </c>
      <c r="C11" s="27">
        <v>5.8943000000000003</v>
      </c>
      <c r="D11" s="23">
        <f t="shared" si="0"/>
        <v>797.70060000000001</v>
      </c>
      <c r="E11" s="24">
        <f t="shared" si="4"/>
        <v>-9.9999999974897905E-2</v>
      </c>
      <c r="F11" s="25">
        <f t="shared" si="5"/>
        <v>-0.69999999993797202</v>
      </c>
      <c r="G11" s="26">
        <f t="shared" si="6"/>
        <v>-9.9999999974897905E-2</v>
      </c>
      <c r="H11" s="6">
        <v>6.6121999999999996</v>
      </c>
      <c r="I11" s="35">
        <f t="shared" si="1"/>
        <v>798.41849999999999</v>
      </c>
      <c r="J11" s="24">
        <f t="shared" si="7"/>
        <v>-9.9999999974897905E-2</v>
      </c>
      <c r="K11" s="25">
        <f t="shared" si="8"/>
        <v>-0.59999999996307496</v>
      </c>
      <c r="L11" s="26">
        <f t="shared" si="9"/>
        <v>-9.9999999974897905E-2</v>
      </c>
      <c r="M11" s="6">
        <v>6.0555000000000003</v>
      </c>
      <c r="N11" s="35">
        <f t="shared" si="2"/>
        <v>797.86180000000002</v>
      </c>
      <c r="O11" s="24">
        <f t="shared" si="10"/>
        <v>0.10000000008858501</v>
      </c>
      <c r="P11" s="25">
        <f t="shared" si="11"/>
        <v>-0.69999999993797202</v>
      </c>
      <c r="Q11" s="26">
        <f t="shared" si="12"/>
        <v>0.10000000008858501</v>
      </c>
      <c r="R11" s="41"/>
      <c r="S11" s="21">
        <f t="shared" si="3"/>
        <v>44872</v>
      </c>
      <c r="T11" s="42">
        <v>8.9527999999999999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29">
        <v>11.8908</v>
      </c>
      <c r="Y11" s="43">
        <f t="shared" si="16"/>
        <v>-0.19999999999953399</v>
      </c>
      <c r="Z11" s="44">
        <f t="shared" si="17"/>
        <v>-0.999999999999446</v>
      </c>
      <c r="AA11" s="45">
        <f t="shared" si="18"/>
        <v>-0.19999999999953399</v>
      </c>
      <c r="AB11" s="49">
        <v>8.8260000000000005</v>
      </c>
      <c r="AC11" s="43">
        <f t="shared" si="19"/>
        <v>9.99999999997669E-2</v>
      </c>
      <c r="AD11" s="44">
        <f t="shared" si="20"/>
        <v>-0.59999999999860198</v>
      </c>
      <c r="AE11" s="45">
        <f t="shared" si="21"/>
        <v>9.99999999997669E-2</v>
      </c>
      <c r="AF11" s="50">
        <v>80443</v>
      </c>
      <c r="AG11" s="58">
        <f t="shared" si="22"/>
        <v>21</v>
      </c>
      <c r="AH11" s="61"/>
      <c r="AI11" s="60"/>
      <c r="AJ11"/>
      <c r="AK11"/>
      <c r="AL11"/>
      <c r="AM11"/>
    </row>
    <row r="12" spans="1:48">
      <c r="A12" s="21">
        <v>44873</v>
      </c>
      <c r="B12" s="22">
        <v>791.80629999999996</v>
      </c>
      <c r="C12" s="27">
        <v>5.8940000000000001</v>
      </c>
      <c r="D12" s="23">
        <f t="shared" si="0"/>
        <v>797.70029999999997</v>
      </c>
      <c r="E12" s="24">
        <f t="shared" si="4"/>
        <v>-0.30000000003838101</v>
      </c>
      <c r="F12" s="25">
        <f t="shared" si="5"/>
        <v>-0.99999999997635303</v>
      </c>
      <c r="G12" s="26">
        <f t="shared" si="6"/>
        <v>-0.30000000003838101</v>
      </c>
      <c r="H12" s="6">
        <v>6.6119000000000003</v>
      </c>
      <c r="I12" s="35">
        <f t="shared" si="1"/>
        <v>798.41819999999996</v>
      </c>
      <c r="J12" s="24">
        <f t="shared" si="7"/>
        <v>-0.30000000003838101</v>
      </c>
      <c r="K12" s="25">
        <f t="shared" si="8"/>
        <v>-0.90000000000145497</v>
      </c>
      <c r="L12" s="26">
        <f t="shared" si="9"/>
        <v>-0.30000000003838101</v>
      </c>
      <c r="M12" s="6">
        <v>6.0549999999999997</v>
      </c>
      <c r="N12" s="35">
        <f t="shared" si="2"/>
        <v>797.86130000000003</v>
      </c>
      <c r="O12" s="24">
        <f t="shared" si="10"/>
        <v>-0.50000000010186296</v>
      </c>
      <c r="P12" s="25">
        <f t="shared" si="11"/>
        <v>-1.2000000000398401</v>
      </c>
      <c r="Q12" s="26">
        <f t="shared" si="12"/>
        <v>-0.50000000010186296</v>
      </c>
      <c r="R12" s="41"/>
      <c r="S12" s="21">
        <f t="shared" si="3"/>
        <v>44873</v>
      </c>
      <c r="T12" s="42">
        <v>8.9528999999999996</v>
      </c>
      <c r="U12" s="43">
        <f t="shared" si="13"/>
        <v>9.99999999997669E-2</v>
      </c>
      <c r="V12" s="44">
        <f t="shared" si="14"/>
        <v>-0.89999999999967895</v>
      </c>
      <c r="W12" s="45">
        <f t="shared" si="15"/>
        <v>-9.99999999997669E-2</v>
      </c>
      <c r="X12" s="29">
        <v>11.891</v>
      </c>
      <c r="Y12" s="43">
        <f t="shared" si="16"/>
        <v>0.19999999999953399</v>
      </c>
      <c r="Z12" s="44">
        <f t="shared" si="17"/>
        <v>-0.799999999999912</v>
      </c>
      <c r="AA12" s="45">
        <f t="shared" si="18"/>
        <v>0.19999999999953399</v>
      </c>
      <c r="AB12" s="49">
        <v>8.8254999999999999</v>
      </c>
      <c r="AC12" s="43">
        <f t="shared" si="19"/>
        <v>-0.50000000000061096</v>
      </c>
      <c r="AD12" s="44">
        <f t="shared" si="20"/>
        <v>-1.0999999999992101</v>
      </c>
      <c r="AE12" s="45">
        <f t="shared" si="21"/>
        <v>-0.50000000000061096</v>
      </c>
      <c r="AF12" s="50">
        <v>80446</v>
      </c>
      <c r="AG12" s="58">
        <f t="shared" si="22"/>
        <v>24</v>
      </c>
      <c r="AH12" s="59"/>
      <c r="AI12" s="60"/>
      <c r="AJ12"/>
      <c r="AK12"/>
      <c r="AL12"/>
      <c r="AM12"/>
    </row>
    <row r="13" spans="1:48">
      <c r="A13" s="21">
        <v>44874</v>
      </c>
      <c r="B13" s="22">
        <v>791.80629999999996</v>
      </c>
      <c r="C13" s="27">
        <v>5.8937999999999997</v>
      </c>
      <c r="D13" s="23">
        <f t="shared" si="0"/>
        <v>797.70010000000002</v>
      </c>
      <c r="E13" s="24">
        <f t="shared" si="4"/>
        <v>-0.199999999949796</v>
      </c>
      <c r="F13" s="25">
        <f t="shared" si="5"/>
        <v>-1.1999999999261499</v>
      </c>
      <c r="G13" s="26">
        <f t="shared" si="6"/>
        <v>-0.199999999949796</v>
      </c>
      <c r="H13" s="6">
        <v>6.6116999999999999</v>
      </c>
      <c r="I13" s="35">
        <f t="shared" si="1"/>
        <v>798.41800000000001</v>
      </c>
      <c r="J13" s="24">
        <f t="shared" si="7"/>
        <v>-0.199999999949796</v>
      </c>
      <c r="K13" s="25">
        <f t="shared" si="8"/>
        <v>-1.09999999995125</v>
      </c>
      <c r="L13" s="26">
        <f t="shared" si="9"/>
        <v>-0.199999999949796</v>
      </c>
      <c r="M13" s="6">
        <v>6.0548000000000002</v>
      </c>
      <c r="N13" s="35">
        <f t="shared" si="2"/>
        <v>797.86109999999996</v>
      </c>
      <c r="O13" s="24">
        <f t="shared" si="10"/>
        <v>-0.199999999949796</v>
      </c>
      <c r="P13" s="25">
        <f t="shared" si="11"/>
        <v>-1.39999999998963</v>
      </c>
      <c r="Q13" s="26">
        <f t="shared" si="12"/>
        <v>-0.199999999949796</v>
      </c>
      <c r="R13" s="41"/>
      <c r="S13" s="21">
        <f t="shared" si="3"/>
        <v>44874</v>
      </c>
      <c r="T13" s="42">
        <v>8.9524000000000008</v>
      </c>
      <c r="U13" s="43">
        <f t="shared" si="13"/>
        <v>-0.49999999999883499</v>
      </c>
      <c r="V13" s="44">
        <f t="shared" si="14"/>
        <v>-1.39999999999851</v>
      </c>
      <c r="W13" s="45">
        <f t="shared" si="15"/>
        <v>0.49999999999883499</v>
      </c>
      <c r="X13" s="29">
        <v>11.8904</v>
      </c>
      <c r="Y13" s="43">
        <f t="shared" si="16"/>
        <v>-0.60000000000037801</v>
      </c>
      <c r="Z13" s="44">
        <f t="shared" si="17"/>
        <v>-1.4000000000002899</v>
      </c>
      <c r="AA13" s="45">
        <f t="shared" si="18"/>
        <v>-0.60000000000037801</v>
      </c>
      <c r="AB13" s="49">
        <v>8.8253000000000004</v>
      </c>
      <c r="AC13" s="43">
        <f t="shared" si="19"/>
        <v>-0.19999999999953399</v>
      </c>
      <c r="AD13" s="44">
        <f t="shared" si="20"/>
        <v>-1.2999999999987499</v>
      </c>
      <c r="AE13" s="45">
        <f t="shared" si="21"/>
        <v>-0.19999999999953399</v>
      </c>
      <c r="AF13" s="50">
        <v>80449</v>
      </c>
      <c r="AG13" s="58">
        <f t="shared" si="22"/>
        <v>27</v>
      </c>
      <c r="AH13" s="61"/>
      <c r="AI13" s="60"/>
      <c r="AJ13"/>
      <c r="AK13"/>
      <c r="AL13"/>
      <c r="AM13"/>
    </row>
    <row r="14" spans="1:48">
      <c r="A14" s="21">
        <v>44875</v>
      </c>
      <c r="B14" s="22">
        <v>791.80629999999996</v>
      </c>
      <c r="C14" s="27">
        <v>5.8940999999999999</v>
      </c>
      <c r="D14" s="23">
        <f t="shared" si="0"/>
        <v>797.70039999999995</v>
      </c>
      <c r="E14" s="24">
        <f t="shared" si="4"/>
        <v>0.29999999992469401</v>
      </c>
      <c r="F14" s="25">
        <f t="shared" si="5"/>
        <v>-0.90000000000145497</v>
      </c>
      <c r="G14" s="26">
        <f t="shared" si="6"/>
        <v>0.29999999992469401</v>
      </c>
      <c r="H14" s="6">
        <v>6.6115000000000004</v>
      </c>
      <c r="I14" s="35">
        <f t="shared" si="1"/>
        <v>798.41780000000006</v>
      </c>
      <c r="J14" s="24">
        <f t="shared" si="7"/>
        <v>-0.20000000006348301</v>
      </c>
      <c r="K14" s="25">
        <f t="shared" si="8"/>
        <v>-1.30000000001473</v>
      </c>
      <c r="L14" s="26">
        <f t="shared" si="9"/>
        <v>-0.20000000006348301</v>
      </c>
      <c r="M14" s="6">
        <v>6.0545</v>
      </c>
      <c r="N14" s="35">
        <f t="shared" si="2"/>
        <v>797.86080000000004</v>
      </c>
      <c r="O14" s="24">
        <f t="shared" si="10"/>
        <v>-0.30000000003838101</v>
      </c>
      <c r="P14" s="25">
        <f t="shared" si="11"/>
        <v>-1.70000000002801</v>
      </c>
      <c r="Q14" s="26">
        <f t="shared" si="12"/>
        <v>-0.30000000003838101</v>
      </c>
      <c r="R14" s="41"/>
      <c r="S14" s="21">
        <f t="shared" si="3"/>
        <v>44875</v>
      </c>
      <c r="T14" s="42">
        <v>8.9521999999999995</v>
      </c>
      <c r="U14" s="43">
        <f t="shared" si="13"/>
        <v>-0.20000000000130999</v>
      </c>
      <c r="V14" s="44">
        <f t="shared" si="14"/>
        <v>-1.59999999999982</v>
      </c>
      <c r="W14" s="45">
        <f t="shared" si="15"/>
        <v>0.20000000000130999</v>
      </c>
      <c r="X14" s="29">
        <v>11.8902</v>
      </c>
      <c r="Y14" s="43">
        <f t="shared" si="16"/>
        <v>-0.19999999999953399</v>
      </c>
      <c r="Z14" s="44">
        <f t="shared" si="17"/>
        <v>-1.59999999999982</v>
      </c>
      <c r="AA14" s="45">
        <f t="shared" si="18"/>
        <v>-0.19999999999953399</v>
      </c>
      <c r="AB14" s="49">
        <v>8.8249999999999993</v>
      </c>
      <c r="AC14" s="43">
        <f t="shared" si="19"/>
        <v>-0.30000000000107702</v>
      </c>
      <c r="AD14" s="44">
        <f t="shared" si="20"/>
        <v>-1.59999999999982</v>
      </c>
      <c r="AE14" s="45">
        <f t="shared" si="21"/>
        <v>-0.30000000000107702</v>
      </c>
      <c r="AF14" s="50">
        <v>80452</v>
      </c>
      <c r="AG14" s="58">
        <f t="shared" si="22"/>
        <v>30</v>
      </c>
      <c r="AH14" s="59"/>
      <c r="AI14" s="60"/>
      <c r="AJ14"/>
      <c r="AK14"/>
      <c r="AL14"/>
      <c r="AM14"/>
    </row>
    <row r="15" spans="1:48">
      <c r="A15" s="21">
        <v>44876</v>
      </c>
      <c r="B15" s="22">
        <v>791.80629999999996</v>
      </c>
      <c r="C15" s="27">
        <v>5.8933999999999997</v>
      </c>
      <c r="D15" s="23">
        <f t="shared" si="0"/>
        <v>797.69970000000001</v>
      </c>
      <c r="E15" s="24">
        <f t="shared" si="4"/>
        <v>-0.69999999993797202</v>
      </c>
      <c r="F15" s="25">
        <f t="shared" si="5"/>
        <v>-1.5999999999394301</v>
      </c>
      <c r="G15" s="26">
        <f t="shared" si="6"/>
        <v>-0.69999999993797202</v>
      </c>
      <c r="H15" s="6">
        <v>6.6116000000000001</v>
      </c>
      <c r="I15" s="35">
        <f t="shared" si="1"/>
        <v>798.41790000000003</v>
      </c>
      <c r="J15" s="24">
        <f t="shared" si="7"/>
        <v>9.9999999974897905E-2</v>
      </c>
      <c r="K15" s="25">
        <f t="shared" si="8"/>
        <v>-1.2000000000398401</v>
      </c>
      <c r="L15" s="26">
        <f t="shared" si="9"/>
        <v>9.9999999974897905E-2</v>
      </c>
      <c r="M15" s="6">
        <v>6.0544000000000002</v>
      </c>
      <c r="N15" s="35">
        <f t="shared" si="2"/>
        <v>797.86069999999995</v>
      </c>
      <c r="O15" s="24">
        <f t="shared" si="10"/>
        <v>-9.9999999974897905E-2</v>
      </c>
      <c r="P15" s="25">
        <f t="shared" si="11"/>
        <v>-1.8000000000029099</v>
      </c>
      <c r="Q15" s="26">
        <f t="shared" si="12"/>
        <v>-9.9999999974897905E-2</v>
      </c>
      <c r="R15" s="41"/>
      <c r="S15" s="21">
        <f t="shared" si="3"/>
        <v>44876</v>
      </c>
      <c r="T15" s="42">
        <v>8.9520999999999997</v>
      </c>
      <c r="U15" s="43">
        <f t="shared" si="13"/>
        <v>-9.99999999997669E-2</v>
      </c>
      <c r="V15" s="44">
        <f t="shared" si="14"/>
        <v>-1.6999999999995901</v>
      </c>
      <c r="W15" s="45">
        <f t="shared" si="15"/>
        <v>9.99999999997669E-2</v>
      </c>
      <c r="X15" s="29">
        <v>11.8901</v>
      </c>
      <c r="Y15" s="43">
        <f t="shared" si="16"/>
        <v>-9.99999999997669E-2</v>
      </c>
      <c r="Z15" s="44">
        <f t="shared" si="17"/>
        <v>-1.6999999999995901</v>
      </c>
      <c r="AA15" s="45">
        <f t="shared" si="18"/>
        <v>-9.99999999997669E-2</v>
      </c>
      <c r="AB15" s="49">
        <v>8.8248999999999995</v>
      </c>
      <c r="AC15" s="43">
        <f t="shared" si="19"/>
        <v>-9.99999999997669E-2</v>
      </c>
      <c r="AD15" s="44">
        <f t="shared" si="20"/>
        <v>-1.6999999999995901</v>
      </c>
      <c r="AE15" s="45">
        <f t="shared" si="21"/>
        <v>-9.99999999997669E-2</v>
      </c>
      <c r="AF15" s="50">
        <v>80455</v>
      </c>
      <c r="AG15" s="58">
        <f t="shared" si="22"/>
        <v>33</v>
      </c>
      <c r="AH15" s="61"/>
      <c r="AI15" s="60"/>
      <c r="AJ15"/>
      <c r="AK15"/>
      <c r="AL15"/>
      <c r="AM15"/>
    </row>
    <row r="16" spans="1:48">
      <c r="A16" s="21">
        <v>44877</v>
      </c>
      <c r="B16" s="22">
        <v>791.80629999999996</v>
      </c>
      <c r="C16" s="27">
        <v>5.8932000000000002</v>
      </c>
      <c r="D16" s="23">
        <f t="shared" si="0"/>
        <v>797.69949999999994</v>
      </c>
      <c r="E16" s="24">
        <f t="shared" si="4"/>
        <v>-0.20000000006348301</v>
      </c>
      <c r="F16" s="25">
        <f t="shared" si="5"/>
        <v>-1.8000000000029099</v>
      </c>
      <c r="G16" s="26">
        <f t="shared" si="6"/>
        <v>-0.20000000006348301</v>
      </c>
      <c r="H16" s="6">
        <v>6.6111000000000004</v>
      </c>
      <c r="I16" s="35">
        <f t="shared" si="1"/>
        <v>798.41740000000004</v>
      </c>
      <c r="J16" s="24">
        <f t="shared" si="7"/>
        <v>-0.49999999998817701</v>
      </c>
      <c r="K16" s="25">
        <f t="shared" si="8"/>
        <v>-1.70000000002801</v>
      </c>
      <c r="L16" s="26">
        <f t="shared" si="9"/>
        <v>-0.49999999998817701</v>
      </c>
      <c r="M16" s="6">
        <v>6.0541999999999998</v>
      </c>
      <c r="N16" s="35">
        <f t="shared" si="2"/>
        <v>797.8605</v>
      </c>
      <c r="O16" s="24">
        <f t="shared" si="10"/>
        <v>-0.199999999949796</v>
      </c>
      <c r="P16" s="25">
        <f t="shared" si="11"/>
        <v>-1.9999999999527101</v>
      </c>
      <c r="Q16" s="26">
        <f t="shared" si="12"/>
        <v>-0.199999999949796</v>
      </c>
      <c r="R16" s="41"/>
      <c r="S16" s="21">
        <f t="shared" si="3"/>
        <v>44877</v>
      </c>
      <c r="T16" s="42">
        <v>8.9518000000000004</v>
      </c>
      <c r="U16" s="43">
        <f t="shared" si="13"/>
        <v>-0.29999999999930099</v>
      </c>
      <c r="V16" s="44">
        <f t="shared" si="14"/>
        <v>-1.99999999999889</v>
      </c>
      <c r="W16" s="45">
        <f t="shared" si="15"/>
        <v>0.29999999999930099</v>
      </c>
      <c r="X16" s="29">
        <v>11.889799999999999</v>
      </c>
      <c r="Y16" s="43">
        <f t="shared" si="16"/>
        <v>-0.30000000000107702</v>
      </c>
      <c r="Z16" s="44">
        <f t="shared" si="17"/>
        <v>-2.0000000000006701</v>
      </c>
      <c r="AA16" s="45">
        <f t="shared" si="18"/>
        <v>-0.30000000000107702</v>
      </c>
      <c r="AB16" s="49">
        <v>8.8247</v>
      </c>
      <c r="AC16" s="43">
        <f t="shared" si="19"/>
        <v>-0.19999999999953399</v>
      </c>
      <c r="AD16" s="44">
        <f t="shared" si="20"/>
        <v>-1.8999999999991199</v>
      </c>
      <c r="AE16" s="45">
        <f t="shared" si="21"/>
        <v>-0.19999999999953399</v>
      </c>
      <c r="AF16" s="50">
        <v>80458</v>
      </c>
      <c r="AG16" s="58">
        <f t="shared" si="22"/>
        <v>36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44878</v>
      </c>
      <c r="B17" s="22">
        <v>791.80629999999996</v>
      </c>
      <c r="C17" s="27">
        <v>5.8930999999999996</v>
      </c>
      <c r="D17" s="23">
        <f t="shared" si="0"/>
        <v>797.69939999999997</v>
      </c>
      <c r="E17" s="24">
        <f t="shared" si="4"/>
        <v>-9.9999999974897905E-2</v>
      </c>
      <c r="F17" s="25">
        <f t="shared" si="5"/>
        <v>-1.8999999999778101</v>
      </c>
      <c r="G17" s="26">
        <f t="shared" si="6"/>
        <v>-9.9999999974897905E-2</v>
      </c>
      <c r="H17" s="6">
        <v>6.6109</v>
      </c>
      <c r="I17" s="35">
        <f t="shared" si="1"/>
        <v>798.41719999999998</v>
      </c>
      <c r="J17" s="24">
        <f t="shared" si="7"/>
        <v>-0.199999999949796</v>
      </c>
      <c r="K17" s="25">
        <f t="shared" si="8"/>
        <v>-1.8999999999778101</v>
      </c>
      <c r="L17" s="26">
        <f t="shared" si="9"/>
        <v>-0.199999999949796</v>
      </c>
      <c r="M17" s="6">
        <v>6.0542999999999996</v>
      </c>
      <c r="N17" s="35">
        <f t="shared" si="2"/>
        <v>797.86059999999998</v>
      </c>
      <c r="O17" s="24">
        <f t="shared" si="10"/>
        <v>9.9999999974897905E-2</v>
      </c>
      <c r="P17" s="25">
        <f t="shared" si="11"/>
        <v>-1.8999999999778101</v>
      </c>
      <c r="Q17" s="26">
        <f t="shared" si="12"/>
        <v>9.9999999974897905E-2</v>
      </c>
      <c r="R17" s="41"/>
      <c r="S17" s="21">
        <f t="shared" si="3"/>
        <v>44878</v>
      </c>
      <c r="T17" s="42">
        <v>8.9515999999999991</v>
      </c>
      <c r="U17" s="43">
        <f t="shared" si="13"/>
        <v>-0.20000000000130999</v>
      </c>
      <c r="V17" s="44">
        <f t="shared" si="14"/>
        <v>-2.2000000000002</v>
      </c>
      <c r="W17" s="45">
        <f t="shared" si="15"/>
        <v>0.20000000000130999</v>
      </c>
      <c r="X17" s="29">
        <v>11.8896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8.8246000000000002</v>
      </c>
      <c r="AC17" s="43">
        <f t="shared" si="19"/>
        <v>-9.99999999997669E-2</v>
      </c>
      <c r="AD17" s="44">
        <f t="shared" si="20"/>
        <v>-1.99999999999889</v>
      </c>
      <c r="AE17" s="45">
        <f t="shared" si="21"/>
        <v>-9.99999999997669E-2</v>
      </c>
      <c r="AF17" s="50">
        <v>80461</v>
      </c>
      <c r="AG17" s="58">
        <f t="shared" si="22"/>
        <v>39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44879</v>
      </c>
      <c r="B18" s="22">
        <v>791.80629999999996</v>
      </c>
      <c r="C18" s="27">
        <v>5.8928000000000003</v>
      </c>
      <c r="D18" s="23">
        <f t="shared" si="0"/>
        <v>797.69910000000004</v>
      </c>
      <c r="E18" s="24">
        <f t="shared" si="4"/>
        <v>-0.30000000003838101</v>
      </c>
      <c r="F18" s="25">
        <f t="shared" si="5"/>
        <v>-2.2000000000161899</v>
      </c>
      <c r="G18" s="26">
        <f t="shared" si="6"/>
        <v>-0.30000000003838101</v>
      </c>
      <c r="H18" s="6">
        <v>6.6108000000000002</v>
      </c>
      <c r="I18" s="35">
        <f t="shared" si="1"/>
        <v>798.4171</v>
      </c>
      <c r="J18" s="24">
        <f t="shared" si="7"/>
        <v>-9.9999999974897905E-2</v>
      </c>
      <c r="K18" s="25">
        <f t="shared" si="8"/>
        <v>-1.9999999999527101</v>
      </c>
      <c r="L18" s="26">
        <f t="shared" si="9"/>
        <v>-9.9999999974897905E-2</v>
      </c>
      <c r="M18" s="6">
        <v>6.0538000000000096</v>
      </c>
      <c r="N18" s="35">
        <f t="shared" si="2"/>
        <v>797.86009999999999</v>
      </c>
      <c r="O18" s="24">
        <f t="shared" si="10"/>
        <v>-0.49999999998817701</v>
      </c>
      <c r="P18" s="25">
        <f t="shared" si="11"/>
        <v>-2.39999999996598</v>
      </c>
      <c r="Q18" s="26">
        <f t="shared" si="12"/>
        <v>-0.49999999998817701</v>
      </c>
      <c r="R18" s="41"/>
      <c r="S18" s="21">
        <f t="shared" si="3"/>
        <v>44879</v>
      </c>
      <c r="T18" s="42">
        <v>8.9517000000000007</v>
      </c>
      <c r="U18" s="43">
        <f t="shared" si="13"/>
        <v>0.10000000000154299</v>
      </c>
      <c r="V18" s="44">
        <f t="shared" si="14"/>
        <v>-2.0999999999986598</v>
      </c>
      <c r="W18" s="45">
        <f t="shared" si="15"/>
        <v>-0.10000000000154299</v>
      </c>
      <c r="X18" s="29">
        <v>11.8895</v>
      </c>
      <c r="Y18" s="43">
        <f t="shared" si="16"/>
        <v>-9.99999999997669E-2</v>
      </c>
      <c r="Z18" s="44">
        <f t="shared" si="17"/>
        <v>-2.2999999999999701</v>
      </c>
      <c r="AA18" s="45">
        <f t="shared" si="18"/>
        <v>-9.99999999997669E-2</v>
      </c>
      <c r="AB18" s="49">
        <v>8.8242999999999991</v>
      </c>
      <c r="AC18" s="43">
        <f t="shared" si="19"/>
        <v>-0.30000000000107702</v>
      </c>
      <c r="AD18" s="44">
        <f t="shared" si="20"/>
        <v>-2.2999999999999701</v>
      </c>
      <c r="AE18" s="45">
        <f t="shared" si="21"/>
        <v>-0.30000000000107702</v>
      </c>
      <c r="AF18" s="50">
        <v>80464</v>
      </c>
      <c r="AG18" s="58">
        <f t="shared" si="22"/>
        <v>42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44880</v>
      </c>
      <c r="B19" s="22">
        <v>791.80629999999996</v>
      </c>
      <c r="C19" s="27">
        <v>5.8925999999999998</v>
      </c>
      <c r="D19" s="23">
        <f t="shared" si="0"/>
        <v>797.69889999999998</v>
      </c>
      <c r="E19" s="24">
        <f t="shared" si="4"/>
        <v>-0.199999999949796</v>
      </c>
      <c r="F19" s="25">
        <f t="shared" si="5"/>
        <v>-2.39999999996598</v>
      </c>
      <c r="G19" s="26">
        <f t="shared" si="6"/>
        <v>-0.199999999949796</v>
      </c>
      <c r="H19" s="6">
        <v>6.6105000000000098</v>
      </c>
      <c r="I19" s="35">
        <f t="shared" si="1"/>
        <v>798.41679999999997</v>
      </c>
      <c r="J19" s="24">
        <f t="shared" si="7"/>
        <v>-0.30000000003838101</v>
      </c>
      <c r="K19" s="25">
        <f t="shared" si="8"/>
        <v>-2.2999999999910901</v>
      </c>
      <c r="L19" s="26">
        <f t="shared" si="9"/>
        <v>-0.30000000003838101</v>
      </c>
      <c r="M19" s="6">
        <v>6.0536000000000101</v>
      </c>
      <c r="N19" s="35">
        <f t="shared" si="2"/>
        <v>797.85990000000004</v>
      </c>
      <c r="O19" s="24">
        <f t="shared" si="10"/>
        <v>-0.20000000006348301</v>
      </c>
      <c r="P19" s="25">
        <f t="shared" si="11"/>
        <v>-2.6000000000294698</v>
      </c>
      <c r="Q19" s="26">
        <f t="shared" si="12"/>
        <v>-0.20000000006348301</v>
      </c>
      <c r="R19" s="41"/>
      <c r="S19" s="21">
        <f t="shared" si="3"/>
        <v>44880</v>
      </c>
      <c r="T19" s="42">
        <v>8.9512000000000107</v>
      </c>
      <c r="U19" s="43">
        <f t="shared" si="13"/>
        <v>-0.49999999998995298</v>
      </c>
      <c r="V19" s="44">
        <f t="shared" si="14"/>
        <v>-2.5999999999886101</v>
      </c>
      <c r="W19" s="45">
        <f t="shared" si="15"/>
        <v>0.49999999998995298</v>
      </c>
      <c r="X19" s="29">
        <v>11.889200000000001</v>
      </c>
      <c r="Y19" s="43">
        <f t="shared" si="16"/>
        <v>-0.29999999999930099</v>
      </c>
      <c r="Z19" s="44">
        <f t="shared" si="17"/>
        <v>-2.59999999999927</v>
      </c>
      <c r="AA19" s="45">
        <f t="shared" si="18"/>
        <v>-0.29999999999930099</v>
      </c>
      <c r="AB19" s="49">
        <v>8.8240999999999996</v>
      </c>
      <c r="AC19" s="43">
        <f t="shared" si="19"/>
        <v>-0.19999999999953399</v>
      </c>
      <c r="AD19" s="44">
        <f t="shared" si="20"/>
        <v>-2.4999999999995</v>
      </c>
      <c r="AE19" s="45">
        <f t="shared" si="21"/>
        <v>-0.19999999999953399</v>
      </c>
      <c r="AF19" s="50">
        <v>80472</v>
      </c>
      <c r="AG19" s="58">
        <f t="shared" si="22"/>
        <v>50</v>
      </c>
      <c r="AH19" s="61"/>
      <c r="AI19" s="60"/>
      <c r="AJ19"/>
      <c r="AK19"/>
      <c r="AL19"/>
      <c r="AM19"/>
    </row>
    <row r="20" spans="1:48">
      <c r="A20" s="21">
        <v>44881</v>
      </c>
      <c r="B20" s="22">
        <v>791.80629999999996</v>
      </c>
      <c r="C20" s="27">
        <v>5.8925000000000001</v>
      </c>
      <c r="D20" s="23">
        <f t="shared" si="0"/>
        <v>797.69880000000001</v>
      </c>
      <c r="E20" s="24">
        <f t="shared" si="4"/>
        <v>-9.9999999974897905E-2</v>
      </c>
      <c r="F20" s="25">
        <f t="shared" si="5"/>
        <v>-2.4999999999408802</v>
      </c>
      <c r="G20" s="26">
        <f t="shared" si="6"/>
        <v>-9.9999999974897905E-2</v>
      </c>
      <c r="H20" s="6">
        <v>6.6103000000000103</v>
      </c>
      <c r="I20" s="35">
        <f t="shared" si="1"/>
        <v>798.41660000000002</v>
      </c>
      <c r="J20" s="24">
        <f t="shared" si="7"/>
        <v>-0.199999999949796</v>
      </c>
      <c r="K20" s="25">
        <f t="shared" si="8"/>
        <v>-2.4999999999408802</v>
      </c>
      <c r="L20" s="26">
        <f t="shared" si="9"/>
        <v>-0.199999999949796</v>
      </c>
      <c r="M20" s="6">
        <v>6.0540000000000003</v>
      </c>
      <c r="N20" s="35">
        <f t="shared" si="2"/>
        <v>797.86030000000005</v>
      </c>
      <c r="O20" s="24">
        <f t="shared" si="10"/>
        <v>0.40000000001327901</v>
      </c>
      <c r="P20" s="25">
        <f t="shared" si="11"/>
        <v>-2.2000000000161899</v>
      </c>
      <c r="Q20" s="26">
        <f t="shared" si="12"/>
        <v>0.40000000001327901</v>
      </c>
      <c r="R20" s="41"/>
      <c r="S20" s="21">
        <f t="shared" si="3"/>
        <v>44881</v>
      </c>
      <c r="T20" s="42">
        <v>8.9511000000000003</v>
      </c>
      <c r="U20" s="43">
        <f t="shared" si="13"/>
        <v>-0.100000000010425</v>
      </c>
      <c r="V20" s="44">
        <f t="shared" si="14"/>
        <v>-2.6999999999990401</v>
      </c>
      <c r="W20" s="45">
        <f t="shared" si="15"/>
        <v>0.100000000010425</v>
      </c>
      <c r="X20" s="29">
        <v>11.889200000000001</v>
      </c>
      <c r="Y20" s="43">
        <f t="shared" si="16"/>
        <v>0</v>
      </c>
      <c r="Z20" s="44">
        <f t="shared" si="17"/>
        <v>-2.59999999999927</v>
      </c>
      <c r="AA20" s="45">
        <f t="shared" si="18"/>
        <v>0</v>
      </c>
      <c r="AB20" s="49">
        <v>8.8241999999999994</v>
      </c>
      <c r="AC20" s="43">
        <f t="shared" si="19"/>
        <v>9.99999999997669E-2</v>
      </c>
      <c r="AD20" s="44">
        <f t="shared" si="20"/>
        <v>-2.3999999999997401</v>
      </c>
      <c r="AE20" s="45">
        <f t="shared" si="21"/>
        <v>9.99999999997669E-2</v>
      </c>
      <c r="AF20" s="50">
        <v>80483</v>
      </c>
      <c r="AG20" s="58">
        <f t="shared" si="22"/>
        <v>61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44883</v>
      </c>
      <c r="B21" s="22">
        <v>791.80629999999996</v>
      </c>
      <c r="C21" s="27">
        <v>5.8921999999999901</v>
      </c>
      <c r="D21" s="23">
        <f t="shared" si="0"/>
        <v>797.69849999999997</v>
      </c>
      <c r="E21" s="24">
        <f t="shared" si="4"/>
        <v>-0.30000000003838101</v>
      </c>
      <c r="F21" s="25">
        <f t="shared" si="5"/>
        <v>-2.79999999997926</v>
      </c>
      <c r="G21" s="26">
        <f t="shared" si="6"/>
        <v>-0.15000000001919001</v>
      </c>
      <c r="H21" s="6">
        <v>6.6101999999999999</v>
      </c>
      <c r="I21" s="35">
        <f t="shared" si="1"/>
        <v>798.41650000000004</v>
      </c>
      <c r="J21" s="24">
        <f t="shared" si="7"/>
        <v>-0.10000000008858501</v>
      </c>
      <c r="K21" s="25">
        <f t="shared" si="8"/>
        <v>-2.6000000000294698</v>
      </c>
      <c r="L21" s="26">
        <f t="shared" si="9"/>
        <v>-5.0000000044292399E-2</v>
      </c>
      <c r="M21" s="6">
        <v>6.0532000000000101</v>
      </c>
      <c r="N21" s="35">
        <f t="shared" si="2"/>
        <v>797.85950000000003</v>
      </c>
      <c r="O21" s="24">
        <f t="shared" si="10"/>
        <v>-0.79999999991286996</v>
      </c>
      <c r="P21" s="25">
        <f t="shared" si="11"/>
        <v>-2.9999999999290599</v>
      </c>
      <c r="Q21" s="26">
        <f t="shared" si="12"/>
        <v>-0.39999999995643498</v>
      </c>
      <c r="R21" s="41"/>
      <c r="S21" s="21">
        <f t="shared" si="3"/>
        <v>44883</v>
      </c>
      <c r="T21" s="42">
        <v>8.9508000000000099</v>
      </c>
      <c r="U21" s="43">
        <f t="shared" si="13"/>
        <v>-0.29999999999041899</v>
      </c>
      <c r="V21" s="44">
        <f t="shared" si="14"/>
        <v>-2.99999999998946</v>
      </c>
      <c r="W21" s="45">
        <f t="shared" si="15"/>
        <v>0.14999999999520999</v>
      </c>
      <c r="X21" s="29">
        <v>11.8888</v>
      </c>
      <c r="Y21" s="43">
        <f t="shared" si="16"/>
        <v>-0.40000000000084401</v>
      </c>
      <c r="Z21" s="44">
        <f t="shared" si="17"/>
        <v>-3.0000000000001101</v>
      </c>
      <c r="AA21" s="45">
        <f t="shared" si="18"/>
        <v>-0.20000000000042201</v>
      </c>
      <c r="AB21" s="49">
        <v>8.8237000000000094</v>
      </c>
      <c r="AC21" s="43">
        <f t="shared" si="19"/>
        <v>-0.49999999998995298</v>
      </c>
      <c r="AD21" s="44">
        <f t="shared" si="20"/>
        <v>-2.8999999999896899</v>
      </c>
      <c r="AE21" s="45">
        <f t="shared" si="21"/>
        <v>-0.24999999999497599</v>
      </c>
      <c r="AF21" s="50">
        <v>80496</v>
      </c>
      <c r="AG21" s="58">
        <f t="shared" si="22"/>
        <v>74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44885</v>
      </c>
      <c r="B22" s="22">
        <v>791.80629999999996</v>
      </c>
      <c r="C22" s="27">
        <v>5.8920000000000003</v>
      </c>
      <c r="D22" s="23">
        <f t="shared" si="0"/>
        <v>797.69830000000002</v>
      </c>
      <c r="E22" s="24">
        <f t="shared" si="4"/>
        <v>-0.199999999949796</v>
      </c>
      <c r="F22" s="25">
        <f t="shared" si="5"/>
        <v>-2.9999999999290599</v>
      </c>
      <c r="G22" s="26">
        <f t="shared" si="6"/>
        <v>-9.9999999974897905E-2</v>
      </c>
      <c r="H22" s="6">
        <v>6.6099000000000103</v>
      </c>
      <c r="I22" s="35">
        <f t="shared" si="1"/>
        <v>798.4162</v>
      </c>
      <c r="J22" s="24">
        <f t="shared" si="7"/>
        <v>-0.29999999992469401</v>
      </c>
      <c r="K22" s="25">
        <f t="shared" si="8"/>
        <v>-2.8999999999541601</v>
      </c>
      <c r="L22" s="26">
        <f t="shared" si="9"/>
        <v>-0.149999999962347</v>
      </c>
      <c r="M22" s="6">
        <v>6.0530999999999997</v>
      </c>
      <c r="N22" s="35">
        <f t="shared" si="2"/>
        <v>797.85940000000005</v>
      </c>
      <c r="O22" s="24">
        <f t="shared" si="10"/>
        <v>-0.10000000008858501</v>
      </c>
      <c r="P22" s="25">
        <f t="shared" si="11"/>
        <v>-3.1000000000176402</v>
      </c>
      <c r="Q22" s="26">
        <f t="shared" si="12"/>
        <v>-5.0000000044292399E-2</v>
      </c>
      <c r="R22" s="41"/>
      <c r="S22" s="21">
        <f t="shared" si="3"/>
        <v>44885</v>
      </c>
      <c r="T22" s="42">
        <v>8.9506000000000103</v>
      </c>
      <c r="U22" s="43">
        <f t="shared" si="13"/>
        <v>-0.19999999999953399</v>
      </c>
      <c r="V22" s="44">
        <f t="shared" si="14"/>
        <v>-3.1999999999889899</v>
      </c>
      <c r="W22" s="45">
        <f t="shared" si="15"/>
        <v>9.99999999997669E-2</v>
      </c>
      <c r="X22" s="29">
        <v>11.8886</v>
      </c>
      <c r="Y22" s="43">
        <f t="shared" si="16"/>
        <v>-0.19999999999953399</v>
      </c>
      <c r="Z22" s="44">
        <f t="shared" si="17"/>
        <v>-3.1999999999996498</v>
      </c>
      <c r="AA22" s="45">
        <f t="shared" si="18"/>
        <v>-9.99999999997669E-2</v>
      </c>
      <c r="AB22" s="49">
        <v>8.8235000000000099</v>
      </c>
      <c r="AC22" s="43">
        <f t="shared" si="19"/>
        <v>-0.19999999999953399</v>
      </c>
      <c r="AD22" s="44">
        <f t="shared" si="20"/>
        <v>-3.0999999999892198</v>
      </c>
      <c r="AE22" s="45">
        <f t="shared" si="21"/>
        <v>-9.99999999997669E-2</v>
      </c>
      <c r="AF22" s="50">
        <v>80496</v>
      </c>
      <c r="AG22" s="58">
        <f t="shared" si="22"/>
        <v>74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44887</v>
      </c>
      <c r="B23" s="22">
        <v>791.80629999999996</v>
      </c>
      <c r="C23" s="27">
        <v>5.8918000000000097</v>
      </c>
      <c r="D23" s="23">
        <f t="shared" si="0"/>
        <v>797.69809999999995</v>
      </c>
      <c r="E23" s="24">
        <f t="shared" si="4"/>
        <v>-0.20000000006348301</v>
      </c>
      <c r="F23" s="25">
        <f t="shared" si="5"/>
        <v>-3.1999999999925399</v>
      </c>
      <c r="G23" s="26">
        <f t="shared" si="6"/>
        <v>-0.100000000031741</v>
      </c>
      <c r="H23" s="6">
        <v>6.6096000000000199</v>
      </c>
      <c r="I23" s="35">
        <f t="shared" si="1"/>
        <v>798.41589999999997</v>
      </c>
      <c r="J23" s="24">
        <f t="shared" si="7"/>
        <v>-0.30000000003838101</v>
      </c>
      <c r="K23" s="25">
        <f t="shared" si="8"/>
        <v>-3.1999999999925399</v>
      </c>
      <c r="L23" s="26">
        <f t="shared" si="9"/>
        <v>-0.15000000001919001</v>
      </c>
      <c r="M23" s="6">
        <v>6.0529999999999902</v>
      </c>
      <c r="N23" s="35">
        <f t="shared" si="2"/>
        <v>797.85929999999996</v>
      </c>
      <c r="O23" s="24">
        <f t="shared" si="10"/>
        <v>-9.9999999974897905E-2</v>
      </c>
      <c r="P23" s="25">
        <f t="shared" si="11"/>
        <v>-3.1999999999925399</v>
      </c>
      <c r="Q23" s="26">
        <f t="shared" si="12"/>
        <v>-4.9999999987449001E-2</v>
      </c>
      <c r="R23" s="41"/>
      <c r="S23" s="21">
        <f t="shared" si="3"/>
        <v>44887</v>
      </c>
      <c r="T23" s="42">
        <v>8.9504000000000108</v>
      </c>
      <c r="U23" s="43">
        <f t="shared" si="13"/>
        <v>-0.19999999999953399</v>
      </c>
      <c r="V23" s="44">
        <f t="shared" si="14"/>
        <v>-3.3999999999885202</v>
      </c>
      <c r="W23" s="45">
        <f t="shared" si="15"/>
        <v>9.99999999997669E-2</v>
      </c>
      <c r="X23" s="29">
        <v>11.888400000000001</v>
      </c>
      <c r="Y23" s="43">
        <f t="shared" si="16"/>
        <v>-0.19999999999953399</v>
      </c>
      <c r="Z23" s="44">
        <f t="shared" si="17"/>
        <v>-3.3999999999991801</v>
      </c>
      <c r="AA23" s="45">
        <f t="shared" si="18"/>
        <v>-9.99999999997669E-2</v>
      </c>
      <c r="AB23" s="49">
        <v>8.8233000000000104</v>
      </c>
      <c r="AC23" s="43">
        <f t="shared" si="19"/>
        <v>-0.19999999999953399</v>
      </c>
      <c r="AD23" s="44">
        <f t="shared" si="20"/>
        <v>-3.2999999999887599</v>
      </c>
      <c r="AE23" s="45">
        <f t="shared" si="21"/>
        <v>-9.99999999997669E-2</v>
      </c>
      <c r="AF23" s="50">
        <v>80496</v>
      </c>
      <c r="AG23" s="58">
        <f t="shared" si="22"/>
        <v>74</v>
      </c>
      <c r="AH23" s="61"/>
      <c r="AI23" s="60"/>
      <c r="AJ23"/>
      <c r="AK23"/>
      <c r="AL23"/>
      <c r="AM23"/>
    </row>
    <row r="24" spans="1:48">
      <c r="A24" s="21">
        <v>44889</v>
      </c>
      <c r="B24" s="22">
        <v>791.80629999999996</v>
      </c>
      <c r="C24" s="27">
        <v>5.8916000000000199</v>
      </c>
      <c r="D24" s="23">
        <f t="shared" si="0"/>
        <v>797.6979</v>
      </c>
      <c r="E24" s="24">
        <f t="shared" si="4"/>
        <v>-0.199999999949796</v>
      </c>
      <c r="F24" s="25">
        <f t="shared" si="5"/>
        <v>-3.3999999999423398</v>
      </c>
      <c r="G24" s="26">
        <f t="shared" si="6"/>
        <v>-9.9999999974897905E-2</v>
      </c>
      <c r="H24" s="6">
        <v>6.6093000000000304</v>
      </c>
      <c r="I24" s="35">
        <f t="shared" si="1"/>
        <v>798.41560000000004</v>
      </c>
      <c r="J24" s="24">
        <f t="shared" si="7"/>
        <v>-0.29999999992469401</v>
      </c>
      <c r="K24" s="25">
        <f t="shared" si="8"/>
        <v>-3.49999999991724</v>
      </c>
      <c r="L24" s="26">
        <f t="shared" si="9"/>
        <v>-0.149999999962347</v>
      </c>
      <c r="M24" s="6">
        <v>6.0528999999999797</v>
      </c>
      <c r="N24" s="35">
        <f t="shared" si="2"/>
        <v>797.85919999999999</v>
      </c>
      <c r="O24" s="24">
        <f t="shared" si="10"/>
        <v>-9.9999999974897905E-2</v>
      </c>
      <c r="P24" s="25">
        <f t="shared" si="11"/>
        <v>-3.2999999999674401</v>
      </c>
      <c r="Q24" s="26">
        <f t="shared" si="12"/>
        <v>-4.9999999987449001E-2</v>
      </c>
      <c r="R24" s="41"/>
      <c r="S24" s="21">
        <f t="shared" si="3"/>
        <v>44889</v>
      </c>
      <c r="T24" s="42">
        <v>8.9502000000000095</v>
      </c>
      <c r="U24" s="43">
        <f t="shared" si="13"/>
        <v>-0.20000000000130999</v>
      </c>
      <c r="V24" s="44">
        <f t="shared" si="14"/>
        <v>-3.59999999998983</v>
      </c>
      <c r="W24" s="45">
        <f t="shared" si="15"/>
        <v>0.100000000000655</v>
      </c>
      <c r="X24" s="29">
        <v>11.888199999999999</v>
      </c>
      <c r="Y24" s="43">
        <f t="shared" si="16"/>
        <v>-0.20000000000130999</v>
      </c>
      <c r="Z24" s="44">
        <f t="shared" si="17"/>
        <v>-3.6000000000004899</v>
      </c>
      <c r="AA24" s="45">
        <f t="shared" si="18"/>
        <v>-0.100000000000655</v>
      </c>
      <c r="AB24" s="49">
        <v>8.8231000000000108</v>
      </c>
      <c r="AC24" s="43">
        <f t="shared" si="19"/>
        <v>-0.19999999999953399</v>
      </c>
      <c r="AD24" s="44">
        <f t="shared" si="20"/>
        <v>-3.4999999999882898</v>
      </c>
      <c r="AE24" s="45">
        <f t="shared" si="21"/>
        <v>-9.99999999997669E-2</v>
      </c>
      <c r="AF24" s="50">
        <v>80496</v>
      </c>
      <c r="AG24" s="58">
        <f t="shared" si="22"/>
        <v>74</v>
      </c>
      <c r="AH24" s="59"/>
      <c r="AI24" s="60"/>
      <c r="AJ24" s="52"/>
      <c r="AK24" s="52"/>
      <c r="AL24" s="52"/>
      <c r="AM24" s="52"/>
    </row>
    <row r="25" spans="1:48">
      <c r="A25" s="21">
        <v>44891</v>
      </c>
      <c r="B25" s="22">
        <v>791.80629999999996</v>
      </c>
      <c r="C25" s="27">
        <v>5.8914000000000302</v>
      </c>
      <c r="D25" s="23">
        <f t="shared" si="0"/>
        <v>797.69770000000005</v>
      </c>
      <c r="E25" s="24">
        <f t="shared" si="4"/>
        <v>-0.20000000006348301</v>
      </c>
      <c r="F25" s="25">
        <f t="shared" si="5"/>
        <v>-3.6000000000058199</v>
      </c>
      <c r="G25" s="26">
        <f t="shared" si="6"/>
        <v>-0.100000000031741</v>
      </c>
      <c r="H25" s="6">
        <v>6.60900000000004</v>
      </c>
      <c r="I25" s="35">
        <f t="shared" si="1"/>
        <v>798.4153</v>
      </c>
      <c r="J25" s="24">
        <f t="shared" si="7"/>
        <v>-0.30000000003838101</v>
      </c>
      <c r="K25" s="25">
        <f t="shared" si="8"/>
        <v>-3.7999999999556202</v>
      </c>
      <c r="L25" s="26">
        <f t="shared" si="9"/>
        <v>-0.15000000001919001</v>
      </c>
      <c r="M25" s="6">
        <v>6.0527999999999702</v>
      </c>
      <c r="N25" s="35">
        <f t="shared" si="2"/>
        <v>797.85910000000001</v>
      </c>
      <c r="O25" s="24">
        <f t="shared" si="10"/>
        <v>-0.10000000008858501</v>
      </c>
      <c r="P25" s="25">
        <f t="shared" si="11"/>
        <v>-3.40000000005602</v>
      </c>
      <c r="Q25" s="26">
        <f t="shared" si="12"/>
        <v>-5.0000000044292399E-2</v>
      </c>
      <c r="R25" s="41"/>
      <c r="S25" s="21">
        <f t="shared" si="3"/>
        <v>44891</v>
      </c>
      <c r="T25" s="42">
        <v>8.9500000000000099</v>
      </c>
      <c r="U25" s="43">
        <f t="shared" si="13"/>
        <v>-0.19999999999953399</v>
      </c>
      <c r="V25" s="44">
        <f t="shared" si="14"/>
        <v>-3.7999999999893701</v>
      </c>
      <c r="W25" s="45">
        <f t="shared" si="15"/>
        <v>9.99999999997669E-2</v>
      </c>
      <c r="X25" s="29">
        <v>11.888</v>
      </c>
      <c r="Y25" s="43">
        <f t="shared" si="16"/>
        <v>-0.19999999999953399</v>
      </c>
      <c r="Z25" s="44">
        <f t="shared" si="17"/>
        <v>-3.80000000000003</v>
      </c>
      <c r="AA25" s="45">
        <f t="shared" si="18"/>
        <v>-9.99999999997669E-2</v>
      </c>
      <c r="AB25" s="49">
        <v>8.8229000000000095</v>
      </c>
      <c r="AC25" s="43">
        <f t="shared" si="19"/>
        <v>-0.20000000000130999</v>
      </c>
      <c r="AD25" s="44">
        <f t="shared" si="20"/>
        <v>-3.6999999999896001</v>
      </c>
      <c r="AE25" s="45">
        <f t="shared" si="21"/>
        <v>-0.100000000000655</v>
      </c>
      <c r="AF25" s="50">
        <v>80496</v>
      </c>
      <c r="AG25" s="58">
        <f t="shared" si="22"/>
        <v>74</v>
      </c>
      <c r="AH25" s="61"/>
      <c r="AI25" s="60"/>
      <c r="AJ25" s="52"/>
      <c r="AK25" s="52"/>
      <c r="AL25" s="52"/>
      <c r="AM25" s="52"/>
    </row>
    <row r="26" spans="1:48">
      <c r="A26" s="21"/>
      <c r="B26" s="22"/>
      <c r="C26" s="27"/>
      <c r="D26" s="23"/>
      <c r="E26" s="24"/>
      <c r="F26" s="25"/>
      <c r="G26" s="26"/>
      <c r="I26" s="35"/>
      <c r="J26" s="24"/>
      <c r="K26" s="25"/>
      <c r="L26" s="26"/>
      <c r="N26" s="35"/>
      <c r="O26" s="24"/>
      <c r="P26" s="25"/>
      <c r="Q26" s="26"/>
      <c r="R26" s="41"/>
      <c r="S26" s="21"/>
      <c r="T26" s="42"/>
      <c r="U26" s="43"/>
      <c r="V26" s="44"/>
      <c r="W26" s="45"/>
      <c r="X26" s="29"/>
      <c r="Y26" s="43"/>
      <c r="Z26" s="44"/>
      <c r="AA26" s="45"/>
      <c r="AB26" s="49"/>
      <c r="AC26" s="43"/>
      <c r="AD26" s="44"/>
      <c r="AE26" s="45"/>
      <c r="AF26" s="50"/>
      <c r="AG26" s="58"/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O13" workbookViewId="0">
      <selection activeCell="AB27" sqref="AB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44874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44874</v>
      </c>
      <c r="B6" s="22">
        <v>791.80629999999996</v>
      </c>
      <c r="C6" s="27">
        <v>5.2690000000000001</v>
      </c>
      <c r="D6" s="23">
        <f t="shared" ref="D6:D20" si="0">C6+B6</f>
        <v>797.07529999999997</v>
      </c>
      <c r="E6" s="24">
        <v>0</v>
      </c>
      <c r="F6" s="25">
        <v>0</v>
      </c>
      <c r="G6" s="26">
        <v>0</v>
      </c>
      <c r="H6" s="6">
        <v>6.5076999999999998</v>
      </c>
      <c r="I6" s="35">
        <f t="shared" ref="I6:I20" si="1">H6+B6</f>
        <v>798.31399999999996</v>
      </c>
      <c r="J6" s="24">
        <v>0</v>
      </c>
      <c r="K6" s="25">
        <v>0</v>
      </c>
      <c r="L6" s="26">
        <v>0</v>
      </c>
      <c r="M6" s="6">
        <v>5.1582999999999997</v>
      </c>
      <c r="N6" s="35">
        <f t="shared" ref="N6:N20" si="2">M6+B6</f>
        <v>796.96460000000002</v>
      </c>
      <c r="O6" s="24">
        <v>0</v>
      </c>
      <c r="P6" s="25">
        <v>0</v>
      </c>
      <c r="Q6" s="26">
        <v>0</v>
      </c>
      <c r="R6" s="41"/>
      <c r="S6" s="21">
        <f t="shared" ref="S6:S17" si="3">A6</f>
        <v>44874</v>
      </c>
      <c r="T6" s="42">
        <v>8.8681000000000001</v>
      </c>
      <c r="U6" s="43">
        <v>0</v>
      </c>
      <c r="V6" s="44">
        <v>0</v>
      </c>
      <c r="W6" s="45">
        <f>U6/(S6-S11)</f>
        <v>0</v>
      </c>
      <c r="X6" s="29">
        <v>12.1861</v>
      </c>
      <c r="Y6" s="43">
        <v>0</v>
      </c>
      <c r="Z6" s="44">
        <v>0</v>
      </c>
      <c r="AA6" s="45">
        <v>0</v>
      </c>
      <c r="AB6" s="49">
        <v>8.8398000000000003</v>
      </c>
      <c r="AC6" s="43">
        <v>0</v>
      </c>
      <c r="AD6" s="44">
        <v>0</v>
      </c>
      <c r="AE6" s="45">
        <v>0</v>
      </c>
      <c r="AF6" s="50">
        <v>80459</v>
      </c>
      <c r="AG6" s="58">
        <f>AF6-80451</f>
        <v>8</v>
      </c>
      <c r="AH6" s="59"/>
      <c r="AI6" s="60"/>
      <c r="AJ6" s="61"/>
      <c r="AK6" s="62"/>
      <c r="AL6" s="52"/>
      <c r="AM6" s="52"/>
    </row>
    <row r="7" spans="1:48">
      <c r="A7" s="21">
        <v>44875</v>
      </c>
      <c r="B7" s="22">
        <v>791.80629999999996</v>
      </c>
      <c r="C7" s="27">
        <v>5.2691999999999997</v>
      </c>
      <c r="D7" s="23">
        <f t="shared" si="0"/>
        <v>797.07550000000003</v>
      </c>
      <c r="E7" s="24">
        <f t="shared" ref="E7:E20" si="4">(D7-D6)*1000</f>
        <v>0.199999999949796</v>
      </c>
      <c r="F7" s="25">
        <f t="shared" ref="F7:F20" si="5">F6+E7</f>
        <v>0.199999999949796</v>
      </c>
      <c r="G7" s="26">
        <f t="shared" ref="G7:G20" si="6">E7/(A7-A6)</f>
        <v>0.199999999949796</v>
      </c>
      <c r="H7" s="6">
        <v>6.5075000000000003</v>
      </c>
      <c r="I7" s="35">
        <f t="shared" si="1"/>
        <v>798.31380000000001</v>
      </c>
      <c r="J7" s="24">
        <f t="shared" ref="J7:J20" si="7">(I7-I6)*1000</f>
        <v>-0.199999999949796</v>
      </c>
      <c r="K7" s="25">
        <f t="shared" ref="K7:K20" si="8">K6+J7</f>
        <v>-0.199999999949796</v>
      </c>
      <c r="L7" s="26">
        <f t="shared" ref="L7:L20" si="9">J7/(A7-A6)</f>
        <v>-0.199999999949796</v>
      </c>
      <c r="M7" s="6">
        <v>5.1580000000000004</v>
      </c>
      <c r="N7" s="35">
        <f t="shared" si="2"/>
        <v>796.96429999999998</v>
      </c>
      <c r="O7" s="24">
        <f t="shared" ref="O7:O20" si="10">(N7-N6)*1000</f>
        <v>-0.30000000003838101</v>
      </c>
      <c r="P7" s="25">
        <f t="shared" ref="P7:P20" si="11">P6+O7</f>
        <v>-0.30000000003838101</v>
      </c>
      <c r="Q7" s="26">
        <f t="shared" ref="Q7:Q20" si="12">O7/(A7-A6)</f>
        <v>-0.30000000003838101</v>
      </c>
      <c r="R7" s="41"/>
      <c r="S7" s="21">
        <f t="shared" si="3"/>
        <v>44875</v>
      </c>
      <c r="T7" s="42">
        <v>8.8681999999999999</v>
      </c>
      <c r="U7" s="43">
        <f t="shared" ref="U7:U17" si="13">(T7-T6)*1000</f>
        <v>9.99999999997669E-2</v>
      </c>
      <c r="V7" s="44">
        <f t="shared" ref="V7:V17" si="14">V6+U7</f>
        <v>9.99999999997669E-2</v>
      </c>
      <c r="W7" s="45">
        <f t="shared" ref="W7:W17" si="15">U7/(S6-S7)</f>
        <v>-9.99999999997669E-2</v>
      </c>
      <c r="X7" s="29">
        <v>12.186</v>
      </c>
      <c r="Y7" s="43">
        <f t="shared" ref="Y7:Y17" si="16">(X7-X6)*1000</f>
        <v>-9.99999999997669E-2</v>
      </c>
      <c r="Z7" s="44">
        <f t="shared" ref="Z7:Z17" si="17">Z6+Y7</f>
        <v>-9.99999999997669E-2</v>
      </c>
      <c r="AA7" s="45">
        <f t="shared" ref="AA7:AA17" si="18">Y7/(S7-S6)</f>
        <v>-9.99999999997669E-2</v>
      </c>
      <c r="AB7" s="49">
        <v>8.8396000000000008</v>
      </c>
      <c r="AC7" s="43">
        <f t="shared" ref="AC7:AC17" si="19">(AB7-AB6)*1000</f>
        <v>-0.19999999999953399</v>
      </c>
      <c r="AD7" s="44">
        <f t="shared" ref="AD7:AD17" si="20">AD6+AC7</f>
        <v>-0.19999999999953399</v>
      </c>
      <c r="AE7" s="45">
        <f t="shared" ref="AE7:AE17" si="21">AC7/(S7-S6)</f>
        <v>-0.19999999999953399</v>
      </c>
      <c r="AF7" s="50">
        <v>80462</v>
      </c>
      <c r="AG7" s="58">
        <f t="shared" ref="AG7:AG17" si="22">AF7-80451</f>
        <v>11</v>
      </c>
      <c r="AH7" s="59"/>
      <c r="AI7" s="60"/>
      <c r="AJ7" s="61"/>
      <c r="AK7" s="62"/>
      <c r="AL7" s="52"/>
      <c r="AM7" s="52"/>
    </row>
    <row r="8" spans="1:48">
      <c r="A8" s="21">
        <v>44876</v>
      </c>
      <c r="B8" s="22">
        <v>791.80629999999996</v>
      </c>
      <c r="C8" s="27">
        <v>5.2690000000000001</v>
      </c>
      <c r="D8" s="23">
        <f t="shared" si="0"/>
        <v>797.07529999999997</v>
      </c>
      <c r="E8" s="24">
        <f t="shared" si="4"/>
        <v>-0.199999999949796</v>
      </c>
      <c r="F8" s="25">
        <f t="shared" si="5"/>
        <v>0</v>
      </c>
      <c r="G8" s="26">
        <f t="shared" si="6"/>
        <v>-0.199999999949796</v>
      </c>
      <c r="H8" s="6">
        <v>6.5076000000000001</v>
      </c>
      <c r="I8" s="35">
        <f t="shared" si="1"/>
        <v>798.31389999999999</v>
      </c>
      <c r="J8" s="24">
        <f t="shared" si="7"/>
        <v>9.9999999974897905E-2</v>
      </c>
      <c r="K8" s="25">
        <f t="shared" si="8"/>
        <v>-9.9999999974897905E-2</v>
      </c>
      <c r="L8" s="26">
        <f t="shared" si="9"/>
        <v>9.9999999974897905E-2</v>
      </c>
      <c r="M8" s="6">
        <v>5.1581000000000001</v>
      </c>
      <c r="N8" s="35">
        <f t="shared" si="2"/>
        <v>796.96439999999996</v>
      </c>
      <c r="O8" s="24">
        <f t="shared" si="10"/>
        <v>9.9999999974897905E-2</v>
      </c>
      <c r="P8" s="25">
        <f t="shared" si="11"/>
        <v>-0.20000000006348301</v>
      </c>
      <c r="Q8" s="26">
        <f t="shared" si="12"/>
        <v>9.9999999974897905E-2</v>
      </c>
      <c r="R8" s="41"/>
      <c r="S8" s="21">
        <f t="shared" si="3"/>
        <v>44876</v>
      </c>
      <c r="T8" s="42">
        <v>8.8680000000000003</v>
      </c>
      <c r="U8" s="43">
        <f t="shared" si="13"/>
        <v>-0.19999999999953399</v>
      </c>
      <c r="V8" s="44">
        <f t="shared" si="14"/>
        <v>-9.99999999997669E-2</v>
      </c>
      <c r="W8" s="45">
        <f t="shared" si="15"/>
        <v>0.19999999999953399</v>
      </c>
      <c r="X8" s="29">
        <v>12.1858</v>
      </c>
      <c r="Y8" s="43">
        <f t="shared" si="16"/>
        <v>-0.19999999999953399</v>
      </c>
      <c r="Z8" s="44">
        <f t="shared" si="17"/>
        <v>-0.29999999999930099</v>
      </c>
      <c r="AA8" s="45">
        <f t="shared" si="18"/>
        <v>-0.19999999999953399</v>
      </c>
      <c r="AB8" s="49">
        <v>8.8393999999999995</v>
      </c>
      <c r="AC8" s="43">
        <f t="shared" si="19"/>
        <v>-0.20000000000130999</v>
      </c>
      <c r="AD8" s="44">
        <f t="shared" si="20"/>
        <v>-0.40000000000084401</v>
      </c>
      <c r="AE8" s="45">
        <f t="shared" si="21"/>
        <v>-0.20000000000130999</v>
      </c>
      <c r="AF8" s="50">
        <v>80465</v>
      </c>
      <c r="AG8" s="58">
        <f t="shared" si="22"/>
        <v>14</v>
      </c>
      <c r="AH8" s="59"/>
      <c r="AI8" s="60"/>
      <c r="AJ8" s="61"/>
      <c r="AK8" s="62"/>
      <c r="AL8" s="52"/>
      <c r="AM8" s="52"/>
    </row>
    <row r="9" spans="1:48">
      <c r="A9" s="21">
        <v>44877</v>
      </c>
      <c r="B9" s="22">
        <v>791.80629999999996</v>
      </c>
      <c r="C9" s="27">
        <v>5.2687999999999997</v>
      </c>
      <c r="D9" s="23">
        <f t="shared" si="0"/>
        <v>797.07510000000002</v>
      </c>
      <c r="E9" s="24">
        <f t="shared" si="4"/>
        <v>-0.199999999949796</v>
      </c>
      <c r="F9" s="25">
        <f t="shared" si="5"/>
        <v>-0.199999999949796</v>
      </c>
      <c r="G9" s="26">
        <f t="shared" si="6"/>
        <v>-0.199999999949796</v>
      </c>
      <c r="H9" s="6">
        <v>6.5073999999999996</v>
      </c>
      <c r="I9" s="35">
        <f t="shared" si="1"/>
        <v>798.31370000000004</v>
      </c>
      <c r="J9" s="24">
        <f t="shared" si="7"/>
        <v>-0.20000000006348301</v>
      </c>
      <c r="K9" s="25">
        <f t="shared" si="8"/>
        <v>-0.30000000003838101</v>
      </c>
      <c r="L9" s="26">
        <f t="shared" si="9"/>
        <v>-0.20000000006348301</v>
      </c>
      <c r="M9" s="6">
        <v>5.1578999999999997</v>
      </c>
      <c r="N9" s="35">
        <f t="shared" si="2"/>
        <v>796.96420000000001</v>
      </c>
      <c r="O9" s="24">
        <f t="shared" si="10"/>
        <v>-0.199999999949796</v>
      </c>
      <c r="P9" s="25">
        <f t="shared" si="11"/>
        <v>-0.40000000001327901</v>
      </c>
      <c r="Q9" s="26">
        <f t="shared" si="12"/>
        <v>-0.199999999949796</v>
      </c>
      <c r="R9" s="41"/>
      <c r="S9" s="21">
        <f t="shared" si="3"/>
        <v>44877</v>
      </c>
      <c r="T9" s="42">
        <v>8.8678000000000008</v>
      </c>
      <c r="U9" s="43">
        <f t="shared" si="13"/>
        <v>-0.19999999999953399</v>
      </c>
      <c r="V9" s="44">
        <f t="shared" si="14"/>
        <v>-0.29999999999930099</v>
      </c>
      <c r="W9" s="45">
        <f t="shared" si="15"/>
        <v>0.19999999999953399</v>
      </c>
      <c r="X9" s="29">
        <v>12.185600000000001</v>
      </c>
      <c r="Y9" s="43">
        <f t="shared" si="16"/>
        <v>-0.19999999999953399</v>
      </c>
      <c r="Z9" s="44">
        <f t="shared" si="17"/>
        <v>-0.49999999999883499</v>
      </c>
      <c r="AA9" s="45">
        <f t="shared" si="18"/>
        <v>-0.19999999999953399</v>
      </c>
      <c r="AB9" s="49">
        <v>8.8394999999999992</v>
      </c>
      <c r="AC9" s="43">
        <f t="shared" si="19"/>
        <v>9.99999999997669E-2</v>
      </c>
      <c r="AD9" s="44">
        <f t="shared" si="20"/>
        <v>-0.30000000000107702</v>
      </c>
      <c r="AE9" s="45">
        <f t="shared" si="21"/>
        <v>9.99999999997669E-2</v>
      </c>
      <c r="AF9" s="50">
        <v>80468</v>
      </c>
      <c r="AG9" s="58">
        <f t="shared" si="22"/>
        <v>17</v>
      </c>
      <c r="AH9" s="61"/>
      <c r="AI9" s="60"/>
      <c r="AJ9"/>
      <c r="AK9"/>
      <c r="AL9"/>
      <c r="AM9"/>
    </row>
    <row r="10" spans="1:48">
      <c r="A10" s="21">
        <v>44878</v>
      </c>
      <c r="B10" s="22">
        <v>791.80629999999996</v>
      </c>
      <c r="C10" s="27">
        <v>5.2686999999999999</v>
      </c>
      <c r="D10" s="23">
        <f t="shared" si="0"/>
        <v>797.07500000000005</v>
      </c>
      <c r="E10" s="24">
        <f t="shared" si="4"/>
        <v>-0.10000000008858501</v>
      </c>
      <c r="F10" s="25">
        <f t="shared" si="5"/>
        <v>-0.30000000003838101</v>
      </c>
      <c r="G10" s="26">
        <f t="shared" si="6"/>
        <v>-0.10000000008858501</v>
      </c>
      <c r="H10" s="6">
        <v>6.5072000000000001</v>
      </c>
      <c r="I10" s="35">
        <f t="shared" si="1"/>
        <v>798.31349999999998</v>
      </c>
      <c r="J10" s="24">
        <f t="shared" si="7"/>
        <v>-0.199999999949796</v>
      </c>
      <c r="K10" s="25">
        <f t="shared" si="8"/>
        <v>-0.49999999998817701</v>
      </c>
      <c r="L10" s="26">
        <f t="shared" si="9"/>
        <v>-0.199999999949796</v>
      </c>
      <c r="M10" s="6">
        <v>5.1577000000000002</v>
      </c>
      <c r="N10" s="35">
        <f t="shared" si="2"/>
        <v>796.96400000000006</v>
      </c>
      <c r="O10" s="24">
        <f t="shared" si="10"/>
        <v>-0.20000000006348301</v>
      </c>
      <c r="P10" s="25">
        <f t="shared" si="11"/>
        <v>-0.60000000007676102</v>
      </c>
      <c r="Q10" s="26">
        <f t="shared" si="12"/>
        <v>-0.20000000006348301</v>
      </c>
      <c r="R10" s="41"/>
      <c r="S10" s="21">
        <f t="shared" si="3"/>
        <v>44878</v>
      </c>
      <c r="T10" s="42">
        <v>8.8679000000000006</v>
      </c>
      <c r="U10" s="43">
        <f t="shared" si="13"/>
        <v>9.99999999997669E-2</v>
      </c>
      <c r="V10" s="44">
        <f t="shared" si="14"/>
        <v>-0.19999999999953399</v>
      </c>
      <c r="W10" s="45">
        <f t="shared" si="15"/>
        <v>-9.99999999997669E-2</v>
      </c>
      <c r="X10" s="29">
        <v>12.185499999999999</v>
      </c>
      <c r="Y10" s="43">
        <f t="shared" si="16"/>
        <v>-0.10000000000154299</v>
      </c>
      <c r="Z10" s="44">
        <f t="shared" si="17"/>
        <v>-0.60000000000037801</v>
      </c>
      <c r="AA10" s="45">
        <f t="shared" si="18"/>
        <v>-0.10000000000154299</v>
      </c>
      <c r="AB10" s="49">
        <v>8.8390000000000004</v>
      </c>
      <c r="AC10" s="43">
        <f t="shared" si="19"/>
        <v>-0.49999999999883499</v>
      </c>
      <c r="AD10" s="44">
        <f t="shared" si="20"/>
        <v>-0.799999999999912</v>
      </c>
      <c r="AE10" s="45">
        <f t="shared" si="21"/>
        <v>-0.49999999999883499</v>
      </c>
      <c r="AF10" s="50">
        <v>80471</v>
      </c>
      <c r="AG10" s="58">
        <f t="shared" si="22"/>
        <v>20</v>
      </c>
      <c r="AH10" s="59"/>
      <c r="AI10" s="60"/>
      <c r="AJ10" s="61"/>
      <c r="AK10" s="62"/>
      <c r="AL10" s="52"/>
      <c r="AM10" s="52"/>
    </row>
    <row r="11" spans="1:48">
      <c r="A11" s="21">
        <v>44879</v>
      </c>
      <c r="B11" s="22">
        <v>791.80629999999996</v>
      </c>
      <c r="C11" s="27">
        <v>5.2683999999999997</v>
      </c>
      <c r="D11" s="23">
        <f t="shared" si="0"/>
        <v>797.07470000000001</v>
      </c>
      <c r="E11" s="24">
        <f t="shared" si="4"/>
        <v>-0.29999999992469401</v>
      </c>
      <c r="F11" s="25">
        <f t="shared" si="5"/>
        <v>-0.59999999996307496</v>
      </c>
      <c r="G11" s="26">
        <f t="shared" si="6"/>
        <v>-0.29999999992469401</v>
      </c>
      <c r="H11" s="6">
        <v>6.5069999999999997</v>
      </c>
      <c r="I11" s="35">
        <f t="shared" si="1"/>
        <v>798.31330000000003</v>
      </c>
      <c r="J11" s="24">
        <f t="shared" si="7"/>
        <v>-0.20000000006348301</v>
      </c>
      <c r="K11" s="25">
        <f t="shared" si="8"/>
        <v>-0.70000000005165897</v>
      </c>
      <c r="L11" s="26">
        <f t="shared" si="9"/>
        <v>-0.20000000006348301</v>
      </c>
      <c r="M11" s="6">
        <v>5.1574999999999998</v>
      </c>
      <c r="N11" s="35">
        <f t="shared" si="2"/>
        <v>796.96379999999999</v>
      </c>
      <c r="O11" s="24">
        <f t="shared" si="10"/>
        <v>-0.199999999949796</v>
      </c>
      <c r="P11" s="25">
        <f t="shared" si="11"/>
        <v>-0.80000000002655702</v>
      </c>
      <c r="Q11" s="26">
        <f t="shared" si="12"/>
        <v>-0.199999999949796</v>
      </c>
      <c r="R11" s="41"/>
      <c r="S11" s="21">
        <f t="shared" si="3"/>
        <v>44879</v>
      </c>
      <c r="T11" s="42">
        <v>8.8673999999999999</v>
      </c>
      <c r="U11" s="43">
        <f t="shared" si="13"/>
        <v>-0.50000000000061096</v>
      </c>
      <c r="V11" s="44">
        <f t="shared" si="14"/>
        <v>-0.70000000000014495</v>
      </c>
      <c r="W11" s="45">
        <f t="shared" si="15"/>
        <v>0.50000000000061096</v>
      </c>
      <c r="X11" s="29">
        <v>12.1852</v>
      </c>
      <c r="Y11" s="43">
        <f t="shared" si="16"/>
        <v>-0.29999999999930099</v>
      </c>
      <c r="Z11" s="44">
        <f t="shared" si="17"/>
        <v>-0.89999999999967895</v>
      </c>
      <c r="AA11" s="45">
        <f t="shared" si="18"/>
        <v>-0.29999999999930099</v>
      </c>
      <c r="AB11" s="49">
        <v>8.8388000000000009</v>
      </c>
      <c r="AC11" s="43">
        <f t="shared" si="19"/>
        <v>-0.19999999999953399</v>
      </c>
      <c r="AD11" s="44">
        <f t="shared" si="20"/>
        <v>-0.999999999999446</v>
      </c>
      <c r="AE11" s="45">
        <f t="shared" si="21"/>
        <v>-0.19999999999953399</v>
      </c>
      <c r="AF11" s="50">
        <v>80474</v>
      </c>
      <c r="AG11" s="58">
        <f t="shared" si="22"/>
        <v>23</v>
      </c>
      <c r="AH11" s="61"/>
      <c r="AI11" s="60"/>
      <c r="AJ11"/>
      <c r="AK11"/>
      <c r="AL11"/>
      <c r="AM11"/>
    </row>
    <row r="12" spans="1:48">
      <c r="A12" s="21">
        <v>44880</v>
      </c>
      <c r="B12" s="22">
        <v>791.80629999999996</v>
      </c>
      <c r="C12" s="27">
        <v>5.2683</v>
      </c>
      <c r="D12" s="23">
        <f t="shared" si="0"/>
        <v>797.07460000000003</v>
      </c>
      <c r="E12" s="24">
        <f t="shared" si="4"/>
        <v>-0.10000000008858501</v>
      </c>
      <c r="F12" s="25">
        <f t="shared" si="5"/>
        <v>-0.70000000005165897</v>
      </c>
      <c r="G12" s="26">
        <f t="shared" si="6"/>
        <v>-0.10000000008858501</v>
      </c>
      <c r="H12" s="6">
        <v>6.5071000000000003</v>
      </c>
      <c r="I12" s="35">
        <f t="shared" si="1"/>
        <v>798.3134</v>
      </c>
      <c r="J12" s="24">
        <f t="shared" si="7"/>
        <v>0.10000000008858501</v>
      </c>
      <c r="K12" s="25">
        <f t="shared" si="8"/>
        <v>-0.59999999996307496</v>
      </c>
      <c r="L12" s="26">
        <f t="shared" si="9"/>
        <v>0.10000000008858501</v>
      </c>
      <c r="M12" s="6">
        <v>5.1576000000000004</v>
      </c>
      <c r="N12" s="35">
        <f t="shared" si="2"/>
        <v>796.96389999999997</v>
      </c>
      <c r="O12" s="24">
        <f t="shared" si="10"/>
        <v>9.9999999974897905E-2</v>
      </c>
      <c r="P12" s="25">
        <f t="shared" si="11"/>
        <v>-0.70000000005165897</v>
      </c>
      <c r="Q12" s="26">
        <f t="shared" si="12"/>
        <v>9.9999999974897905E-2</v>
      </c>
      <c r="R12" s="41"/>
      <c r="S12" s="21">
        <f t="shared" si="3"/>
        <v>44880</v>
      </c>
      <c r="T12" s="42">
        <v>8.8672000000000004</v>
      </c>
      <c r="U12" s="43">
        <f t="shared" si="13"/>
        <v>-0.19999999999953399</v>
      </c>
      <c r="V12" s="44">
        <f t="shared" si="14"/>
        <v>-0.89999999999967895</v>
      </c>
      <c r="W12" s="45">
        <f t="shared" si="15"/>
        <v>0.19999999999953399</v>
      </c>
      <c r="X12" s="29">
        <v>12.185</v>
      </c>
      <c r="Y12" s="43">
        <f t="shared" si="16"/>
        <v>-0.19999999999953399</v>
      </c>
      <c r="Z12" s="44">
        <f t="shared" si="17"/>
        <v>-1.0999999999992101</v>
      </c>
      <c r="AA12" s="45">
        <f t="shared" si="18"/>
        <v>-0.19999999999953399</v>
      </c>
      <c r="AB12" s="49">
        <v>8.8384999999999998</v>
      </c>
      <c r="AC12" s="43">
        <f t="shared" si="19"/>
        <v>-0.30000000000107702</v>
      </c>
      <c r="AD12" s="44">
        <f t="shared" si="20"/>
        <v>-1.3000000000005201</v>
      </c>
      <c r="AE12" s="45">
        <f t="shared" si="21"/>
        <v>-0.30000000000107702</v>
      </c>
      <c r="AF12" s="50">
        <v>80477</v>
      </c>
      <c r="AG12" s="58">
        <f t="shared" si="22"/>
        <v>26</v>
      </c>
      <c r="AH12" s="59"/>
      <c r="AI12" s="60"/>
      <c r="AJ12"/>
      <c r="AK12"/>
      <c r="AL12"/>
      <c r="AM12"/>
    </row>
    <row r="13" spans="1:48">
      <c r="A13" s="21">
        <v>44881</v>
      </c>
      <c r="B13" s="22">
        <v>791.80629999999996</v>
      </c>
      <c r="C13" s="27">
        <v>5.2679999999999998</v>
      </c>
      <c r="D13" s="23">
        <f t="shared" si="0"/>
        <v>797.07429999999999</v>
      </c>
      <c r="E13" s="24">
        <f t="shared" si="4"/>
        <v>-0.29999999992469401</v>
      </c>
      <c r="F13" s="25">
        <f t="shared" si="5"/>
        <v>-0.99999999997635303</v>
      </c>
      <c r="G13" s="26">
        <f t="shared" si="6"/>
        <v>-0.29999999992469401</v>
      </c>
      <c r="H13" s="6">
        <v>6.5065999999999997</v>
      </c>
      <c r="I13" s="35">
        <f t="shared" si="1"/>
        <v>798.31290000000001</v>
      </c>
      <c r="J13" s="24">
        <f t="shared" si="7"/>
        <v>-0.49999999998817701</v>
      </c>
      <c r="K13" s="25">
        <f t="shared" si="8"/>
        <v>-1.09999999995125</v>
      </c>
      <c r="L13" s="26">
        <f t="shared" si="9"/>
        <v>-0.49999999998817701</v>
      </c>
      <c r="M13" s="6">
        <v>5.1570999999999998</v>
      </c>
      <c r="N13" s="35">
        <f t="shared" si="2"/>
        <v>796.96339999999998</v>
      </c>
      <c r="O13" s="24">
        <f t="shared" si="10"/>
        <v>-0.49999999998817701</v>
      </c>
      <c r="P13" s="25">
        <f t="shared" si="11"/>
        <v>-1.2000000000398401</v>
      </c>
      <c r="Q13" s="26">
        <f t="shared" si="12"/>
        <v>-0.49999999998817701</v>
      </c>
      <c r="R13" s="41"/>
      <c r="S13" s="21">
        <f t="shared" si="3"/>
        <v>44881</v>
      </c>
      <c r="T13" s="42">
        <v>8.8668999999999993</v>
      </c>
      <c r="U13" s="43">
        <f t="shared" si="13"/>
        <v>-0.30000000000107702</v>
      </c>
      <c r="V13" s="44">
        <f t="shared" si="14"/>
        <v>-1.20000000000076</v>
      </c>
      <c r="W13" s="45">
        <f t="shared" si="15"/>
        <v>0.30000000000107702</v>
      </c>
      <c r="X13" s="29">
        <v>12.184699999999999</v>
      </c>
      <c r="Y13" s="43">
        <f t="shared" si="16"/>
        <v>-0.30000000000107702</v>
      </c>
      <c r="Z13" s="44">
        <f t="shared" si="17"/>
        <v>-1.4000000000002899</v>
      </c>
      <c r="AA13" s="45">
        <f t="shared" si="18"/>
        <v>-0.30000000000107702</v>
      </c>
      <c r="AB13" s="49">
        <v>8.8384</v>
      </c>
      <c r="AC13" s="43">
        <f t="shared" si="19"/>
        <v>-9.99999999997669E-2</v>
      </c>
      <c r="AD13" s="44">
        <f t="shared" si="20"/>
        <v>-1.4000000000002899</v>
      </c>
      <c r="AE13" s="45">
        <f t="shared" si="21"/>
        <v>-9.99999999997669E-2</v>
      </c>
      <c r="AF13" s="50">
        <v>80483</v>
      </c>
      <c r="AG13" s="58">
        <f t="shared" si="22"/>
        <v>32</v>
      </c>
      <c r="AH13" s="61"/>
      <c r="AI13" s="60"/>
      <c r="AJ13"/>
      <c r="AK13"/>
      <c r="AL13"/>
      <c r="AM13"/>
    </row>
    <row r="14" spans="1:48">
      <c r="A14" s="21">
        <v>44882</v>
      </c>
      <c r="B14" s="22">
        <v>791.80629999999996</v>
      </c>
      <c r="C14" s="27">
        <v>5.2680999999999996</v>
      </c>
      <c r="D14" s="23">
        <f t="shared" si="0"/>
        <v>797.07439999999997</v>
      </c>
      <c r="E14" s="24">
        <f t="shared" si="4"/>
        <v>9.9999999974897905E-2</v>
      </c>
      <c r="F14" s="25">
        <f t="shared" si="5"/>
        <v>-0.90000000000145497</v>
      </c>
      <c r="G14" s="26">
        <f t="shared" si="6"/>
        <v>9.9999999974897905E-2</v>
      </c>
      <c r="H14" s="6">
        <v>6.5064000000000002</v>
      </c>
      <c r="I14" s="35">
        <f t="shared" si="1"/>
        <v>798.31269999999995</v>
      </c>
      <c r="J14" s="24">
        <f t="shared" si="7"/>
        <v>-0.20000000006348301</v>
      </c>
      <c r="K14" s="25">
        <f t="shared" si="8"/>
        <v>-1.30000000001473</v>
      </c>
      <c r="L14" s="26">
        <f t="shared" si="9"/>
        <v>-0.20000000006348301</v>
      </c>
      <c r="M14" s="6">
        <v>5.1569000000000003</v>
      </c>
      <c r="N14" s="35">
        <f t="shared" si="2"/>
        <v>796.96320000000003</v>
      </c>
      <c r="O14" s="24">
        <f t="shared" si="10"/>
        <v>-0.20000000006348301</v>
      </c>
      <c r="P14" s="25">
        <f t="shared" si="11"/>
        <v>-1.4000000001033199</v>
      </c>
      <c r="Q14" s="26">
        <f t="shared" si="12"/>
        <v>-0.20000000006348301</v>
      </c>
      <c r="R14" s="41"/>
      <c r="S14" s="21">
        <f t="shared" si="3"/>
        <v>44882</v>
      </c>
      <c r="T14" s="42">
        <v>8.8667999999999996</v>
      </c>
      <c r="U14" s="43">
        <f t="shared" si="13"/>
        <v>-9.99999999997669E-2</v>
      </c>
      <c r="V14" s="44">
        <f t="shared" si="14"/>
        <v>-1.3000000000005201</v>
      </c>
      <c r="W14" s="45">
        <f t="shared" si="15"/>
        <v>9.99999999997669E-2</v>
      </c>
      <c r="X14" s="29">
        <v>12.1846</v>
      </c>
      <c r="Y14" s="43">
        <f t="shared" si="16"/>
        <v>-9.99999999997669E-2</v>
      </c>
      <c r="Z14" s="44">
        <f t="shared" si="17"/>
        <v>-1.50000000000006</v>
      </c>
      <c r="AA14" s="45">
        <f t="shared" si="18"/>
        <v>-9.99999999997669E-2</v>
      </c>
      <c r="AB14" s="49">
        <v>8.8382000000000005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80496</v>
      </c>
      <c r="AG14" s="58">
        <f t="shared" si="22"/>
        <v>45</v>
      </c>
      <c r="AH14" s="59"/>
      <c r="AI14" s="60"/>
      <c r="AJ14"/>
      <c r="AK14"/>
      <c r="AL14"/>
      <c r="AM14"/>
    </row>
    <row r="15" spans="1:48">
      <c r="A15" s="21">
        <v>44883</v>
      </c>
      <c r="B15" s="22">
        <v>791.80629999999996</v>
      </c>
      <c r="C15" s="27">
        <v>5.2675999999999998</v>
      </c>
      <c r="D15" s="23">
        <f t="shared" si="0"/>
        <v>797.07389999999998</v>
      </c>
      <c r="E15" s="24">
        <f t="shared" si="4"/>
        <v>-0.49999999998817701</v>
      </c>
      <c r="F15" s="25">
        <f t="shared" si="5"/>
        <v>-1.39999999998963</v>
      </c>
      <c r="G15" s="26">
        <f t="shared" si="6"/>
        <v>-0.49999999998817701</v>
      </c>
      <c r="H15" s="6">
        <v>6.5061</v>
      </c>
      <c r="I15" s="35">
        <f t="shared" si="1"/>
        <v>798.31240000000003</v>
      </c>
      <c r="J15" s="24">
        <f t="shared" si="7"/>
        <v>-0.30000000003838101</v>
      </c>
      <c r="K15" s="25">
        <f t="shared" si="8"/>
        <v>-1.60000000005311</v>
      </c>
      <c r="L15" s="26">
        <f t="shared" si="9"/>
        <v>-0.30000000003838101</v>
      </c>
      <c r="M15" s="6">
        <v>5.1562000000000001</v>
      </c>
      <c r="N15" s="35">
        <f t="shared" si="2"/>
        <v>796.96249999999998</v>
      </c>
      <c r="O15" s="24">
        <f t="shared" si="10"/>
        <v>-0.69999999993797202</v>
      </c>
      <c r="P15" s="25">
        <f t="shared" si="11"/>
        <v>-2.1000000000412902</v>
      </c>
      <c r="Q15" s="26">
        <f t="shared" si="12"/>
        <v>-0.69999999993797202</v>
      </c>
      <c r="R15" s="41"/>
      <c r="S15" s="21">
        <f t="shared" si="3"/>
        <v>44883</v>
      </c>
      <c r="T15" s="42">
        <v>8.8666</v>
      </c>
      <c r="U15" s="43">
        <f t="shared" si="13"/>
        <v>-0.19999999999953399</v>
      </c>
      <c r="V15" s="44">
        <f t="shared" si="14"/>
        <v>-1.50000000000006</v>
      </c>
      <c r="W15" s="45">
        <f t="shared" si="15"/>
        <v>0.19999999999953399</v>
      </c>
      <c r="X15" s="29">
        <v>12.1844</v>
      </c>
      <c r="Y15" s="43">
        <f t="shared" si="16"/>
        <v>-0.19999999999953399</v>
      </c>
      <c r="Z15" s="44">
        <f t="shared" si="17"/>
        <v>-1.6999999999995901</v>
      </c>
      <c r="AA15" s="45">
        <f t="shared" si="18"/>
        <v>-0.19999999999953399</v>
      </c>
      <c r="AB15" s="49">
        <v>8.8379999999999992</v>
      </c>
      <c r="AC15" s="43">
        <f t="shared" si="19"/>
        <v>-0.20000000000130999</v>
      </c>
      <c r="AD15" s="44">
        <f t="shared" si="20"/>
        <v>-1.80000000000113</v>
      </c>
      <c r="AE15" s="45">
        <f t="shared" si="21"/>
        <v>-0.20000000000130999</v>
      </c>
      <c r="AF15" s="50">
        <v>80496</v>
      </c>
      <c r="AG15" s="58">
        <f t="shared" si="22"/>
        <v>45</v>
      </c>
      <c r="AH15" s="61"/>
      <c r="AI15" s="60"/>
      <c r="AJ15"/>
      <c r="AK15"/>
      <c r="AL15"/>
      <c r="AM15"/>
    </row>
    <row r="16" spans="1:48">
      <c r="A16" s="21">
        <v>44884</v>
      </c>
      <c r="B16" s="22">
        <v>791.80629999999996</v>
      </c>
      <c r="C16" s="27">
        <v>5.2674000000000003</v>
      </c>
      <c r="D16" s="23">
        <f t="shared" si="0"/>
        <v>797.07370000000003</v>
      </c>
      <c r="E16" s="24">
        <f t="shared" si="4"/>
        <v>-0.20000000006348301</v>
      </c>
      <c r="F16" s="25">
        <f t="shared" si="5"/>
        <v>-1.60000000005311</v>
      </c>
      <c r="G16" s="26">
        <f t="shared" si="6"/>
        <v>-0.20000000006348301</v>
      </c>
      <c r="H16" s="6">
        <v>6.5060000000000002</v>
      </c>
      <c r="I16" s="35">
        <f t="shared" si="1"/>
        <v>798.31230000000005</v>
      </c>
      <c r="J16" s="24">
        <f t="shared" si="7"/>
        <v>-9.9999999974897905E-2</v>
      </c>
      <c r="K16" s="25">
        <f t="shared" si="8"/>
        <v>-1.70000000002801</v>
      </c>
      <c r="L16" s="26">
        <f t="shared" si="9"/>
        <v>-9.9999999974897905E-2</v>
      </c>
      <c r="M16" s="6">
        <v>5.1565000000000003</v>
      </c>
      <c r="N16" s="35">
        <f t="shared" si="2"/>
        <v>796.96280000000002</v>
      </c>
      <c r="O16" s="24">
        <f t="shared" si="10"/>
        <v>0.30000000003838101</v>
      </c>
      <c r="P16" s="25">
        <f t="shared" si="11"/>
        <v>-1.8000000000029099</v>
      </c>
      <c r="Q16" s="26">
        <f t="shared" si="12"/>
        <v>0.30000000003838101</v>
      </c>
      <c r="R16" s="41"/>
      <c r="S16" s="21">
        <f t="shared" si="3"/>
        <v>44884</v>
      </c>
      <c r="T16" s="42">
        <v>8.8664000000000005</v>
      </c>
      <c r="U16" s="43">
        <f t="shared" si="13"/>
        <v>-0.19999999999953399</v>
      </c>
      <c r="V16" s="44">
        <f t="shared" si="14"/>
        <v>-1.6999999999995901</v>
      </c>
      <c r="W16" s="45">
        <f t="shared" si="15"/>
        <v>0.19999999999953399</v>
      </c>
      <c r="X16" s="29">
        <v>12.184200000000001</v>
      </c>
      <c r="Y16" s="43">
        <f t="shared" si="16"/>
        <v>-0.19999999999953399</v>
      </c>
      <c r="Z16" s="44">
        <f t="shared" si="17"/>
        <v>-1.8999999999991199</v>
      </c>
      <c r="AA16" s="45">
        <f t="shared" si="18"/>
        <v>-0.19999999999953399</v>
      </c>
      <c r="AB16" s="49">
        <v>8.8381000000000007</v>
      </c>
      <c r="AC16" s="43">
        <f t="shared" si="19"/>
        <v>0.10000000000154299</v>
      </c>
      <c r="AD16" s="44">
        <f t="shared" si="20"/>
        <v>-1.6999999999995901</v>
      </c>
      <c r="AE16" s="45">
        <f t="shared" si="21"/>
        <v>0.10000000000154299</v>
      </c>
      <c r="AF16" s="50">
        <v>80496</v>
      </c>
      <c r="AG16" s="58">
        <f t="shared" si="22"/>
        <v>45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44885</v>
      </c>
      <c r="B17" s="22">
        <v>791.80629999999996</v>
      </c>
      <c r="C17" s="27">
        <v>5.2672999999999996</v>
      </c>
      <c r="D17" s="23">
        <f t="shared" si="0"/>
        <v>797.07360000000006</v>
      </c>
      <c r="E17" s="24">
        <f t="shared" si="4"/>
        <v>-9.9999999974897905E-2</v>
      </c>
      <c r="F17" s="25">
        <f t="shared" si="5"/>
        <v>-1.70000000002801</v>
      </c>
      <c r="G17" s="26">
        <f t="shared" si="6"/>
        <v>-9.9999999974897905E-2</v>
      </c>
      <c r="H17" s="6">
        <v>6.5057999999999998</v>
      </c>
      <c r="I17" s="35">
        <f t="shared" si="1"/>
        <v>798.31209999999999</v>
      </c>
      <c r="J17" s="24">
        <f t="shared" si="7"/>
        <v>-0.199999999949796</v>
      </c>
      <c r="K17" s="25">
        <f t="shared" si="8"/>
        <v>-1.8999999999778101</v>
      </c>
      <c r="L17" s="26">
        <f t="shared" si="9"/>
        <v>-0.199999999949796</v>
      </c>
      <c r="M17" s="6">
        <v>5.1562999999999999</v>
      </c>
      <c r="N17" s="35">
        <f t="shared" si="2"/>
        <v>796.96259999999995</v>
      </c>
      <c r="O17" s="24">
        <f t="shared" si="10"/>
        <v>-0.20000000006348301</v>
      </c>
      <c r="P17" s="25">
        <f t="shared" si="11"/>
        <v>-2.00000000006639</v>
      </c>
      <c r="Q17" s="26">
        <f t="shared" si="12"/>
        <v>-0.20000000006348301</v>
      </c>
      <c r="R17" s="41"/>
      <c r="S17" s="21">
        <f t="shared" si="3"/>
        <v>44885</v>
      </c>
      <c r="T17" s="42">
        <v>8.8663000000000007</v>
      </c>
      <c r="U17" s="43">
        <f t="shared" si="13"/>
        <v>-9.99999999997669E-2</v>
      </c>
      <c r="V17" s="44">
        <f t="shared" si="14"/>
        <v>-1.7999999999993599</v>
      </c>
      <c r="W17" s="45">
        <f t="shared" si="15"/>
        <v>9.99999999997669E-2</v>
      </c>
      <c r="X17" s="29">
        <v>12.184100000000001</v>
      </c>
      <c r="Y17" s="43">
        <f t="shared" si="16"/>
        <v>-9.99999999997669E-2</v>
      </c>
      <c r="Z17" s="44">
        <f t="shared" si="17"/>
        <v>-1.99999999999889</v>
      </c>
      <c r="AA17" s="45">
        <f t="shared" si="18"/>
        <v>-9.99999999997669E-2</v>
      </c>
      <c r="AB17" s="49">
        <v>8.8378999999999994</v>
      </c>
      <c r="AC17" s="43">
        <f t="shared" si="19"/>
        <v>-0.20000000000130999</v>
      </c>
      <c r="AD17" s="44">
        <f t="shared" si="20"/>
        <v>-1.9000000000009001</v>
      </c>
      <c r="AE17" s="45">
        <f t="shared" si="21"/>
        <v>-0.20000000000130999</v>
      </c>
      <c r="AF17" s="50">
        <v>80496</v>
      </c>
      <c r="AG17" s="58">
        <f t="shared" si="22"/>
        <v>45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44886</v>
      </c>
      <c r="B18" s="22">
        <v>791.80629999999996</v>
      </c>
      <c r="C18" s="27">
        <v>5.2671999999999999</v>
      </c>
      <c r="D18" s="23">
        <f t="shared" si="0"/>
        <v>797.07349999999997</v>
      </c>
      <c r="E18" s="24">
        <f t="shared" si="4"/>
        <v>-9.9999999974897905E-2</v>
      </c>
      <c r="F18" s="25">
        <f t="shared" si="5"/>
        <v>-1.8000000000029099</v>
      </c>
      <c r="G18" s="26">
        <f t="shared" si="6"/>
        <v>-9.9999999974897905E-2</v>
      </c>
      <c r="H18" s="6">
        <v>6.5056000000000003</v>
      </c>
      <c r="I18" s="35">
        <f t="shared" si="1"/>
        <v>798.31190000000004</v>
      </c>
      <c r="J18" s="24">
        <f t="shared" si="7"/>
        <v>-0.20000000006348301</v>
      </c>
      <c r="K18" s="25">
        <f t="shared" si="8"/>
        <v>-2.1000000000412902</v>
      </c>
      <c r="L18" s="26">
        <f t="shared" si="9"/>
        <v>-0.20000000006348301</v>
      </c>
      <c r="M18" s="6">
        <v>5.1561000000000003</v>
      </c>
      <c r="N18" s="35">
        <f t="shared" si="2"/>
        <v>796.9624</v>
      </c>
      <c r="O18" s="24">
        <f t="shared" si="10"/>
        <v>-0.199999999949796</v>
      </c>
      <c r="P18" s="25">
        <f t="shared" si="11"/>
        <v>-2.2000000000161899</v>
      </c>
      <c r="Q18" s="26">
        <f t="shared" si="12"/>
        <v>-0.199999999949796</v>
      </c>
      <c r="R18" s="41"/>
      <c r="S18" s="21">
        <f t="shared" ref="S18:S26" si="23">A18</f>
        <v>44886</v>
      </c>
      <c r="T18" s="42">
        <v>8.8661999999999992</v>
      </c>
      <c r="U18" s="43">
        <f t="shared" ref="U18:U26" si="24">(T18-T17)*1000</f>
        <v>-0.10000000000154299</v>
      </c>
      <c r="V18" s="44">
        <f t="shared" ref="V18:V26" si="25">V17+U18</f>
        <v>-1.9000000000009001</v>
      </c>
      <c r="W18" s="45">
        <f t="shared" ref="W18:W26" si="26">U18/(S17-S18)</f>
        <v>0.10000000000154299</v>
      </c>
      <c r="X18" s="29">
        <v>12.183999999999999</v>
      </c>
      <c r="Y18" s="43">
        <f t="shared" ref="Y18:Y26" si="27">(X18-X17)*1000</f>
        <v>-0.10000000000154299</v>
      </c>
      <c r="Z18" s="44">
        <f t="shared" ref="Z18:Z26" si="28">Z17+Y18</f>
        <v>-2.10000000000043</v>
      </c>
      <c r="AA18" s="45">
        <f t="shared" ref="AA18:AA26" si="29">Y18/(S18-S17)</f>
        <v>-0.10000000000154299</v>
      </c>
      <c r="AB18" s="49">
        <v>8.8376999999999999</v>
      </c>
      <c r="AC18" s="43">
        <f t="shared" ref="AC18:AC26" si="30">(AB18-AB17)*1000</f>
        <v>-0.19999999999953399</v>
      </c>
      <c r="AD18" s="44">
        <f t="shared" ref="AD18:AD26" si="31">AD17+AC18</f>
        <v>-2.10000000000043</v>
      </c>
      <c r="AE18" s="45">
        <f t="shared" ref="AE18:AE26" si="32">AC18/(S18-S17)</f>
        <v>-0.19999999999953399</v>
      </c>
      <c r="AF18" s="50">
        <v>80496</v>
      </c>
      <c r="AG18" s="58">
        <f t="shared" ref="AG18:AG26" si="33">AF18-80451</f>
        <v>45</v>
      </c>
      <c r="AH18" s="59"/>
      <c r="AI18" s="60"/>
      <c r="AJ18"/>
      <c r="AK18"/>
      <c r="AL18"/>
      <c r="AM18"/>
    </row>
    <row r="19" spans="1:48">
      <c r="A19" s="21">
        <v>44887</v>
      </c>
      <c r="B19" s="22">
        <v>791.80629999999996</v>
      </c>
      <c r="C19" s="27">
        <v>5.2671000000000001</v>
      </c>
      <c r="D19" s="23">
        <f t="shared" si="0"/>
        <v>797.07339999999999</v>
      </c>
      <c r="E19" s="24">
        <f t="shared" si="4"/>
        <v>-9.9999999974897905E-2</v>
      </c>
      <c r="F19" s="25">
        <f t="shared" si="5"/>
        <v>-1.8999999999778101</v>
      </c>
      <c r="G19" s="26">
        <f t="shared" si="6"/>
        <v>-9.9999999974897905E-2</v>
      </c>
      <c r="H19" s="6">
        <v>6.5053999999999998</v>
      </c>
      <c r="I19" s="35">
        <f t="shared" si="1"/>
        <v>798.31169999999997</v>
      </c>
      <c r="J19" s="24">
        <f t="shared" si="7"/>
        <v>-0.199999999949796</v>
      </c>
      <c r="K19" s="25">
        <f t="shared" si="8"/>
        <v>-2.2999999999910901</v>
      </c>
      <c r="L19" s="26">
        <f t="shared" si="9"/>
        <v>-0.199999999949796</v>
      </c>
      <c r="M19" s="6">
        <v>5.1558000000000002</v>
      </c>
      <c r="N19" s="35">
        <f t="shared" si="2"/>
        <v>796.96209999999996</v>
      </c>
      <c r="O19" s="24">
        <f t="shared" si="10"/>
        <v>-0.30000000003838101</v>
      </c>
      <c r="P19" s="25">
        <f t="shared" si="11"/>
        <v>-2.5000000000545701</v>
      </c>
      <c r="Q19" s="26">
        <f t="shared" si="12"/>
        <v>-0.30000000003838101</v>
      </c>
      <c r="R19" s="41"/>
      <c r="S19" s="21">
        <f t="shared" si="23"/>
        <v>44887</v>
      </c>
      <c r="T19" s="42">
        <v>8.8663000000000007</v>
      </c>
      <c r="U19" s="43">
        <f t="shared" si="24"/>
        <v>0.10000000000154299</v>
      </c>
      <c r="V19" s="44">
        <f t="shared" si="25"/>
        <v>-1.7999999999993599</v>
      </c>
      <c r="W19" s="45">
        <f t="shared" si="26"/>
        <v>-0.10000000000154299</v>
      </c>
      <c r="X19" s="29">
        <v>12.184100000000001</v>
      </c>
      <c r="Y19" s="43">
        <f t="shared" si="27"/>
        <v>0.10000000000154299</v>
      </c>
      <c r="Z19" s="44">
        <f t="shared" si="28"/>
        <v>-1.99999999999889</v>
      </c>
      <c r="AA19" s="45">
        <f t="shared" si="29"/>
        <v>0.10000000000154299</v>
      </c>
      <c r="AB19" s="49">
        <v>8.8375000000000004</v>
      </c>
      <c r="AC19" s="43">
        <f t="shared" si="30"/>
        <v>-0.19999999999953399</v>
      </c>
      <c r="AD19" s="44">
        <f t="shared" si="31"/>
        <v>-2.2999999999999701</v>
      </c>
      <c r="AE19" s="45">
        <f t="shared" si="32"/>
        <v>-0.19999999999953399</v>
      </c>
      <c r="AF19" s="50">
        <v>80496</v>
      </c>
      <c r="AG19" s="58">
        <f t="shared" si="33"/>
        <v>45</v>
      </c>
      <c r="AH19" s="61"/>
      <c r="AI19" s="60"/>
      <c r="AJ19"/>
      <c r="AK19"/>
      <c r="AL19"/>
      <c r="AM19"/>
    </row>
    <row r="20" spans="1:48">
      <c r="A20" s="21">
        <v>44888</v>
      </c>
      <c r="B20" s="22">
        <v>791.80629999999996</v>
      </c>
      <c r="C20" s="27">
        <v>5.2671999999999999</v>
      </c>
      <c r="D20" s="23">
        <f t="shared" si="0"/>
        <v>797.07349999999997</v>
      </c>
      <c r="E20" s="24">
        <f t="shared" si="4"/>
        <v>9.9999999974897905E-2</v>
      </c>
      <c r="F20" s="25">
        <f t="shared" si="5"/>
        <v>-1.8000000000029099</v>
      </c>
      <c r="G20" s="26">
        <f t="shared" si="6"/>
        <v>9.9999999974897905E-2</v>
      </c>
      <c r="H20" s="6">
        <v>6.5053000000000001</v>
      </c>
      <c r="I20" s="35">
        <f t="shared" si="1"/>
        <v>798.3116</v>
      </c>
      <c r="J20" s="24">
        <f t="shared" si="7"/>
        <v>-9.9999999974897905E-2</v>
      </c>
      <c r="K20" s="25">
        <f t="shared" si="8"/>
        <v>-2.39999999996598</v>
      </c>
      <c r="L20" s="26">
        <f t="shared" si="9"/>
        <v>-9.9999999974897905E-2</v>
      </c>
      <c r="M20" s="6">
        <v>5.1557000000000004</v>
      </c>
      <c r="N20" s="35">
        <f t="shared" si="2"/>
        <v>796.96199999999999</v>
      </c>
      <c r="O20" s="24">
        <f t="shared" si="10"/>
        <v>-9.9999999974897905E-2</v>
      </c>
      <c r="P20" s="25">
        <f t="shared" si="11"/>
        <v>-2.6000000000294698</v>
      </c>
      <c r="Q20" s="26">
        <f t="shared" si="12"/>
        <v>-9.9999999974897905E-2</v>
      </c>
      <c r="R20" s="41"/>
      <c r="S20" s="21">
        <f t="shared" si="23"/>
        <v>44888</v>
      </c>
      <c r="T20" s="42">
        <v>8.8659999999999997</v>
      </c>
      <c r="U20" s="43">
        <f t="shared" si="24"/>
        <v>-0.30000000000107702</v>
      </c>
      <c r="V20" s="44">
        <f t="shared" si="25"/>
        <v>-2.10000000000043</v>
      </c>
      <c r="W20" s="45">
        <f t="shared" si="26"/>
        <v>0.30000000000107702</v>
      </c>
      <c r="X20" s="29">
        <v>12.1838</v>
      </c>
      <c r="Y20" s="43">
        <f t="shared" si="27"/>
        <v>-0.30000000000107702</v>
      </c>
      <c r="Z20" s="44">
        <f t="shared" si="28"/>
        <v>-2.2999999999999701</v>
      </c>
      <c r="AA20" s="45">
        <f t="shared" si="29"/>
        <v>-0.30000000000107702</v>
      </c>
      <c r="AB20" s="49">
        <v>8.8373000000000008</v>
      </c>
      <c r="AC20" s="43">
        <f t="shared" si="30"/>
        <v>-0.19999999999953399</v>
      </c>
      <c r="AD20" s="44">
        <f t="shared" si="31"/>
        <v>-2.4999999999995</v>
      </c>
      <c r="AE20" s="45">
        <f t="shared" si="32"/>
        <v>-0.19999999999953399</v>
      </c>
      <c r="AF20" s="50">
        <v>80496</v>
      </c>
      <c r="AG20" s="58">
        <f t="shared" si="33"/>
        <v>45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44890</v>
      </c>
      <c r="B21" s="22">
        <v>791.80629999999996</v>
      </c>
      <c r="C21" s="27">
        <v>5.2668999999999997</v>
      </c>
      <c r="D21" s="23">
        <f t="shared" ref="D21:D26" si="34">C21+B21</f>
        <v>797.07320000000004</v>
      </c>
      <c r="E21" s="24">
        <f t="shared" ref="E21:E26" si="35">(D21-D20)*1000</f>
        <v>-0.30000000003838101</v>
      </c>
      <c r="F21" s="25">
        <f t="shared" ref="F21:F26" si="36">F20+E21</f>
        <v>-2.1000000000412902</v>
      </c>
      <c r="G21" s="26">
        <f t="shared" ref="G21:G26" si="37">E21/(A21-A20)</f>
        <v>-0.15000000001919001</v>
      </c>
      <c r="H21" s="6">
        <v>6.5049999999999999</v>
      </c>
      <c r="I21" s="35">
        <f t="shared" ref="I21:I26" si="38">H21+B21</f>
        <v>798.31129999999996</v>
      </c>
      <c r="J21" s="24">
        <f t="shared" ref="J21:J26" si="39">(I21-I20)*1000</f>
        <v>-0.30000000003838101</v>
      </c>
      <c r="K21" s="25">
        <f t="shared" ref="K21:K26" si="40">K20+J21</f>
        <v>-2.70000000000437</v>
      </c>
      <c r="L21" s="26">
        <f t="shared" ref="L21:L26" si="41">J21/(A21-A20)</f>
        <v>-0.15000000001919001</v>
      </c>
      <c r="M21" s="6">
        <v>5.1555</v>
      </c>
      <c r="N21" s="35">
        <f t="shared" ref="N21:N26" si="42">M21+B21</f>
        <v>796.96180000000004</v>
      </c>
      <c r="O21" s="24">
        <f t="shared" ref="O21:O26" si="43">(N21-N20)*1000</f>
        <v>-0.20000000006348301</v>
      </c>
      <c r="P21" s="25">
        <f t="shared" ref="P21:P26" si="44">P20+O21</f>
        <v>-2.8000000000929499</v>
      </c>
      <c r="Q21" s="26">
        <f t="shared" ref="Q21:Q26" si="45">O21/(A21-A20)</f>
        <v>-0.100000000031741</v>
      </c>
      <c r="R21" s="41"/>
      <c r="S21" s="21">
        <f t="shared" si="23"/>
        <v>44890</v>
      </c>
      <c r="T21" s="42">
        <v>8.8658999999999999</v>
      </c>
      <c r="U21" s="43">
        <f t="shared" si="24"/>
        <v>-9.99999999997669E-2</v>
      </c>
      <c r="V21" s="44">
        <f t="shared" si="25"/>
        <v>-2.2000000000002</v>
      </c>
      <c r="W21" s="45">
        <f t="shared" si="26"/>
        <v>4.9999999999883499E-2</v>
      </c>
      <c r="X21" s="29">
        <v>12.1837</v>
      </c>
      <c r="Y21" s="43">
        <f t="shared" si="27"/>
        <v>-9.99999999997669E-2</v>
      </c>
      <c r="Z21" s="44">
        <f t="shared" si="28"/>
        <v>-2.3999999999997401</v>
      </c>
      <c r="AA21" s="45">
        <f t="shared" si="29"/>
        <v>-4.9999999999883499E-2</v>
      </c>
      <c r="AB21" s="49">
        <v>8.8370999999999906</v>
      </c>
      <c r="AC21" s="43">
        <f t="shared" si="30"/>
        <v>-0.200000000010192</v>
      </c>
      <c r="AD21" s="44">
        <f t="shared" si="31"/>
        <v>-2.7000000000096902</v>
      </c>
      <c r="AE21" s="45">
        <f t="shared" si="32"/>
        <v>-0.100000000005096</v>
      </c>
      <c r="AF21" s="50">
        <v>80496</v>
      </c>
      <c r="AG21" s="58">
        <f t="shared" si="33"/>
        <v>45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44892</v>
      </c>
      <c r="B22" s="22">
        <v>791.80629999999996</v>
      </c>
      <c r="C22" s="27">
        <v>5.2667999999999999</v>
      </c>
      <c r="D22" s="23">
        <f t="shared" si="34"/>
        <v>797.07309999999995</v>
      </c>
      <c r="E22" s="24">
        <f t="shared" si="35"/>
        <v>-9.9999999974897905E-2</v>
      </c>
      <c r="F22" s="25">
        <f t="shared" si="36"/>
        <v>-2.2000000000161899</v>
      </c>
      <c r="G22" s="26">
        <f t="shared" si="37"/>
        <v>-4.9999999987449001E-2</v>
      </c>
      <c r="H22" s="6">
        <v>6.5050999999999997</v>
      </c>
      <c r="I22" s="35">
        <f t="shared" si="38"/>
        <v>798.31140000000005</v>
      </c>
      <c r="J22" s="24">
        <f t="shared" si="39"/>
        <v>9.9999999974897905E-2</v>
      </c>
      <c r="K22" s="25">
        <f t="shared" si="40"/>
        <v>-2.6000000000294698</v>
      </c>
      <c r="L22" s="26">
        <f t="shared" si="41"/>
        <v>4.9999999987449001E-2</v>
      </c>
      <c r="M22" s="6">
        <v>5.1551</v>
      </c>
      <c r="N22" s="35">
        <f t="shared" si="42"/>
        <v>796.96140000000003</v>
      </c>
      <c r="O22" s="24">
        <f t="shared" si="43"/>
        <v>-0.40000000001327901</v>
      </c>
      <c r="P22" s="25">
        <f t="shared" si="44"/>
        <v>-3.2000000001062299</v>
      </c>
      <c r="Q22" s="26">
        <f t="shared" si="45"/>
        <v>-0.20000000000663901</v>
      </c>
      <c r="R22" s="41"/>
      <c r="S22" s="21">
        <f t="shared" si="23"/>
        <v>44892</v>
      </c>
      <c r="T22" s="42">
        <v>8.8650000000000002</v>
      </c>
      <c r="U22" s="43">
        <f t="shared" si="24"/>
        <v>-0.89999999999967895</v>
      </c>
      <c r="V22" s="44">
        <f t="shared" si="25"/>
        <v>-3.0999999999998802</v>
      </c>
      <c r="W22" s="45">
        <f t="shared" si="26"/>
        <v>0.44999999999983897</v>
      </c>
      <c r="X22" s="29">
        <v>12.1838</v>
      </c>
      <c r="Y22" s="43">
        <f t="shared" si="27"/>
        <v>9.99999999997669E-2</v>
      </c>
      <c r="Z22" s="44">
        <f t="shared" si="28"/>
        <v>-2.2999999999999701</v>
      </c>
      <c r="AA22" s="45">
        <f t="shared" si="29"/>
        <v>4.9999999999883499E-2</v>
      </c>
      <c r="AB22" s="49">
        <v>8.8371999999999993</v>
      </c>
      <c r="AC22" s="43">
        <f t="shared" si="30"/>
        <v>0.100000000008649</v>
      </c>
      <c r="AD22" s="44">
        <f t="shared" si="31"/>
        <v>-2.6000000000010499</v>
      </c>
      <c r="AE22" s="45">
        <f t="shared" si="32"/>
        <v>5.0000000004324398E-2</v>
      </c>
      <c r="AF22" s="50">
        <v>80496</v>
      </c>
      <c r="AG22" s="58">
        <f t="shared" si="33"/>
        <v>45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44894</v>
      </c>
      <c r="B23" s="22">
        <v>791.80629999999996</v>
      </c>
      <c r="C23" s="27">
        <v>5.2664999999999997</v>
      </c>
      <c r="D23" s="23">
        <f t="shared" si="34"/>
        <v>797.07280000000003</v>
      </c>
      <c r="E23" s="24">
        <f t="shared" si="35"/>
        <v>-0.30000000003838101</v>
      </c>
      <c r="F23" s="25">
        <f t="shared" si="36"/>
        <v>-2.5000000000545701</v>
      </c>
      <c r="G23" s="26">
        <f t="shared" si="37"/>
        <v>-0.15000000001919001</v>
      </c>
      <c r="H23" s="6">
        <v>6.5045999999999999</v>
      </c>
      <c r="I23" s="35">
        <f t="shared" si="38"/>
        <v>798.31089999999995</v>
      </c>
      <c r="J23" s="24">
        <f t="shared" si="39"/>
        <v>-0.49999999998817701</v>
      </c>
      <c r="K23" s="25">
        <f t="shared" si="40"/>
        <v>-3.1000000000176402</v>
      </c>
      <c r="L23" s="26">
        <f t="shared" si="41"/>
        <v>-0.24999999999408801</v>
      </c>
      <c r="M23" s="6">
        <v>5.1551</v>
      </c>
      <c r="N23" s="35">
        <f t="shared" si="42"/>
        <v>796.96140000000003</v>
      </c>
      <c r="O23" s="24">
        <f t="shared" si="43"/>
        <v>0</v>
      </c>
      <c r="P23" s="25">
        <f t="shared" si="44"/>
        <v>-3.2000000001062299</v>
      </c>
      <c r="Q23" s="26">
        <f t="shared" si="45"/>
        <v>0</v>
      </c>
      <c r="R23" s="41"/>
      <c r="S23" s="21">
        <f t="shared" si="23"/>
        <v>44894</v>
      </c>
      <c r="T23" s="42">
        <v>8.8657000000000004</v>
      </c>
      <c r="U23" s="43">
        <f t="shared" si="24"/>
        <v>0.70000000000014495</v>
      </c>
      <c r="V23" s="44">
        <f t="shared" si="25"/>
        <v>-2.3999999999997401</v>
      </c>
      <c r="W23" s="45">
        <f t="shared" si="26"/>
        <v>-0.35000000000007198</v>
      </c>
      <c r="X23" s="29">
        <v>12.1835</v>
      </c>
      <c r="Y23" s="43">
        <f t="shared" si="27"/>
        <v>-0.29999999999930099</v>
      </c>
      <c r="Z23" s="44">
        <f t="shared" si="28"/>
        <v>-2.59999999999927</v>
      </c>
      <c r="AA23" s="45">
        <f t="shared" si="29"/>
        <v>-0.14999999999965</v>
      </c>
      <c r="AB23" s="49">
        <v>8.8366999999999898</v>
      </c>
      <c r="AC23" s="43">
        <f t="shared" si="30"/>
        <v>-0.50000000000949296</v>
      </c>
      <c r="AD23" s="44">
        <f t="shared" si="31"/>
        <v>-3.1000000000105401</v>
      </c>
      <c r="AE23" s="45">
        <f t="shared" si="32"/>
        <v>-0.25000000000474598</v>
      </c>
      <c r="AF23" s="50">
        <v>80496</v>
      </c>
      <c r="AG23" s="58">
        <f t="shared" si="33"/>
        <v>45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44896</v>
      </c>
      <c r="B24" s="22">
        <v>791.80629999999996</v>
      </c>
      <c r="C24" s="27">
        <v>5.2666000000000004</v>
      </c>
      <c r="D24" s="23">
        <f t="shared" si="34"/>
        <v>797.0729</v>
      </c>
      <c r="E24" s="24">
        <f t="shared" si="35"/>
        <v>0.10000000008858501</v>
      </c>
      <c r="F24" s="25">
        <f t="shared" si="36"/>
        <v>-2.39999999996598</v>
      </c>
      <c r="G24" s="26">
        <f t="shared" si="37"/>
        <v>5.0000000044292399E-2</v>
      </c>
      <c r="H24" s="6">
        <v>6.5044000000000004</v>
      </c>
      <c r="I24" s="35">
        <f t="shared" si="38"/>
        <v>798.3107</v>
      </c>
      <c r="J24" s="24">
        <f t="shared" si="39"/>
        <v>-0.199999999949796</v>
      </c>
      <c r="K24" s="25">
        <f t="shared" si="40"/>
        <v>-3.2999999999674401</v>
      </c>
      <c r="L24" s="26">
        <f t="shared" si="41"/>
        <v>-9.9999999974897905E-2</v>
      </c>
      <c r="M24" s="6">
        <v>5.1548999999999996</v>
      </c>
      <c r="N24" s="35">
        <f t="shared" si="42"/>
        <v>796.96119999999996</v>
      </c>
      <c r="O24" s="24">
        <f t="shared" si="43"/>
        <v>-0.199999999949796</v>
      </c>
      <c r="P24" s="25">
        <f t="shared" si="44"/>
        <v>-3.40000000005602</v>
      </c>
      <c r="Q24" s="26">
        <f t="shared" si="45"/>
        <v>-9.9999999974897905E-2</v>
      </c>
      <c r="R24" s="41"/>
      <c r="S24" s="21">
        <f t="shared" si="23"/>
        <v>44896</v>
      </c>
      <c r="T24" s="42">
        <v>8.8656000000000006</v>
      </c>
      <c r="U24" s="43">
        <f t="shared" si="24"/>
        <v>-9.99999999997669E-2</v>
      </c>
      <c r="V24" s="44">
        <f t="shared" si="25"/>
        <v>-2.4999999999995</v>
      </c>
      <c r="W24" s="45">
        <f t="shared" si="26"/>
        <v>4.9999999999883499E-2</v>
      </c>
      <c r="X24" s="29">
        <v>12.183400000000001</v>
      </c>
      <c r="Y24" s="43">
        <f t="shared" si="27"/>
        <v>-9.99999999997669E-2</v>
      </c>
      <c r="Z24" s="44">
        <f t="shared" si="28"/>
        <v>-2.6999999999990401</v>
      </c>
      <c r="AA24" s="45">
        <f t="shared" si="29"/>
        <v>-4.9999999999883499E-2</v>
      </c>
      <c r="AB24" s="49">
        <v>8.8364999999999903</v>
      </c>
      <c r="AC24" s="43">
        <f t="shared" si="30"/>
        <v>-0.19999999999953399</v>
      </c>
      <c r="AD24" s="44">
        <f t="shared" si="31"/>
        <v>-3.30000000001007</v>
      </c>
      <c r="AE24" s="45">
        <f t="shared" si="32"/>
        <v>-9.99999999997669E-2</v>
      </c>
      <c r="AF24" s="50">
        <v>80496</v>
      </c>
      <c r="AG24" s="58">
        <f t="shared" si="33"/>
        <v>45</v>
      </c>
      <c r="AH24" s="59"/>
      <c r="AI24" s="60"/>
      <c r="AJ24" s="52"/>
      <c r="AK24" s="52"/>
      <c r="AL24" s="52"/>
      <c r="AM24" s="52"/>
    </row>
    <row r="25" spans="1:48">
      <c r="A25" s="21">
        <v>44900</v>
      </c>
      <c r="B25" s="22">
        <v>791.80629999999996</v>
      </c>
      <c r="C25" s="27">
        <v>5.26649999999999</v>
      </c>
      <c r="D25" s="23">
        <f t="shared" si="34"/>
        <v>797.07280000000003</v>
      </c>
      <c r="E25" s="24">
        <f t="shared" si="35"/>
        <v>-0.10000000008858501</v>
      </c>
      <c r="F25" s="25">
        <f t="shared" si="36"/>
        <v>-2.5000000000545701</v>
      </c>
      <c r="G25" s="26">
        <f t="shared" si="37"/>
        <v>-2.5000000022146199E-2</v>
      </c>
      <c r="H25" s="6">
        <v>6.5045000000000002</v>
      </c>
      <c r="I25" s="35">
        <f t="shared" si="38"/>
        <v>798.31079999999997</v>
      </c>
      <c r="J25" s="24">
        <f t="shared" si="39"/>
        <v>9.9999999974897905E-2</v>
      </c>
      <c r="K25" s="25">
        <f t="shared" si="40"/>
        <v>-3.1999999999925399</v>
      </c>
      <c r="L25" s="26">
        <f t="shared" si="41"/>
        <v>2.49999999937245E-2</v>
      </c>
      <c r="M25" s="6">
        <v>5.1550000000000002</v>
      </c>
      <c r="N25" s="35">
        <f t="shared" si="42"/>
        <v>796.96130000000005</v>
      </c>
      <c r="O25" s="24">
        <f t="shared" si="43"/>
        <v>9.9999999974897905E-2</v>
      </c>
      <c r="P25" s="25">
        <f t="shared" si="44"/>
        <v>-3.30000000008113</v>
      </c>
      <c r="Q25" s="26">
        <f t="shared" si="45"/>
        <v>2.49999999937245E-2</v>
      </c>
      <c r="R25" s="41"/>
      <c r="S25" s="21">
        <f t="shared" si="23"/>
        <v>44900</v>
      </c>
      <c r="T25" s="42">
        <v>8.8651999999999997</v>
      </c>
      <c r="U25" s="43">
        <f t="shared" si="24"/>
        <v>-0.40000000000084401</v>
      </c>
      <c r="V25" s="44">
        <f t="shared" si="25"/>
        <v>-2.9000000000003499</v>
      </c>
      <c r="W25" s="45">
        <f t="shared" si="26"/>
        <v>0.100000000000211</v>
      </c>
      <c r="X25" s="29">
        <v>12.183299999999999</v>
      </c>
      <c r="Y25" s="43">
        <f t="shared" si="27"/>
        <v>-0.10000000000154299</v>
      </c>
      <c r="Z25" s="44">
        <f t="shared" si="28"/>
        <v>-2.8000000000005798</v>
      </c>
      <c r="AA25" s="45">
        <f t="shared" si="29"/>
        <v>-2.50000000003858E-2</v>
      </c>
      <c r="AB25" s="49">
        <v>8.8364999999999991</v>
      </c>
      <c r="AC25" s="43">
        <f t="shared" si="30"/>
        <v>8.8817841970012507E-12</v>
      </c>
      <c r="AD25" s="44">
        <f t="shared" si="31"/>
        <v>-3.30000000000119</v>
      </c>
      <c r="AE25" s="45">
        <f t="shared" si="32"/>
        <v>2.2204460492503098E-12</v>
      </c>
      <c r="AF25" s="50">
        <v>80496</v>
      </c>
      <c r="AG25" s="58">
        <f t="shared" si="33"/>
        <v>45</v>
      </c>
      <c r="AH25" s="61"/>
      <c r="AI25" s="60"/>
      <c r="AJ25" s="52"/>
      <c r="AK25" s="52"/>
      <c r="AL25" s="52"/>
      <c r="AM25" s="52"/>
    </row>
    <row r="26" spans="1:48">
      <c r="A26" s="21">
        <v>44905</v>
      </c>
      <c r="B26" s="22">
        <v>791.80629999999996</v>
      </c>
      <c r="C26" s="27">
        <v>5.2666000000000004</v>
      </c>
      <c r="D26" s="23">
        <f t="shared" si="34"/>
        <v>797.0729</v>
      </c>
      <c r="E26" s="24">
        <f t="shared" si="35"/>
        <v>0.10000000008858501</v>
      </c>
      <c r="F26" s="25">
        <f t="shared" si="36"/>
        <v>-2.39999999996598</v>
      </c>
      <c r="G26" s="26">
        <f t="shared" si="37"/>
        <v>2.0000000017716998E-2</v>
      </c>
      <c r="H26" s="6">
        <v>6.5045999999999999</v>
      </c>
      <c r="I26" s="35">
        <f t="shared" si="38"/>
        <v>798.31089999999995</v>
      </c>
      <c r="J26" s="24">
        <f t="shared" si="39"/>
        <v>9.9999999974897905E-2</v>
      </c>
      <c r="K26" s="25">
        <f t="shared" si="40"/>
        <v>-3.1000000000176402</v>
      </c>
      <c r="L26" s="26">
        <f t="shared" si="41"/>
        <v>1.99999999949796E-2</v>
      </c>
      <c r="M26" s="6">
        <v>5.1551</v>
      </c>
      <c r="N26" s="35">
        <f t="shared" si="42"/>
        <v>796.96140000000003</v>
      </c>
      <c r="O26" s="24">
        <f t="shared" si="43"/>
        <v>9.9999999974897905E-2</v>
      </c>
      <c r="P26" s="25">
        <f t="shared" si="44"/>
        <v>-3.2000000001062299</v>
      </c>
      <c r="Q26" s="26">
        <f t="shared" si="45"/>
        <v>1.99999999949796E-2</v>
      </c>
      <c r="R26" s="41"/>
      <c r="S26" s="21">
        <f t="shared" si="23"/>
        <v>44905</v>
      </c>
      <c r="T26" s="42">
        <v>8.8657000000000004</v>
      </c>
      <c r="U26" s="43">
        <f t="shared" si="24"/>
        <v>0.50000000000061096</v>
      </c>
      <c r="V26" s="44">
        <f t="shared" si="25"/>
        <v>-2.3999999999997401</v>
      </c>
      <c r="W26" s="45">
        <f t="shared" si="26"/>
        <v>-0.10000000000012201</v>
      </c>
      <c r="X26" s="29">
        <v>12.1835</v>
      </c>
      <c r="Y26" s="43">
        <f t="shared" si="27"/>
        <v>0.20000000000130999</v>
      </c>
      <c r="Z26" s="44">
        <f t="shared" si="28"/>
        <v>-2.59999999999927</v>
      </c>
      <c r="AA26" s="45">
        <f t="shared" si="29"/>
        <v>4.0000000000262E-2</v>
      </c>
      <c r="AB26" s="49">
        <v>8.8366000000000007</v>
      </c>
      <c r="AC26" s="43">
        <f t="shared" si="30"/>
        <v>0.10000000000154299</v>
      </c>
      <c r="AD26" s="44">
        <f t="shared" si="31"/>
        <v>-3.1999999999996498</v>
      </c>
      <c r="AE26" s="45">
        <f t="shared" si="32"/>
        <v>2.0000000000308701E-2</v>
      </c>
      <c r="AF26" s="50">
        <v>80496</v>
      </c>
      <c r="AG26" s="58">
        <f t="shared" si="33"/>
        <v>45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A13" workbookViewId="0">
      <selection activeCell="H6" sqref="H6:H2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44880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44880</v>
      </c>
      <c r="B6" s="22">
        <v>791.80629999999996</v>
      </c>
      <c r="C6" s="27">
        <v>5.6881000000000004</v>
      </c>
      <c r="D6" s="23">
        <f t="shared" ref="D6:D11" si="0">C6+B6</f>
        <v>797.49440000000004</v>
      </c>
      <c r="E6" s="24">
        <v>0</v>
      </c>
      <c r="F6" s="25">
        <v>0</v>
      </c>
      <c r="G6" s="26">
        <v>0</v>
      </c>
      <c r="H6" s="6">
        <v>6.6920000000000002</v>
      </c>
      <c r="I6" s="35">
        <f t="shared" ref="I6:I11" si="1">H6+B6</f>
        <v>798.49829999999997</v>
      </c>
      <c r="J6" s="24">
        <v>0</v>
      </c>
      <c r="K6" s="25">
        <v>0</v>
      </c>
      <c r="L6" s="26">
        <v>0</v>
      </c>
      <c r="M6" s="6">
        <v>5.9748000000000001</v>
      </c>
      <c r="N6" s="35">
        <f t="shared" ref="N6:N11" si="2">M6+B6</f>
        <v>797.78110000000004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44880</v>
      </c>
      <c r="T6" s="42">
        <v>9.0106999999999999</v>
      </c>
      <c r="U6" s="43">
        <v>0</v>
      </c>
      <c r="V6" s="44">
        <v>0</v>
      </c>
      <c r="W6" s="45">
        <f>U6/(S6-S11)</f>
        <v>0</v>
      </c>
      <c r="X6" s="29">
        <v>12.116300000000001</v>
      </c>
      <c r="Y6" s="43">
        <v>0</v>
      </c>
      <c r="Z6" s="44">
        <v>0</v>
      </c>
      <c r="AA6" s="45">
        <v>0</v>
      </c>
      <c r="AB6" s="49">
        <v>8.4525000000000006</v>
      </c>
      <c r="AC6" s="43">
        <v>0</v>
      </c>
      <c r="AD6" s="44">
        <v>0</v>
      </c>
      <c r="AE6" s="45">
        <v>0</v>
      </c>
      <c r="AF6" s="50">
        <v>80488</v>
      </c>
      <c r="AG6" s="58">
        <f t="shared" ref="AG6:AG11" si="4">AF6-80481</f>
        <v>7</v>
      </c>
      <c r="AH6" s="59"/>
      <c r="AI6" s="60"/>
      <c r="AJ6" s="61"/>
      <c r="AK6" s="62"/>
      <c r="AL6" s="52"/>
      <c r="AM6" s="52"/>
    </row>
    <row r="7" spans="1:48">
      <c r="A7" s="21">
        <v>44881</v>
      </c>
      <c r="B7" s="22">
        <v>791.80629999999996</v>
      </c>
      <c r="C7" s="27">
        <v>5.6882000000000001</v>
      </c>
      <c r="D7" s="23">
        <f t="shared" si="0"/>
        <v>797.49450000000002</v>
      </c>
      <c r="E7" s="24">
        <f t="shared" ref="E7:E11" si="5">(D7-D6)*1000</f>
        <v>0.10000000008858501</v>
      </c>
      <c r="F7" s="25">
        <f t="shared" ref="F7:F11" si="6">F6+E7</f>
        <v>0.10000000008858501</v>
      </c>
      <c r="G7" s="26">
        <f t="shared" ref="G7:G11" si="7">E7/(A7-A6)</f>
        <v>0.10000000008858501</v>
      </c>
      <c r="H7" s="6">
        <v>6.6921999999999997</v>
      </c>
      <c r="I7" s="35">
        <f t="shared" si="1"/>
        <v>798.49850000000004</v>
      </c>
      <c r="J7" s="24">
        <f t="shared" ref="J7:J11" si="8">(I7-I6)*1000</f>
        <v>0.199999999949796</v>
      </c>
      <c r="K7" s="25">
        <f t="shared" ref="K7:K11" si="9">K6+J7</f>
        <v>0.199999999949796</v>
      </c>
      <c r="L7" s="26">
        <f t="shared" ref="L7:L11" si="10">J7/(A7-A6)</f>
        <v>0.199999999949796</v>
      </c>
      <c r="M7" s="6">
        <v>5.9747000000000003</v>
      </c>
      <c r="N7" s="35">
        <f t="shared" si="2"/>
        <v>797.78099999999995</v>
      </c>
      <c r="O7" s="24">
        <f t="shared" ref="O7:O11" si="11">(N7-N6)*1000</f>
        <v>-9.9999999974897905E-2</v>
      </c>
      <c r="P7" s="25">
        <f t="shared" ref="P7:P11" si="12">P6+O7</f>
        <v>-9.9999999974897905E-2</v>
      </c>
      <c r="Q7" s="26">
        <f t="shared" ref="Q7:Q11" si="13">O7/(A7-A6)</f>
        <v>-9.9999999974897905E-2</v>
      </c>
      <c r="R7" s="41"/>
      <c r="S7" s="21">
        <f t="shared" si="3"/>
        <v>44881</v>
      </c>
      <c r="T7" s="42">
        <v>9.0107999999999997</v>
      </c>
      <c r="U7" s="43">
        <f t="shared" ref="U7:U11" si="14">(T7-T6)*1000</f>
        <v>9.99999999997669E-2</v>
      </c>
      <c r="V7" s="44">
        <f t="shared" ref="V7:V11" si="15">V6+U7</f>
        <v>9.99999999997669E-2</v>
      </c>
      <c r="W7" s="45">
        <f t="shared" ref="W7:W11" si="16">U7/(S6-S7)</f>
        <v>-9.99999999997669E-2</v>
      </c>
      <c r="X7" s="29">
        <v>12.116199999999999</v>
      </c>
      <c r="Y7" s="43">
        <f t="shared" ref="Y7:Y11" si="17">(X7-X6)*1000</f>
        <v>-0.10000000000154299</v>
      </c>
      <c r="Z7" s="44">
        <f t="shared" ref="Z7:Z11" si="18">Z6+Y7</f>
        <v>-0.10000000000154299</v>
      </c>
      <c r="AA7" s="45">
        <f t="shared" ref="AA7:AA11" si="19">Y7/(S7-S6)</f>
        <v>-0.10000000000154299</v>
      </c>
      <c r="AB7" s="49">
        <v>8.4522999999999993</v>
      </c>
      <c r="AC7" s="43">
        <f t="shared" ref="AC7:AC11" si="20">(AB7-AB6)*1000</f>
        <v>-0.20000000000130999</v>
      </c>
      <c r="AD7" s="44">
        <f t="shared" ref="AD7:AD11" si="21">AD6+AC7</f>
        <v>-0.20000000000130999</v>
      </c>
      <c r="AE7" s="45">
        <f t="shared" ref="AE7:AE11" si="22">AC7/(S7-S6)</f>
        <v>-0.20000000000130999</v>
      </c>
      <c r="AF7" s="50">
        <v>80483</v>
      </c>
      <c r="AG7" s="58">
        <f t="shared" si="4"/>
        <v>2</v>
      </c>
      <c r="AH7" s="59"/>
      <c r="AI7" s="60"/>
      <c r="AJ7" s="61"/>
      <c r="AK7" s="62"/>
      <c r="AL7" s="52"/>
      <c r="AM7" s="52"/>
    </row>
    <row r="8" spans="1:48">
      <c r="A8" s="21">
        <v>44882</v>
      </c>
      <c r="B8" s="22">
        <v>791.80629999999996</v>
      </c>
      <c r="C8" s="27">
        <v>5.6878000000000002</v>
      </c>
      <c r="D8" s="23">
        <f t="shared" si="0"/>
        <v>797.4941</v>
      </c>
      <c r="E8" s="24">
        <f t="shared" si="5"/>
        <v>-0.40000000001327901</v>
      </c>
      <c r="F8" s="25">
        <f t="shared" si="6"/>
        <v>-0.29999999992469401</v>
      </c>
      <c r="G8" s="26">
        <f t="shared" si="7"/>
        <v>-0.40000000001327901</v>
      </c>
      <c r="H8" s="6">
        <v>6.6921999999999997</v>
      </c>
      <c r="I8" s="35">
        <f t="shared" si="1"/>
        <v>798.49850000000004</v>
      </c>
      <c r="J8" s="24">
        <f t="shared" si="8"/>
        <v>0</v>
      </c>
      <c r="K8" s="25">
        <f t="shared" si="9"/>
        <v>0.199999999949796</v>
      </c>
      <c r="L8" s="26">
        <f t="shared" si="10"/>
        <v>0</v>
      </c>
      <c r="M8" s="6">
        <v>5.9744999999999999</v>
      </c>
      <c r="N8" s="35">
        <f t="shared" si="2"/>
        <v>797.7808</v>
      </c>
      <c r="O8" s="24">
        <f t="shared" si="11"/>
        <v>-0.199999999949796</v>
      </c>
      <c r="P8" s="25">
        <f t="shared" si="12"/>
        <v>-0.29999999992469401</v>
      </c>
      <c r="Q8" s="26">
        <f t="shared" si="13"/>
        <v>-0.199999999949796</v>
      </c>
      <c r="R8" s="41"/>
      <c r="S8" s="21">
        <f t="shared" si="3"/>
        <v>44882</v>
      </c>
      <c r="T8" s="42">
        <v>9.0101999999999993</v>
      </c>
      <c r="U8" s="43">
        <f t="shared" si="14"/>
        <v>-0.60000000000037801</v>
      </c>
      <c r="V8" s="44">
        <f t="shared" si="15"/>
        <v>-0.50000000000061096</v>
      </c>
      <c r="W8" s="45">
        <f t="shared" si="16"/>
        <v>0.60000000000037801</v>
      </c>
      <c r="X8" s="29">
        <v>12.116</v>
      </c>
      <c r="Y8" s="43">
        <f t="shared" si="17"/>
        <v>-0.19999999999953399</v>
      </c>
      <c r="Z8" s="44">
        <f t="shared" si="18"/>
        <v>-0.30000000000107702</v>
      </c>
      <c r="AA8" s="45">
        <f t="shared" si="19"/>
        <v>-0.19999999999953399</v>
      </c>
      <c r="AB8" s="49">
        <v>8.4520999999999997</v>
      </c>
      <c r="AC8" s="43">
        <f t="shared" si="20"/>
        <v>-0.19999999999953399</v>
      </c>
      <c r="AD8" s="44">
        <f t="shared" si="21"/>
        <v>-0.40000000000084401</v>
      </c>
      <c r="AE8" s="45">
        <f t="shared" si="22"/>
        <v>-0.19999999999953399</v>
      </c>
      <c r="AF8" s="50">
        <v>80496</v>
      </c>
      <c r="AG8" s="58">
        <f t="shared" si="4"/>
        <v>15</v>
      </c>
      <c r="AH8" s="59"/>
      <c r="AI8" s="60"/>
      <c r="AJ8" s="61"/>
      <c r="AK8" s="62"/>
      <c r="AL8" s="52"/>
      <c r="AM8" s="52"/>
    </row>
    <row r="9" spans="1:48">
      <c r="A9" s="21">
        <v>44883</v>
      </c>
      <c r="B9" s="22">
        <v>791.80629999999996</v>
      </c>
      <c r="C9" s="27">
        <v>5.6875</v>
      </c>
      <c r="D9" s="23">
        <f t="shared" si="0"/>
        <v>797.49379999999996</v>
      </c>
      <c r="E9" s="24">
        <f t="shared" si="5"/>
        <v>-0.30000000003838101</v>
      </c>
      <c r="F9" s="25">
        <f t="shared" si="6"/>
        <v>-0.59999999996307496</v>
      </c>
      <c r="G9" s="26">
        <f t="shared" si="7"/>
        <v>-0.30000000003838101</v>
      </c>
      <c r="H9" s="6">
        <v>6.6917999999999997</v>
      </c>
      <c r="I9" s="35">
        <f t="shared" si="1"/>
        <v>798.49810000000002</v>
      </c>
      <c r="J9" s="24">
        <f t="shared" si="8"/>
        <v>-0.40000000001327901</v>
      </c>
      <c r="K9" s="25">
        <f t="shared" si="9"/>
        <v>-0.20000000006348301</v>
      </c>
      <c r="L9" s="26">
        <f t="shared" si="10"/>
        <v>-0.40000000001327901</v>
      </c>
      <c r="M9" s="6">
        <v>5.9743000000000004</v>
      </c>
      <c r="N9" s="35">
        <f t="shared" si="2"/>
        <v>797.78060000000005</v>
      </c>
      <c r="O9" s="24">
        <f t="shared" si="11"/>
        <v>-0.20000000006348301</v>
      </c>
      <c r="P9" s="25">
        <f t="shared" si="12"/>
        <v>-0.49999999998817701</v>
      </c>
      <c r="Q9" s="26">
        <f t="shared" si="13"/>
        <v>-0.20000000006348301</v>
      </c>
      <c r="R9" s="41"/>
      <c r="S9" s="21">
        <f t="shared" si="3"/>
        <v>44883</v>
      </c>
      <c r="T9" s="42">
        <v>9.0105000000000004</v>
      </c>
      <c r="U9" s="43">
        <f t="shared" si="14"/>
        <v>0.30000000000107702</v>
      </c>
      <c r="V9" s="44">
        <f t="shared" si="15"/>
        <v>-0.19999999999953399</v>
      </c>
      <c r="W9" s="45">
        <f t="shared" si="16"/>
        <v>-0.30000000000107702</v>
      </c>
      <c r="X9" s="29">
        <v>12.1158</v>
      </c>
      <c r="Y9" s="43">
        <f t="shared" si="17"/>
        <v>-0.19999999999953399</v>
      </c>
      <c r="Z9" s="44">
        <f t="shared" si="18"/>
        <v>-0.50000000000061096</v>
      </c>
      <c r="AA9" s="45">
        <f t="shared" si="19"/>
        <v>-0.19999999999953399</v>
      </c>
      <c r="AB9" s="49">
        <v>8.452</v>
      </c>
      <c r="AC9" s="43">
        <f t="shared" si="20"/>
        <v>-9.99999999997669E-2</v>
      </c>
      <c r="AD9" s="44">
        <f t="shared" si="21"/>
        <v>-0.50000000000061096</v>
      </c>
      <c r="AE9" s="45">
        <f t="shared" si="22"/>
        <v>-9.99999999997669E-2</v>
      </c>
      <c r="AF9" s="50">
        <v>80496</v>
      </c>
      <c r="AG9" s="58">
        <f t="shared" si="4"/>
        <v>15</v>
      </c>
      <c r="AH9" s="61"/>
      <c r="AI9" s="60"/>
      <c r="AJ9"/>
      <c r="AK9"/>
      <c r="AL9"/>
      <c r="AM9"/>
    </row>
    <row r="10" spans="1:48">
      <c r="A10" s="21">
        <v>44884</v>
      </c>
      <c r="B10" s="22">
        <v>791.80629999999996</v>
      </c>
      <c r="C10" s="27">
        <v>5.6871999999999998</v>
      </c>
      <c r="D10" s="23">
        <f t="shared" si="0"/>
        <v>797.49350000000004</v>
      </c>
      <c r="E10" s="24">
        <f t="shared" si="5"/>
        <v>-0.30000000003838101</v>
      </c>
      <c r="F10" s="25">
        <f t="shared" si="6"/>
        <v>-0.90000000000145497</v>
      </c>
      <c r="G10" s="26">
        <f t="shared" si="7"/>
        <v>-0.30000000003838101</v>
      </c>
      <c r="H10" s="6">
        <v>6.6914999999999996</v>
      </c>
      <c r="I10" s="35">
        <f t="shared" si="1"/>
        <v>798.49779999999998</v>
      </c>
      <c r="J10" s="24">
        <f t="shared" si="8"/>
        <v>-0.29999999992469401</v>
      </c>
      <c r="K10" s="25">
        <f t="shared" si="9"/>
        <v>-0.49999999998817701</v>
      </c>
      <c r="L10" s="26">
        <f t="shared" si="10"/>
        <v>-0.29999999992469401</v>
      </c>
      <c r="M10" s="6">
        <v>5.9741999999999997</v>
      </c>
      <c r="N10" s="35">
        <f t="shared" si="2"/>
        <v>797.78049999999996</v>
      </c>
      <c r="O10" s="24">
        <f t="shared" si="11"/>
        <v>-9.9999999974897905E-2</v>
      </c>
      <c r="P10" s="25">
        <f t="shared" si="12"/>
        <v>-0.59999999996307496</v>
      </c>
      <c r="Q10" s="26">
        <f t="shared" si="13"/>
        <v>-9.9999999974897905E-2</v>
      </c>
      <c r="R10" s="41"/>
      <c r="S10" s="21">
        <f t="shared" si="3"/>
        <v>44884</v>
      </c>
      <c r="T10" s="42">
        <v>9.0104000000000006</v>
      </c>
      <c r="U10" s="43">
        <f t="shared" si="14"/>
        <v>-9.99999999997669E-2</v>
      </c>
      <c r="V10" s="44">
        <f t="shared" si="15"/>
        <v>-0.29999999999930099</v>
      </c>
      <c r="W10" s="45">
        <f t="shared" si="16"/>
        <v>9.99999999997669E-2</v>
      </c>
      <c r="X10" s="29">
        <v>12.1159</v>
      </c>
      <c r="Y10" s="43">
        <f t="shared" si="17"/>
        <v>9.99999999997669E-2</v>
      </c>
      <c r="Z10" s="44">
        <f t="shared" si="18"/>
        <v>-0.40000000000084401</v>
      </c>
      <c r="AA10" s="45">
        <f t="shared" si="19"/>
        <v>9.99999999997669E-2</v>
      </c>
      <c r="AB10" s="49">
        <v>8.4518000000000004</v>
      </c>
      <c r="AC10" s="43">
        <f t="shared" si="20"/>
        <v>-0.19999999999953399</v>
      </c>
      <c r="AD10" s="44">
        <f t="shared" si="21"/>
        <v>-0.70000000000014495</v>
      </c>
      <c r="AE10" s="45">
        <f t="shared" si="22"/>
        <v>-0.19999999999953399</v>
      </c>
      <c r="AF10" s="50">
        <v>80496</v>
      </c>
      <c r="AG10" s="58">
        <f t="shared" si="4"/>
        <v>15</v>
      </c>
      <c r="AH10" s="59"/>
      <c r="AI10" s="60"/>
      <c r="AJ10" s="61"/>
      <c r="AK10" s="62"/>
      <c r="AL10" s="52"/>
      <c r="AM10" s="52"/>
    </row>
    <row r="11" spans="1:48">
      <c r="A11" s="21">
        <v>44885</v>
      </c>
      <c r="B11" s="22">
        <v>791.80629999999996</v>
      </c>
      <c r="C11" s="27">
        <v>5.6870000000000003</v>
      </c>
      <c r="D11" s="23">
        <f t="shared" si="0"/>
        <v>797.49329999999998</v>
      </c>
      <c r="E11" s="24">
        <f t="shared" si="5"/>
        <v>-0.199999999949796</v>
      </c>
      <c r="F11" s="25">
        <f t="shared" si="6"/>
        <v>-1.09999999995125</v>
      </c>
      <c r="G11" s="26">
        <f t="shared" si="7"/>
        <v>-0.199999999949796</v>
      </c>
      <c r="H11" s="6">
        <v>6.6913</v>
      </c>
      <c r="I11" s="35">
        <f t="shared" si="1"/>
        <v>798.49760000000003</v>
      </c>
      <c r="J11" s="24">
        <f t="shared" si="8"/>
        <v>-0.20000000006348301</v>
      </c>
      <c r="K11" s="25">
        <f t="shared" si="9"/>
        <v>-0.70000000005165897</v>
      </c>
      <c r="L11" s="26">
        <f t="shared" si="10"/>
        <v>-0.20000000006348301</v>
      </c>
      <c r="M11" s="6">
        <v>5.9740000000000002</v>
      </c>
      <c r="N11" s="35">
        <f t="shared" si="2"/>
        <v>797.78030000000001</v>
      </c>
      <c r="O11" s="24">
        <f t="shared" si="11"/>
        <v>-0.199999999949796</v>
      </c>
      <c r="P11" s="25">
        <f t="shared" si="12"/>
        <v>-0.79999999991286996</v>
      </c>
      <c r="Q11" s="26">
        <f t="shared" si="13"/>
        <v>-0.199999999949796</v>
      </c>
      <c r="R11" s="41"/>
      <c r="S11" s="21">
        <f t="shared" si="3"/>
        <v>44885</v>
      </c>
      <c r="T11" s="42">
        <v>9.0101999999999993</v>
      </c>
      <c r="U11" s="43">
        <f t="shared" si="14"/>
        <v>-0.20000000000130999</v>
      </c>
      <c r="V11" s="44">
        <f t="shared" si="15"/>
        <v>-0.50000000000061096</v>
      </c>
      <c r="W11" s="45">
        <f t="shared" si="16"/>
        <v>0.20000000000130999</v>
      </c>
      <c r="X11" s="29">
        <v>12.1157</v>
      </c>
      <c r="Y11" s="43">
        <f t="shared" si="17"/>
        <v>-0.19999999999953399</v>
      </c>
      <c r="Z11" s="44">
        <f t="shared" si="18"/>
        <v>-0.60000000000037801</v>
      </c>
      <c r="AA11" s="45">
        <f t="shared" si="19"/>
        <v>-0.19999999999953399</v>
      </c>
      <c r="AB11" s="49">
        <v>8.4514999999999993</v>
      </c>
      <c r="AC11" s="43">
        <f t="shared" si="20"/>
        <v>-0.30000000000107702</v>
      </c>
      <c r="AD11" s="44">
        <f t="shared" si="21"/>
        <v>-1.0000000000012199</v>
      </c>
      <c r="AE11" s="45">
        <f t="shared" si="22"/>
        <v>-0.30000000000107702</v>
      </c>
      <c r="AF11" s="50">
        <v>80496</v>
      </c>
      <c r="AG11" s="58">
        <f t="shared" si="4"/>
        <v>15</v>
      </c>
      <c r="AH11" s="61"/>
      <c r="AI11" s="60"/>
      <c r="AJ11"/>
      <c r="AK11"/>
      <c r="AL11"/>
      <c r="AM11"/>
    </row>
    <row r="12" spans="1:48">
      <c r="A12" s="21">
        <v>44886</v>
      </c>
      <c r="B12" s="22">
        <v>791.80629999999996</v>
      </c>
      <c r="C12" s="27">
        <v>5.6871</v>
      </c>
      <c r="D12" s="23">
        <f t="shared" ref="D12:D20" si="23">C12+B12</f>
        <v>797.49339999999995</v>
      </c>
      <c r="E12" s="24">
        <f t="shared" ref="E12:E20" si="24">(D12-D11)*1000</f>
        <v>9.9999999974897905E-2</v>
      </c>
      <c r="F12" s="25">
        <f t="shared" ref="F12:F20" si="25">F11+E12</f>
        <v>-0.99999999997635303</v>
      </c>
      <c r="G12" s="26">
        <f t="shared" ref="G12:G20" si="26">E12/(A12-A11)</f>
        <v>9.9999999974897905E-2</v>
      </c>
      <c r="H12" s="6">
        <v>6.6910999999999996</v>
      </c>
      <c r="I12" s="35">
        <f t="shared" ref="I12:I20" si="27">H12+B12</f>
        <v>798.49739999999997</v>
      </c>
      <c r="J12" s="24">
        <f t="shared" ref="J12:J20" si="28">(I12-I11)*1000</f>
        <v>-0.199999999949796</v>
      </c>
      <c r="K12" s="25">
        <f t="shared" ref="K12:K20" si="29">K11+J12</f>
        <v>-0.90000000000145497</v>
      </c>
      <c r="L12" s="26">
        <f t="shared" ref="L12:L20" si="30">J12/(A12-A11)</f>
        <v>-0.199999999949796</v>
      </c>
      <c r="M12" s="6">
        <v>5.9741</v>
      </c>
      <c r="N12" s="35">
        <f t="shared" ref="N12:N20" si="31">M12+B12</f>
        <v>797.78039999999999</v>
      </c>
      <c r="O12" s="24">
        <f t="shared" ref="O12:O20" si="32">(N12-N11)*1000</f>
        <v>9.9999999974897905E-2</v>
      </c>
      <c r="P12" s="25">
        <f t="shared" ref="P12:P20" si="33">P11+O12</f>
        <v>-0.69999999993797202</v>
      </c>
      <c r="Q12" s="26">
        <f t="shared" ref="Q12:Q20" si="34">O12/(A12-A11)</f>
        <v>9.9999999974897905E-2</v>
      </c>
      <c r="R12" s="41"/>
      <c r="S12" s="21">
        <f t="shared" ref="S12:S26" si="35">A12</f>
        <v>44886</v>
      </c>
      <c r="T12" s="42">
        <v>9.01</v>
      </c>
      <c r="U12" s="43">
        <f t="shared" ref="U12:U26" si="36">(T12-T11)*1000</f>
        <v>-0.19999999999953399</v>
      </c>
      <c r="V12" s="44">
        <f t="shared" ref="V12:V26" si="37">V11+U12</f>
        <v>-0.70000000000014495</v>
      </c>
      <c r="W12" s="45">
        <f t="shared" ref="W12:W26" si="38">U12/(S11-S12)</f>
        <v>0.19999999999953399</v>
      </c>
      <c r="X12" s="29">
        <v>12.115500000000001</v>
      </c>
      <c r="Y12" s="43">
        <f t="shared" ref="Y12:Y26" si="39">(X12-X11)*1000</f>
        <v>-0.19999999999953399</v>
      </c>
      <c r="Z12" s="44">
        <f t="shared" ref="Z12:Z26" si="40">Z11+Y12</f>
        <v>-0.799999999999912</v>
      </c>
      <c r="AA12" s="45">
        <f t="shared" ref="AA12:AA26" si="41">Y12/(S12-S11)</f>
        <v>-0.19999999999953399</v>
      </c>
      <c r="AB12" s="49">
        <v>8.4513999999999996</v>
      </c>
      <c r="AC12" s="43">
        <f t="shared" ref="AC12:AC26" si="42">(AB12-AB11)*1000</f>
        <v>-9.99999999997669E-2</v>
      </c>
      <c r="AD12" s="44">
        <f t="shared" ref="AD12:AD26" si="43">AD11+AC12</f>
        <v>-1.10000000000099</v>
      </c>
      <c r="AE12" s="45">
        <f t="shared" ref="AE12:AE26" si="44">AC12/(S12-S11)</f>
        <v>-9.99999999997669E-2</v>
      </c>
      <c r="AF12" s="50">
        <v>80496</v>
      </c>
      <c r="AG12" s="58">
        <f t="shared" ref="AG12:AG26" si="45">AF12-80481</f>
        <v>15</v>
      </c>
      <c r="AH12" s="61"/>
      <c r="AI12" s="60"/>
      <c r="AJ12"/>
      <c r="AK12"/>
      <c r="AL12"/>
      <c r="AM12"/>
    </row>
    <row r="13" spans="1:48">
      <c r="A13" s="21">
        <v>44887</v>
      </c>
      <c r="B13" s="22">
        <v>791.80629999999996</v>
      </c>
      <c r="C13" s="27">
        <v>5.6866000000000003</v>
      </c>
      <c r="D13" s="23">
        <f t="shared" si="23"/>
        <v>797.49289999999996</v>
      </c>
      <c r="E13" s="24">
        <f t="shared" si="24"/>
        <v>-0.49999999998817701</v>
      </c>
      <c r="F13" s="25">
        <f t="shared" si="25"/>
        <v>-1.4999999999645299</v>
      </c>
      <c r="G13" s="26">
        <f t="shared" si="26"/>
        <v>-0.49999999998817701</v>
      </c>
      <c r="H13" s="6">
        <v>6.6912000000000003</v>
      </c>
      <c r="I13" s="35">
        <f t="shared" si="27"/>
        <v>798.49749999999995</v>
      </c>
      <c r="J13" s="24">
        <f t="shared" si="28"/>
        <v>9.9999999974897905E-2</v>
      </c>
      <c r="K13" s="25">
        <f t="shared" si="29"/>
        <v>-0.80000000002655702</v>
      </c>
      <c r="L13" s="26">
        <f t="shared" si="30"/>
        <v>9.9999999974897905E-2</v>
      </c>
      <c r="M13" s="6">
        <v>5.9736000000000002</v>
      </c>
      <c r="N13" s="35">
        <f t="shared" si="31"/>
        <v>797.7799</v>
      </c>
      <c r="O13" s="24">
        <f t="shared" si="32"/>
        <v>-0.49999999998817701</v>
      </c>
      <c r="P13" s="25">
        <f t="shared" si="33"/>
        <v>-1.1999999999261499</v>
      </c>
      <c r="Q13" s="26">
        <f t="shared" si="34"/>
        <v>-0.49999999998817701</v>
      </c>
      <c r="R13" s="41"/>
      <c r="S13" s="21">
        <f t="shared" si="35"/>
        <v>44887</v>
      </c>
      <c r="T13" s="42">
        <v>9.0100999999999996</v>
      </c>
      <c r="U13" s="43">
        <f t="shared" si="36"/>
        <v>9.99999999997669E-2</v>
      </c>
      <c r="V13" s="44">
        <f t="shared" si="37"/>
        <v>-0.60000000000037801</v>
      </c>
      <c r="W13" s="45">
        <f t="shared" si="38"/>
        <v>-9.99999999997669E-2</v>
      </c>
      <c r="X13" s="29">
        <v>12.115500000000001</v>
      </c>
      <c r="Y13" s="43">
        <f t="shared" si="39"/>
        <v>0</v>
      </c>
      <c r="Z13" s="44">
        <f t="shared" si="40"/>
        <v>-0.799999999999912</v>
      </c>
      <c r="AA13" s="45">
        <f t="shared" si="41"/>
        <v>0</v>
      </c>
      <c r="AB13" s="49">
        <v>8.4512</v>
      </c>
      <c r="AC13" s="43">
        <f t="shared" si="42"/>
        <v>-0.19999999999953399</v>
      </c>
      <c r="AD13" s="44">
        <f t="shared" si="43"/>
        <v>-1.3000000000005201</v>
      </c>
      <c r="AE13" s="45">
        <f t="shared" si="44"/>
        <v>-0.19999999999953399</v>
      </c>
      <c r="AF13" s="50">
        <v>80496</v>
      </c>
      <c r="AG13" s="58">
        <f t="shared" si="45"/>
        <v>15</v>
      </c>
      <c r="AH13" s="61"/>
      <c r="AI13" s="60"/>
      <c r="AJ13"/>
      <c r="AK13"/>
      <c r="AL13"/>
      <c r="AM13"/>
    </row>
    <row r="14" spans="1:48">
      <c r="A14" s="21">
        <v>44888</v>
      </c>
      <c r="B14" s="22">
        <v>791.80629999999996</v>
      </c>
      <c r="C14" s="27">
        <v>5.6863999999999999</v>
      </c>
      <c r="D14" s="23">
        <f t="shared" si="23"/>
        <v>797.49270000000001</v>
      </c>
      <c r="E14" s="24">
        <f t="shared" si="24"/>
        <v>-0.199999999949796</v>
      </c>
      <c r="F14" s="25">
        <f t="shared" si="25"/>
        <v>-1.69999999991433</v>
      </c>
      <c r="G14" s="26">
        <f t="shared" si="26"/>
        <v>-0.199999999949796</v>
      </c>
      <c r="H14" s="6">
        <v>6.6906999999999996</v>
      </c>
      <c r="I14" s="35">
        <f t="shared" si="27"/>
        <v>798.49699999999996</v>
      </c>
      <c r="J14" s="24">
        <f t="shared" si="28"/>
        <v>-0.49999999998817701</v>
      </c>
      <c r="K14" s="25">
        <f t="shared" si="29"/>
        <v>-1.30000000001473</v>
      </c>
      <c r="L14" s="26">
        <f t="shared" si="30"/>
        <v>-0.49999999998817701</v>
      </c>
      <c r="M14" s="6">
        <v>5.9733999999999998</v>
      </c>
      <c r="N14" s="35">
        <f t="shared" si="31"/>
        <v>797.77970000000005</v>
      </c>
      <c r="O14" s="24">
        <f t="shared" si="32"/>
        <v>-0.20000000006348301</v>
      </c>
      <c r="P14" s="25">
        <f t="shared" si="33"/>
        <v>-1.39999999998963</v>
      </c>
      <c r="Q14" s="26">
        <f t="shared" si="34"/>
        <v>-0.20000000006348301</v>
      </c>
      <c r="R14" s="41"/>
      <c r="S14" s="21">
        <f t="shared" si="35"/>
        <v>44888</v>
      </c>
      <c r="T14" s="42">
        <v>9.0096000000000007</v>
      </c>
      <c r="U14" s="43">
        <f t="shared" si="36"/>
        <v>-0.49999999999883499</v>
      </c>
      <c r="V14" s="44">
        <f t="shared" si="37"/>
        <v>-1.0999999999992101</v>
      </c>
      <c r="W14" s="45">
        <f t="shared" si="38"/>
        <v>0.49999999999883499</v>
      </c>
      <c r="X14" s="29">
        <v>12.1151</v>
      </c>
      <c r="Y14" s="43">
        <f t="shared" si="39"/>
        <v>-0.40000000000084401</v>
      </c>
      <c r="Z14" s="44">
        <f t="shared" si="40"/>
        <v>-1.20000000000076</v>
      </c>
      <c r="AA14" s="45">
        <f t="shared" si="41"/>
        <v>-0.40000000000084401</v>
      </c>
      <c r="AB14" s="49">
        <v>8.4511000000000003</v>
      </c>
      <c r="AC14" s="43">
        <f t="shared" si="42"/>
        <v>-9.99999999997669E-2</v>
      </c>
      <c r="AD14" s="44">
        <f t="shared" si="43"/>
        <v>-1.4000000000002899</v>
      </c>
      <c r="AE14" s="45">
        <f t="shared" si="44"/>
        <v>-9.99999999997669E-2</v>
      </c>
      <c r="AF14" s="50">
        <v>80496</v>
      </c>
      <c r="AG14" s="58">
        <f t="shared" si="45"/>
        <v>15</v>
      </c>
      <c r="AH14" s="59"/>
      <c r="AI14" s="60"/>
      <c r="AJ14"/>
      <c r="AK14"/>
      <c r="AL14"/>
      <c r="AM14"/>
    </row>
    <row r="15" spans="1:48">
      <c r="A15" s="21">
        <v>44889</v>
      </c>
      <c r="B15" s="22">
        <v>791.80629999999996</v>
      </c>
      <c r="C15" s="27">
        <v>5.6862000000000004</v>
      </c>
      <c r="D15" s="23">
        <f t="shared" si="23"/>
        <v>797.49249999999995</v>
      </c>
      <c r="E15" s="24">
        <f t="shared" si="24"/>
        <v>-0.20000000006348301</v>
      </c>
      <c r="F15" s="25">
        <f t="shared" si="25"/>
        <v>-1.8999999999778101</v>
      </c>
      <c r="G15" s="26">
        <f t="shared" si="26"/>
        <v>-0.20000000006348301</v>
      </c>
      <c r="H15" s="6">
        <v>6.6905000000000001</v>
      </c>
      <c r="I15" s="35">
        <f t="shared" si="27"/>
        <v>798.49680000000001</v>
      </c>
      <c r="J15" s="24">
        <f t="shared" si="28"/>
        <v>-0.199999999949796</v>
      </c>
      <c r="K15" s="25">
        <f t="shared" si="29"/>
        <v>-1.4999999999645299</v>
      </c>
      <c r="L15" s="26">
        <f t="shared" si="30"/>
        <v>-0.199999999949796</v>
      </c>
      <c r="M15" s="6">
        <v>5.9740000000000002</v>
      </c>
      <c r="N15" s="35">
        <f t="shared" si="31"/>
        <v>797.78030000000001</v>
      </c>
      <c r="O15" s="24">
        <f t="shared" si="32"/>
        <v>0.60000000007676102</v>
      </c>
      <c r="P15" s="25">
        <f t="shared" si="33"/>
        <v>-0.79999999991286996</v>
      </c>
      <c r="Q15" s="26">
        <f t="shared" si="34"/>
        <v>0.60000000007676102</v>
      </c>
      <c r="R15" s="41"/>
      <c r="S15" s="21">
        <f t="shared" si="35"/>
        <v>44889</v>
      </c>
      <c r="T15" s="42">
        <v>9.0093999999999905</v>
      </c>
      <c r="U15" s="43">
        <f t="shared" si="36"/>
        <v>-0.200000000010192</v>
      </c>
      <c r="V15" s="44">
        <f t="shared" si="37"/>
        <v>-1.3000000000094001</v>
      </c>
      <c r="W15" s="45">
        <f t="shared" si="38"/>
        <v>0.200000000010192</v>
      </c>
      <c r="X15" s="29">
        <v>12.1149</v>
      </c>
      <c r="Y15" s="43">
        <f t="shared" si="39"/>
        <v>-0.19999999999953399</v>
      </c>
      <c r="Z15" s="44">
        <f t="shared" si="40"/>
        <v>-1.4000000000002899</v>
      </c>
      <c r="AA15" s="45">
        <f t="shared" si="41"/>
        <v>-0.19999999999953399</v>
      </c>
      <c r="AB15" s="49">
        <v>8.4507999999999903</v>
      </c>
      <c r="AC15" s="43">
        <f t="shared" si="42"/>
        <v>-0.30000000000995902</v>
      </c>
      <c r="AD15" s="44">
        <f t="shared" si="43"/>
        <v>-1.70000000001025</v>
      </c>
      <c r="AE15" s="45">
        <f t="shared" si="44"/>
        <v>-0.30000000000995902</v>
      </c>
      <c r="AF15" s="50">
        <v>80496</v>
      </c>
      <c r="AG15" s="58">
        <f t="shared" si="45"/>
        <v>15</v>
      </c>
      <c r="AH15" s="61"/>
      <c r="AI15" s="60"/>
      <c r="AJ15"/>
      <c r="AK15"/>
      <c r="AL15"/>
      <c r="AM15"/>
    </row>
    <row r="16" spans="1:48">
      <c r="A16" s="21">
        <v>44890</v>
      </c>
      <c r="B16" s="22">
        <v>791.80629999999996</v>
      </c>
      <c r="C16" s="27">
        <v>5.6863000000000001</v>
      </c>
      <c r="D16" s="23">
        <f t="shared" si="23"/>
        <v>797.49260000000004</v>
      </c>
      <c r="E16" s="24">
        <f t="shared" si="24"/>
        <v>9.9999999974897905E-2</v>
      </c>
      <c r="F16" s="25">
        <f t="shared" si="25"/>
        <v>-1.8000000000029099</v>
      </c>
      <c r="G16" s="26">
        <f t="shared" si="26"/>
        <v>9.9999999974897905E-2</v>
      </c>
      <c r="H16" s="6">
        <v>6.6905000000000001</v>
      </c>
      <c r="I16" s="35">
        <f t="shared" si="27"/>
        <v>798.49680000000001</v>
      </c>
      <c r="J16" s="24">
        <f t="shared" si="28"/>
        <v>0</v>
      </c>
      <c r="K16" s="25">
        <f t="shared" si="29"/>
        <v>-1.4999999999645299</v>
      </c>
      <c r="L16" s="26">
        <f t="shared" si="30"/>
        <v>0</v>
      </c>
      <c r="M16" s="6">
        <v>5.9729999999999999</v>
      </c>
      <c r="N16" s="35">
        <f t="shared" si="31"/>
        <v>797.77930000000003</v>
      </c>
      <c r="O16" s="24">
        <f t="shared" si="32"/>
        <v>-1.00000000009004</v>
      </c>
      <c r="P16" s="25">
        <f t="shared" si="33"/>
        <v>-1.8000000000029099</v>
      </c>
      <c r="Q16" s="26">
        <f t="shared" si="34"/>
        <v>-1.00000000009004</v>
      </c>
      <c r="R16" s="41"/>
      <c r="S16" s="21">
        <f t="shared" si="35"/>
        <v>44890</v>
      </c>
      <c r="T16" s="42">
        <v>9.0094999999999992</v>
      </c>
      <c r="U16" s="43">
        <f t="shared" si="36"/>
        <v>0.100000000008649</v>
      </c>
      <c r="V16" s="44">
        <f t="shared" si="37"/>
        <v>-1.20000000000076</v>
      </c>
      <c r="W16" s="45">
        <f t="shared" si="38"/>
        <v>-0.100000000008649</v>
      </c>
      <c r="X16" s="29">
        <v>12.114800000000001</v>
      </c>
      <c r="Y16" s="43">
        <f t="shared" si="39"/>
        <v>-9.99999999997669E-2</v>
      </c>
      <c r="Z16" s="44">
        <f t="shared" si="40"/>
        <v>-1.50000000000006</v>
      </c>
      <c r="AA16" s="45">
        <f t="shared" si="41"/>
        <v>-9.99999999997669E-2</v>
      </c>
      <c r="AB16" s="49">
        <v>8.4505999999999908</v>
      </c>
      <c r="AC16" s="43">
        <f t="shared" si="42"/>
        <v>-0.19999999999953399</v>
      </c>
      <c r="AD16" s="44">
        <f t="shared" si="43"/>
        <v>-1.9000000000097801</v>
      </c>
      <c r="AE16" s="45">
        <f t="shared" si="44"/>
        <v>-0.19999999999953399</v>
      </c>
      <c r="AF16" s="50">
        <v>80496</v>
      </c>
      <c r="AG16" s="58">
        <f t="shared" si="45"/>
        <v>15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44891</v>
      </c>
      <c r="B17" s="22">
        <v>791.80629999999996</v>
      </c>
      <c r="C17" s="27">
        <v>5.6858000000000004</v>
      </c>
      <c r="D17" s="23">
        <f t="shared" si="23"/>
        <v>797.49210000000005</v>
      </c>
      <c r="E17" s="24">
        <f t="shared" si="24"/>
        <v>-0.49999999998817701</v>
      </c>
      <c r="F17" s="25">
        <f t="shared" si="25"/>
        <v>-2.2999999999910901</v>
      </c>
      <c r="G17" s="26">
        <f t="shared" si="26"/>
        <v>-0.49999999998817701</v>
      </c>
      <c r="H17" s="6">
        <v>6.6901000000000002</v>
      </c>
      <c r="I17" s="35">
        <f t="shared" si="27"/>
        <v>798.49639999999999</v>
      </c>
      <c r="J17" s="24">
        <f t="shared" si="28"/>
        <v>-0.40000000001327901</v>
      </c>
      <c r="K17" s="25">
        <f t="shared" si="29"/>
        <v>-1.8999999999778101</v>
      </c>
      <c r="L17" s="26">
        <f t="shared" si="30"/>
        <v>-0.40000000001327901</v>
      </c>
      <c r="M17" s="6">
        <v>5.9728000000000003</v>
      </c>
      <c r="N17" s="35">
        <f t="shared" si="31"/>
        <v>797.77909999999997</v>
      </c>
      <c r="O17" s="24">
        <f t="shared" si="32"/>
        <v>-0.199999999949796</v>
      </c>
      <c r="P17" s="25">
        <f t="shared" si="33"/>
        <v>-1.9999999999527101</v>
      </c>
      <c r="Q17" s="26">
        <f t="shared" si="34"/>
        <v>-0.199999999949796</v>
      </c>
      <c r="R17" s="41"/>
      <c r="S17" s="21">
        <f t="shared" si="35"/>
        <v>44891</v>
      </c>
      <c r="T17" s="42">
        <v>9.0089999999999897</v>
      </c>
      <c r="U17" s="43">
        <f t="shared" si="36"/>
        <v>-0.50000000000949296</v>
      </c>
      <c r="V17" s="44">
        <f t="shared" si="37"/>
        <v>-1.70000000001025</v>
      </c>
      <c r="W17" s="45">
        <f t="shared" si="38"/>
        <v>0.50000000000949296</v>
      </c>
      <c r="X17" s="29">
        <v>12.1145</v>
      </c>
      <c r="Y17" s="43">
        <f t="shared" si="39"/>
        <v>-0.30000000000107702</v>
      </c>
      <c r="Z17" s="44">
        <f t="shared" si="40"/>
        <v>-1.80000000000113</v>
      </c>
      <c r="AA17" s="45">
        <f t="shared" si="41"/>
        <v>-0.30000000000107702</v>
      </c>
      <c r="AB17" s="49">
        <v>8.4504999999999999</v>
      </c>
      <c r="AC17" s="43">
        <f t="shared" si="42"/>
        <v>-9.9999999990885199E-2</v>
      </c>
      <c r="AD17" s="44">
        <f t="shared" si="43"/>
        <v>-2.0000000000006701</v>
      </c>
      <c r="AE17" s="45">
        <f t="shared" si="44"/>
        <v>-9.9999999990885199E-2</v>
      </c>
      <c r="AF17" s="50">
        <v>80496</v>
      </c>
      <c r="AG17" s="58">
        <f t="shared" si="45"/>
        <v>15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44892</v>
      </c>
      <c r="B18" s="22">
        <v>791.80629999999996</v>
      </c>
      <c r="C18" s="27">
        <v>5.6856</v>
      </c>
      <c r="D18" s="23">
        <f t="shared" si="23"/>
        <v>797.49189999999999</v>
      </c>
      <c r="E18" s="24">
        <f t="shared" si="24"/>
        <v>-0.199999999949796</v>
      </c>
      <c r="F18" s="25">
        <f t="shared" si="25"/>
        <v>-2.4999999999408802</v>
      </c>
      <c r="G18" s="26">
        <f t="shared" si="26"/>
        <v>-0.199999999949796</v>
      </c>
      <c r="H18" s="6">
        <v>6.6898999999999997</v>
      </c>
      <c r="I18" s="35">
        <f t="shared" si="27"/>
        <v>798.49620000000004</v>
      </c>
      <c r="J18" s="24">
        <f t="shared" si="28"/>
        <v>-0.20000000006348301</v>
      </c>
      <c r="K18" s="25">
        <f t="shared" si="29"/>
        <v>-2.1000000000412902</v>
      </c>
      <c r="L18" s="26">
        <f t="shared" si="30"/>
        <v>-0.20000000006348301</v>
      </c>
      <c r="M18" s="6">
        <v>5.9732000000000003</v>
      </c>
      <c r="N18" s="35">
        <f t="shared" si="31"/>
        <v>797.77949999999998</v>
      </c>
      <c r="O18" s="24">
        <f t="shared" si="32"/>
        <v>0.40000000001327901</v>
      </c>
      <c r="P18" s="25">
        <f t="shared" si="33"/>
        <v>-1.5999999999394301</v>
      </c>
      <c r="Q18" s="26">
        <f t="shared" si="34"/>
        <v>0.40000000001327901</v>
      </c>
      <c r="R18" s="41"/>
      <c r="S18" s="21">
        <f t="shared" si="35"/>
        <v>44892</v>
      </c>
      <c r="T18" s="42">
        <v>9.0087999999999901</v>
      </c>
      <c r="U18" s="43">
        <f t="shared" si="36"/>
        <v>-0.19999999999953399</v>
      </c>
      <c r="V18" s="44">
        <f t="shared" si="37"/>
        <v>-1.9000000000097801</v>
      </c>
      <c r="W18" s="45">
        <f t="shared" si="38"/>
        <v>0.19999999999953399</v>
      </c>
      <c r="X18" s="29">
        <v>12.1143</v>
      </c>
      <c r="Y18" s="43">
        <f t="shared" si="39"/>
        <v>-0.19999999999953399</v>
      </c>
      <c r="Z18" s="44">
        <f t="shared" si="40"/>
        <v>-2.0000000000006701</v>
      </c>
      <c r="AA18" s="45">
        <f t="shared" si="41"/>
        <v>-0.19999999999953399</v>
      </c>
      <c r="AB18" s="49">
        <v>8.4501999999999899</v>
      </c>
      <c r="AC18" s="43">
        <f t="shared" si="42"/>
        <v>-0.30000000000995902</v>
      </c>
      <c r="AD18" s="44">
        <f t="shared" si="43"/>
        <v>-2.30000000001063</v>
      </c>
      <c r="AE18" s="45">
        <f t="shared" si="44"/>
        <v>-0.30000000000995902</v>
      </c>
      <c r="AF18" s="50">
        <v>80496</v>
      </c>
      <c r="AG18" s="58">
        <f t="shared" si="45"/>
        <v>15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44893</v>
      </c>
      <c r="B19" s="22">
        <v>791.80629999999996</v>
      </c>
      <c r="C19" s="27">
        <v>5.6859999999999999</v>
      </c>
      <c r="D19" s="23">
        <f t="shared" si="23"/>
        <v>797.4923</v>
      </c>
      <c r="E19" s="24">
        <f t="shared" si="24"/>
        <v>0.40000000001327901</v>
      </c>
      <c r="F19" s="25">
        <f t="shared" si="25"/>
        <v>-2.0999999999275998</v>
      </c>
      <c r="G19" s="26">
        <f t="shared" si="26"/>
        <v>0.40000000001327901</v>
      </c>
      <c r="H19" s="6">
        <v>6.6897000000000002</v>
      </c>
      <c r="I19" s="35">
        <f t="shared" si="27"/>
        <v>798.49599999999998</v>
      </c>
      <c r="J19" s="24">
        <f t="shared" si="28"/>
        <v>-0.199999999949796</v>
      </c>
      <c r="K19" s="25">
        <f t="shared" si="29"/>
        <v>-2.2999999999910901</v>
      </c>
      <c r="L19" s="26">
        <f t="shared" si="30"/>
        <v>-0.199999999949796</v>
      </c>
      <c r="M19" s="6">
        <v>5.9724000000000004</v>
      </c>
      <c r="N19" s="35">
        <f t="shared" si="31"/>
        <v>797.77869999999996</v>
      </c>
      <c r="O19" s="24">
        <f t="shared" si="32"/>
        <v>-0.80000000002655702</v>
      </c>
      <c r="P19" s="25">
        <f t="shared" si="33"/>
        <v>-2.39999999996598</v>
      </c>
      <c r="Q19" s="26">
        <f t="shared" si="34"/>
        <v>-0.80000000002655702</v>
      </c>
      <c r="R19" s="41"/>
      <c r="S19" s="21">
        <f t="shared" si="35"/>
        <v>44893</v>
      </c>
      <c r="T19" s="42">
        <v>9.0090000000000003</v>
      </c>
      <c r="U19" s="43">
        <f t="shared" si="36"/>
        <v>0.200000000010192</v>
      </c>
      <c r="V19" s="44">
        <f t="shared" si="37"/>
        <v>-1.6999999999995901</v>
      </c>
      <c r="W19" s="45">
        <f t="shared" si="38"/>
        <v>-0.200000000010192</v>
      </c>
      <c r="X19" s="29">
        <v>12.114100000000001</v>
      </c>
      <c r="Y19" s="43">
        <f t="shared" si="39"/>
        <v>-0.19999999999953399</v>
      </c>
      <c r="Z19" s="44">
        <f t="shared" si="40"/>
        <v>-2.2000000000002</v>
      </c>
      <c r="AA19" s="45">
        <f t="shared" si="41"/>
        <v>-0.19999999999953399</v>
      </c>
      <c r="AB19" s="49">
        <v>8.4499999999999904</v>
      </c>
      <c r="AC19" s="43">
        <f t="shared" si="42"/>
        <v>-0.19999999999953399</v>
      </c>
      <c r="AD19" s="44">
        <f t="shared" si="43"/>
        <v>-2.5000000000101599</v>
      </c>
      <c r="AE19" s="45">
        <f t="shared" si="44"/>
        <v>-0.19999999999953399</v>
      </c>
      <c r="AF19" s="50">
        <v>80496</v>
      </c>
      <c r="AG19" s="58">
        <f t="shared" si="45"/>
        <v>15</v>
      </c>
      <c r="AH19" s="61"/>
      <c r="AI19" s="60"/>
      <c r="AJ19"/>
      <c r="AK19"/>
      <c r="AL19"/>
      <c r="AM19"/>
    </row>
    <row r="20" spans="1:48">
      <c r="A20" s="21">
        <v>44894</v>
      </c>
      <c r="B20" s="22">
        <v>791.80629999999996</v>
      </c>
      <c r="C20" s="27">
        <v>5.6852</v>
      </c>
      <c r="D20" s="23">
        <f t="shared" si="23"/>
        <v>797.49149999999997</v>
      </c>
      <c r="E20" s="24">
        <f t="shared" si="24"/>
        <v>-0.80000000002655702</v>
      </c>
      <c r="F20" s="25">
        <f t="shared" si="25"/>
        <v>-2.8999999999541601</v>
      </c>
      <c r="G20" s="26">
        <f t="shared" si="26"/>
        <v>-0.80000000002655702</v>
      </c>
      <c r="H20" s="6">
        <v>6.6894999999999998</v>
      </c>
      <c r="I20" s="35">
        <f t="shared" si="27"/>
        <v>798.49580000000003</v>
      </c>
      <c r="J20" s="24">
        <f t="shared" si="28"/>
        <v>-0.20000000006348301</v>
      </c>
      <c r="K20" s="25">
        <f t="shared" si="29"/>
        <v>-2.5000000000545701</v>
      </c>
      <c r="L20" s="26">
        <f t="shared" si="30"/>
        <v>-0.20000000006348301</v>
      </c>
      <c r="M20" s="6">
        <v>5.9722</v>
      </c>
      <c r="N20" s="35">
        <f t="shared" si="31"/>
        <v>797.77850000000001</v>
      </c>
      <c r="O20" s="24">
        <f t="shared" si="32"/>
        <v>-0.199999999949796</v>
      </c>
      <c r="P20" s="25">
        <f t="shared" si="33"/>
        <v>-2.5999999999157799</v>
      </c>
      <c r="Q20" s="26">
        <f t="shared" si="34"/>
        <v>-0.199999999949796</v>
      </c>
      <c r="R20" s="41"/>
      <c r="S20" s="21">
        <f t="shared" si="35"/>
        <v>44894</v>
      </c>
      <c r="T20" s="42">
        <v>9.0083999999999893</v>
      </c>
      <c r="U20" s="43">
        <f t="shared" si="36"/>
        <v>-0.60000000001103604</v>
      </c>
      <c r="V20" s="44">
        <f t="shared" si="37"/>
        <v>-2.30000000001063</v>
      </c>
      <c r="W20" s="45">
        <f t="shared" si="38"/>
        <v>0.60000000001103604</v>
      </c>
      <c r="X20" s="29">
        <v>12.114000000000001</v>
      </c>
      <c r="Y20" s="43">
        <f t="shared" si="39"/>
        <v>-9.99999999997669E-2</v>
      </c>
      <c r="Z20" s="44">
        <f t="shared" si="40"/>
        <v>-2.2999999999999701</v>
      </c>
      <c r="AA20" s="45">
        <f t="shared" si="41"/>
        <v>-9.99999999997669E-2</v>
      </c>
      <c r="AB20" s="49">
        <v>8.4501000000000008</v>
      </c>
      <c r="AC20" s="43">
        <f t="shared" si="42"/>
        <v>0.100000000010425</v>
      </c>
      <c r="AD20" s="44">
        <f t="shared" si="43"/>
        <v>-2.3999999999997401</v>
      </c>
      <c r="AE20" s="45">
        <f t="shared" si="44"/>
        <v>0.100000000010425</v>
      </c>
      <c r="AF20" s="50">
        <v>80496</v>
      </c>
      <c r="AG20" s="58">
        <f t="shared" si="45"/>
        <v>15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44896</v>
      </c>
      <c r="B21" s="22">
        <v>791.80629999999996</v>
      </c>
      <c r="C21" s="27">
        <v>5.6849999999999996</v>
      </c>
      <c r="D21" s="23">
        <f t="shared" ref="D21:D26" si="46">C21+B21</f>
        <v>797.49130000000002</v>
      </c>
      <c r="E21" s="24">
        <f t="shared" ref="E21:E26" si="47">(D21-D20)*1000</f>
        <v>-0.20000000006348301</v>
      </c>
      <c r="F21" s="25">
        <f t="shared" ref="F21:F26" si="48">F20+E21</f>
        <v>-3.1000000000176402</v>
      </c>
      <c r="G21" s="26">
        <f t="shared" ref="G21:G26" si="49">E21/(A21-A20)</f>
        <v>-0.100000000031741</v>
      </c>
      <c r="H21" s="6">
        <v>6.6894</v>
      </c>
      <c r="I21" s="35">
        <f t="shared" ref="I21:I26" si="50">H21+B21</f>
        <v>798.49570000000006</v>
      </c>
      <c r="J21" s="24">
        <f t="shared" ref="J21:J26" si="51">(I21-I20)*1000</f>
        <v>-9.9999999974897905E-2</v>
      </c>
      <c r="K21" s="25">
        <f t="shared" ref="K21:K26" si="52">K20+J21</f>
        <v>-2.6000000000294698</v>
      </c>
      <c r="L21" s="26">
        <f t="shared" ref="L21:L26" si="53">J21/(A21-A20)</f>
        <v>-4.9999999987449001E-2</v>
      </c>
      <c r="M21" s="6">
        <v>5.9725000000000001</v>
      </c>
      <c r="N21" s="35">
        <f t="shared" ref="N21:N26" si="54">M21+B21</f>
        <v>797.77880000000005</v>
      </c>
      <c r="O21" s="24">
        <f t="shared" ref="O21:O26" si="55">(N21-N20)*1000</f>
        <v>0.29999999992469401</v>
      </c>
      <c r="P21" s="25">
        <f t="shared" ref="P21:P26" si="56">P20+O21</f>
        <v>-2.2999999999910901</v>
      </c>
      <c r="Q21" s="26">
        <f t="shared" ref="Q21:Q26" si="57">O21/(A21-A20)</f>
        <v>0.149999999962347</v>
      </c>
      <c r="R21" s="41"/>
      <c r="S21" s="21">
        <f t="shared" si="35"/>
        <v>44896</v>
      </c>
      <c r="T21" s="42">
        <v>9.0081999999999898</v>
      </c>
      <c r="U21" s="43">
        <f t="shared" si="36"/>
        <v>-0.19999999999953399</v>
      </c>
      <c r="V21" s="44">
        <f t="shared" si="37"/>
        <v>-2.5000000000101599</v>
      </c>
      <c r="W21" s="45">
        <f t="shared" si="38"/>
        <v>9.99999999997669E-2</v>
      </c>
      <c r="X21" s="29">
        <v>12.113799999999999</v>
      </c>
      <c r="Y21" s="43">
        <f t="shared" si="39"/>
        <v>-0.20000000000130999</v>
      </c>
      <c r="Z21" s="44">
        <f t="shared" si="40"/>
        <v>-2.5000000000012799</v>
      </c>
      <c r="AA21" s="45">
        <f t="shared" si="41"/>
        <v>-0.100000000000655</v>
      </c>
      <c r="AB21" s="49">
        <v>8.4495999999999896</v>
      </c>
      <c r="AC21" s="43">
        <f t="shared" si="42"/>
        <v>-0.50000000001126899</v>
      </c>
      <c r="AD21" s="44">
        <f t="shared" si="43"/>
        <v>-2.900000000011</v>
      </c>
      <c r="AE21" s="45">
        <f t="shared" si="44"/>
        <v>-0.25000000000563499</v>
      </c>
      <c r="AF21" s="50">
        <v>80496</v>
      </c>
      <c r="AG21" s="58">
        <f t="shared" si="45"/>
        <v>15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44898</v>
      </c>
      <c r="B22" s="22">
        <v>791.80629999999996</v>
      </c>
      <c r="C22" s="27">
        <v>5.6851000000000003</v>
      </c>
      <c r="D22" s="23">
        <f t="shared" si="46"/>
        <v>797.4914</v>
      </c>
      <c r="E22" s="24">
        <f t="shared" si="47"/>
        <v>0.10000000008858501</v>
      </c>
      <c r="F22" s="25">
        <f t="shared" si="48"/>
        <v>-2.9999999999290599</v>
      </c>
      <c r="G22" s="26">
        <f t="shared" si="49"/>
        <v>5.0000000044292399E-2</v>
      </c>
      <c r="H22" s="6">
        <v>6.6891000000000096</v>
      </c>
      <c r="I22" s="35">
        <f t="shared" si="50"/>
        <v>798.49540000000002</v>
      </c>
      <c r="J22" s="24">
        <f t="shared" si="51"/>
        <v>-0.29999999992469401</v>
      </c>
      <c r="K22" s="25">
        <f t="shared" si="52"/>
        <v>-2.8999999999541601</v>
      </c>
      <c r="L22" s="26">
        <f t="shared" si="53"/>
        <v>-0.149999999962347</v>
      </c>
      <c r="M22" s="6">
        <v>5.9718000000000098</v>
      </c>
      <c r="N22" s="35">
        <f t="shared" si="54"/>
        <v>797.77809999999999</v>
      </c>
      <c r="O22" s="24">
        <f t="shared" si="55"/>
        <v>-0.69999999993797202</v>
      </c>
      <c r="P22" s="25">
        <f t="shared" si="56"/>
        <v>-2.9999999999290599</v>
      </c>
      <c r="Q22" s="26">
        <f t="shared" si="57"/>
        <v>-0.34999999996898601</v>
      </c>
      <c r="R22" s="41"/>
      <c r="S22" s="21">
        <f t="shared" si="35"/>
        <v>44898</v>
      </c>
      <c r="T22" s="42">
        <v>9.0081000000000007</v>
      </c>
      <c r="U22" s="43">
        <f t="shared" si="36"/>
        <v>-9.9999999989108801E-2</v>
      </c>
      <c r="V22" s="44">
        <f t="shared" si="37"/>
        <v>-2.59999999999927</v>
      </c>
      <c r="W22" s="45">
        <f t="shared" si="38"/>
        <v>4.99999999945544E-2</v>
      </c>
      <c r="X22" s="29">
        <v>12.1135</v>
      </c>
      <c r="Y22" s="43">
        <f t="shared" si="39"/>
        <v>-0.29999999999930099</v>
      </c>
      <c r="Z22" s="44">
        <f t="shared" si="40"/>
        <v>-2.8000000000005798</v>
      </c>
      <c r="AA22" s="45">
        <f t="shared" si="41"/>
        <v>-0.14999999999965</v>
      </c>
      <c r="AB22" s="49">
        <v>8.4493999999999794</v>
      </c>
      <c r="AC22" s="43">
        <f t="shared" si="42"/>
        <v>-0.200000000010192</v>
      </c>
      <c r="AD22" s="44">
        <f t="shared" si="43"/>
        <v>-3.1000000000212</v>
      </c>
      <c r="AE22" s="45">
        <f t="shared" si="44"/>
        <v>-0.100000000005096</v>
      </c>
      <c r="AF22" s="50">
        <v>80496</v>
      </c>
      <c r="AG22" s="58">
        <f t="shared" si="45"/>
        <v>15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44900</v>
      </c>
      <c r="B23" s="22">
        <v>791.80629999999996</v>
      </c>
      <c r="C23" s="27">
        <v>5.6846000000000103</v>
      </c>
      <c r="D23" s="23">
        <f t="shared" si="46"/>
        <v>797.49090000000001</v>
      </c>
      <c r="E23" s="24">
        <f t="shared" si="47"/>
        <v>-0.49999999998817701</v>
      </c>
      <c r="F23" s="25">
        <f t="shared" si="48"/>
        <v>-3.49999999991724</v>
      </c>
      <c r="G23" s="26">
        <f t="shared" si="49"/>
        <v>-0.24999999999408801</v>
      </c>
      <c r="H23" s="6">
        <v>6.6889000000000101</v>
      </c>
      <c r="I23" s="35">
        <f t="shared" si="50"/>
        <v>798.49519999999995</v>
      </c>
      <c r="J23" s="24">
        <f t="shared" si="51"/>
        <v>-0.20000000006348301</v>
      </c>
      <c r="K23" s="25">
        <f t="shared" si="52"/>
        <v>-3.1000000000176402</v>
      </c>
      <c r="L23" s="26">
        <f t="shared" si="53"/>
        <v>-0.100000000031741</v>
      </c>
      <c r="M23" s="6">
        <v>5.9714999999999998</v>
      </c>
      <c r="N23" s="35">
        <f t="shared" si="54"/>
        <v>797.77779999999996</v>
      </c>
      <c r="O23" s="24">
        <f t="shared" si="55"/>
        <v>-0.30000000003838101</v>
      </c>
      <c r="P23" s="25">
        <f t="shared" si="56"/>
        <v>-3.2999999999674401</v>
      </c>
      <c r="Q23" s="26">
        <f t="shared" si="57"/>
        <v>-0.15000000001919001</v>
      </c>
      <c r="R23" s="41"/>
      <c r="S23" s="21">
        <f t="shared" si="35"/>
        <v>44900</v>
      </c>
      <c r="T23" s="42">
        <v>9.00779999999998</v>
      </c>
      <c r="U23" s="43">
        <f t="shared" si="36"/>
        <v>-0.300000000020617</v>
      </c>
      <c r="V23" s="44">
        <f t="shared" si="37"/>
        <v>-2.9000000000198898</v>
      </c>
      <c r="W23" s="45">
        <f t="shared" si="38"/>
        <v>0.150000000010309</v>
      </c>
      <c r="X23" s="29">
        <v>12.113300000000001</v>
      </c>
      <c r="Y23" s="43">
        <f t="shared" si="39"/>
        <v>-0.19999999999953399</v>
      </c>
      <c r="Z23" s="44">
        <f t="shared" si="40"/>
        <v>-3.0000000000001101</v>
      </c>
      <c r="AA23" s="45">
        <f t="shared" si="41"/>
        <v>-9.99999999997669E-2</v>
      </c>
      <c r="AB23" s="49">
        <v>8.4491999999999798</v>
      </c>
      <c r="AC23" s="43">
        <f t="shared" si="42"/>
        <v>-0.19999999999953399</v>
      </c>
      <c r="AD23" s="44">
        <f t="shared" si="43"/>
        <v>-3.3000000000207299</v>
      </c>
      <c r="AE23" s="45">
        <f t="shared" si="44"/>
        <v>-9.99999999997669E-2</v>
      </c>
      <c r="AF23" s="50">
        <v>80496</v>
      </c>
      <c r="AG23" s="58">
        <f t="shared" si="45"/>
        <v>15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44905</v>
      </c>
      <c r="B24" s="22">
        <v>791.80629999999996</v>
      </c>
      <c r="C24" s="27">
        <v>5.6844000000000099</v>
      </c>
      <c r="D24" s="23">
        <f t="shared" si="46"/>
        <v>797.49069999999995</v>
      </c>
      <c r="E24" s="24">
        <f t="shared" si="47"/>
        <v>-0.20000000006348301</v>
      </c>
      <c r="F24" s="25">
        <f t="shared" si="48"/>
        <v>-3.69999999998072</v>
      </c>
      <c r="G24" s="26">
        <f t="shared" si="49"/>
        <v>-4.0000000012696497E-2</v>
      </c>
      <c r="H24" s="6">
        <v>6.6887000000000096</v>
      </c>
      <c r="I24" s="35">
        <f t="shared" si="50"/>
        <v>798.495</v>
      </c>
      <c r="J24" s="24">
        <f t="shared" si="51"/>
        <v>-0.199999999949796</v>
      </c>
      <c r="K24" s="25">
        <f t="shared" si="52"/>
        <v>-3.2999999999674401</v>
      </c>
      <c r="L24" s="26">
        <f t="shared" si="53"/>
        <v>-3.9999999989959199E-2</v>
      </c>
      <c r="M24" s="6">
        <v>5.9714000000000098</v>
      </c>
      <c r="N24" s="35">
        <f t="shared" si="54"/>
        <v>797.77769999999998</v>
      </c>
      <c r="O24" s="24">
        <f t="shared" si="55"/>
        <v>-9.9999999974897905E-2</v>
      </c>
      <c r="P24" s="25">
        <f t="shared" si="56"/>
        <v>-3.3999999999423398</v>
      </c>
      <c r="Q24" s="26">
        <f t="shared" si="57"/>
        <v>-1.99999999949796E-2</v>
      </c>
      <c r="R24" s="41"/>
      <c r="S24" s="21">
        <f t="shared" si="35"/>
        <v>44905</v>
      </c>
      <c r="T24" s="42">
        <v>9.0077999999999996</v>
      </c>
      <c r="U24" s="43">
        <f t="shared" si="36"/>
        <v>1.95399252334028E-11</v>
      </c>
      <c r="V24" s="44">
        <f t="shared" si="37"/>
        <v>-2.9000000000003499</v>
      </c>
      <c r="W24" s="45">
        <f t="shared" si="38"/>
        <v>-3.9079850466805502E-12</v>
      </c>
      <c r="X24" s="29">
        <v>12.113099999999999</v>
      </c>
      <c r="Y24" s="43">
        <f t="shared" si="39"/>
        <v>-0.20000000000130999</v>
      </c>
      <c r="Z24" s="44">
        <f t="shared" si="40"/>
        <v>-3.2000000000014199</v>
      </c>
      <c r="AA24" s="45">
        <f t="shared" si="41"/>
        <v>-4.0000000000262E-2</v>
      </c>
      <c r="AB24" s="49">
        <v>8.4492999999999991</v>
      </c>
      <c r="AC24" s="43">
        <f t="shared" si="42"/>
        <v>0.10000000001930701</v>
      </c>
      <c r="AD24" s="44">
        <f t="shared" si="43"/>
        <v>-3.2000000000014199</v>
      </c>
      <c r="AE24" s="45">
        <f t="shared" si="44"/>
        <v>2.0000000003861401E-2</v>
      </c>
      <c r="AF24" s="50">
        <v>80496</v>
      </c>
      <c r="AG24" s="58">
        <f t="shared" si="45"/>
        <v>15</v>
      </c>
      <c r="AH24" s="59"/>
      <c r="AI24" s="60"/>
      <c r="AJ24" s="52"/>
      <c r="AK24" s="52"/>
      <c r="AL24" s="52"/>
      <c r="AM24" s="52"/>
    </row>
    <row r="25" spans="1:48">
      <c r="A25" s="21">
        <v>44910</v>
      </c>
      <c r="B25" s="22">
        <v>791.80629999999996</v>
      </c>
      <c r="C25" s="27">
        <v>5.6844999999999999</v>
      </c>
      <c r="D25" s="23">
        <f t="shared" si="46"/>
        <v>797.49080000000004</v>
      </c>
      <c r="E25" s="24">
        <f t="shared" si="47"/>
        <v>9.9999999974897905E-2</v>
      </c>
      <c r="F25" s="25">
        <f t="shared" si="48"/>
        <v>-3.6000000000058199</v>
      </c>
      <c r="G25" s="26">
        <f t="shared" si="49"/>
        <v>1.99999999949796E-2</v>
      </c>
      <c r="H25" s="6">
        <v>6.6886999999999999</v>
      </c>
      <c r="I25" s="35">
        <f t="shared" si="50"/>
        <v>798.495</v>
      </c>
      <c r="J25" s="24">
        <f t="shared" si="51"/>
        <v>0</v>
      </c>
      <c r="K25" s="25">
        <f t="shared" si="52"/>
        <v>-3.2999999999674401</v>
      </c>
      <c r="L25" s="26">
        <f t="shared" si="53"/>
        <v>0</v>
      </c>
      <c r="M25" s="6">
        <v>5.9712000000000103</v>
      </c>
      <c r="N25" s="35">
        <f t="shared" si="54"/>
        <v>797.77750000000003</v>
      </c>
      <c r="O25" s="24">
        <f t="shared" si="55"/>
        <v>-0.20000000006348301</v>
      </c>
      <c r="P25" s="25">
        <f t="shared" si="56"/>
        <v>-3.6000000000058199</v>
      </c>
      <c r="Q25" s="26">
        <f t="shared" si="57"/>
        <v>-4.0000000012696497E-2</v>
      </c>
      <c r="R25" s="41"/>
      <c r="S25" s="21">
        <f t="shared" si="35"/>
        <v>44910</v>
      </c>
      <c r="T25" s="42">
        <v>9.0073999999999792</v>
      </c>
      <c r="U25" s="43">
        <f t="shared" si="36"/>
        <v>-0.40000000002038399</v>
      </c>
      <c r="V25" s="44">
        <f t="shared" si="37"/>
        <v>-3.3000000000207299</v>
      </c>
      <c r="W25" s="45">
        <f t="shared" si="38"/>
        <v>8.0000000004076796E-2</v>
      </c>
      <c r="X25" s="29">
        <v>12.113200000000001</v>
      </c>
      <c r="Y25" s="43">
        <f t="shared" si="39"/>
        <v>0.10000000000154299</v>
      </c>
      <c r="Z25" s="44">
        <f t="shared" si="40"/>
        <v>-3.0999999999998802</v>
      </c>
      <c r="AA25" s="45">
        <f t="shared" si="41"/>
        <v>2.0000000000308701E-2</v>
      </c>
      <c r="AB25" s="49">
        <v>8.4487999999999808</v>
      </c>
      <c r="AC25" s="43">
        <f t="shared" si="42"/>
        <v>-0.50000000001837497</v>
      </c>
      <c r="AD25" s="44">
        <f t="shared" si="43"/>
        <v>-3.7000000000197999</v>
      </c>
      <c r="AE25" s="45">
        <f t="shared" si="44"/>
        <v>-0.100000000003675</v>
      </c>
      <c r="AF25" s="50">
        <v>80496</v>
      </c>
      <c r="AG25" s="58">
        <f t="shared" si="45"/>
        <v>15</v>
      </c>
      <c r="AH25" s="61"/>
      <c r="AI25" s="60"/>
      <c r="AJ25" s="52"/>
      <c r="AK25" s="52"/>
      <c r="AL25" s="52"/>
      <c r="AM25" s="52"/>
    </row>
    <row r="26" spans="1:48">
      <c r="A26" s="21">
        <v>44915</v>
      </c>
      <c r="B26" s="22">
        <v>791.80629999999996</v>
      </c>
      <c r="C26" s="27">
        <v>5.6845999999999997</v>
      </c>
      <c r="D26" s="23">
        <f t="shared" si="46"/>
        <v>797.49090000000001</v>
      </c>
      <c r="E26" s="24">
        <f t="shared" si="47"/>
        <v>0.10000000008858501</v>
      </c>
      <c r="F26" s="25">
        <f t="shared" si="48"/>
        <v>-3.49999999991724</v>
      </c>
      <c r="G26" s="26">
        <f t="shared" si="49"/>
        <v>2.0000000017716998E-2</v>
      </c>
      <c r="H26" s="6">
        <v>6.6889000000000003</v>
      </c>
      <c r="I26" s="35">
        <f t="shared" si="50"/>
        <v>798.49519999999995</v>
      </c>
      <c r="J26" s="24">
        <f t="shared" si="51"/>
        <v>0.199999999949796</v>
      </c>
      <c r="K26" s="25">
        <f t="shared" si="52"/>
        <v>-3.1000000000176402</v>
      </c>
      <c r="L26" s="26">
        <f t="shared" si="53"/>
        <v>3.9999999989959199E-2</v>
      </c>
      <c r="M26" s="6">
        <v>5.9714999999999998</v>
      </c>
      <c r="N26" s="35">
        <f t="shared" si="54"/>
        <v>797.77779999999996</v>
      </c>
      <c r="O26" s="24">
        <f t="shared" si="55"/>
        <v>0.30000000003838101</v>
      </c>
      <c r="P26" s="25">
        <f t="shared" si="56"/>
        <v>-3.2999999999674401</v>
      </c>
      <c r="Q26" s="26">
        <f t="shared" si="57"/>
        <v>6.0000000007676101E-2</v>
      </c>
      <c r="R26" s="41"/>
      <c r="S26" s="21">
        <f t="shared" si="35"/>
        <v>44915</v>
      </c>
      <c r="T26" s="42">
        <v>9.0073000000000008</v>
      </c>
      <c r="U26" s="43">
        <f t="shared" si="36"/>
        <v>-9.9999999978450702E-2</v>
      </c>
      <c r="V26" s="44">
        <f t="shared" si="37"/>
        <v>-3.3999999999991801</v>
      </c>
      <c r="W26" s="45">
        <f t="shared" si="38"/>
        <v>1.9999999995690101E-2</v>
      </c>
      <c r="X26" s="29">
        <v>12.1134</v>
      </c>
      <c r="Y26" s="43">
        <f t="shared" si="39"/>
        <v>0.19999999999953399</v>
      </c>
      <c r="Z26" s="44">
        <f t="shared" si="40"/>
        <v>-2.9000000000003499</v>
      </c>
      <c r="AA26" s="45">
        <f t="shared" si="41"/>
        <v>3.9999999999906798E-2</v>
      </c>
      <c r="AB26" s="49">
        <v>8.4489000000000001</v>
      </c>
      <c r="AC26" s="43">
        <f t="shared" si="42"/>
        <v>0.10000000001930701</v>
      </c>
      <c r="AD26" s="44">
        <f t="shared" si="43"/>
        <v>-3.6000000000004899</v>
      </c>
      <c r="AE26" s="45">
        <f t="shared" si="44"/>
        <v>2.0000000003861401E-2</v>
      </c>
      <c r="AF26" s="50">
        <v>80496</v>
      </c>
      <c r="AG26" s="58">
        <f t="shared" si="45"/>
        <v>15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24"/>
      <c r="F27" s="25"/>
      <c r="G27" s="26"/>
      <c r="I27" s="35"/>
      <c r="J27" s="24"/>
      <c r="K27" s="25"/>
      <c r="L27" s="26"/>
      <c r="N27" s="35"/>
      <c r="O27" s="24"/>
      <c r="P27" s="25"/>
      <c r="Q27" s="26"/>
      <c r="R27" s="41"/>
      <c r="S27" s="21"/>
      <c r="T27" s="42"/>
      <c r="U27" s="43"/>
      <c r="V27" s="44"/>
      <c r="W27" s="45"/>
      <c r="X27" s="29"/>
      <c r="Y27" s="43"/>
      <c r="Z27" s="44"/>
      <c r="AA27" s="45"/>
      <c r="AB27" s="49"/>
      <c r="AC27" s="43"/>
      <c r="AD27" s="44"/>
      <c r="AE27" s="45"/>
      <c r="AF27" s="50"/>
      <c r="AG27" s="58"/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R26" workbookViewId="0">
      <selection activeCell="U28" sqref="U28:AA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44903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44903</v>
      </c>
      <c r="B6" s="22">
        <v>791.80629999999996</v>
      </c>
      <c r="C6" s="27">
        <v>5.8472999999999997</v>
      </c>
      <c r="D6" s="23">
        <f t="shared" ref="D6:D20" si="0">C6+B6</f>
        <v>797.65359999999998</v>
      </c>
      <c r="E6" s="24">
        <v>0</v>
      </c>
      <c r="F6" s="25">
        <v>0</v>
      </c>
      <c r="G6" s="26">
        <v>0</v>
      </c>
      <c r="H6" s="6">
        <v>6.7979000000000003</v>
      </c>
      <c r="I6" s="35">
        <f t="shared" ref="I6:I20" si="1">H6+B6</f>
        <v>798.60419999999999</v>
      </c>
      <c r="J6" s="24">
        <v>0</v>
      </c>
      <c r="K6" s="25">
        <v>0</v>
      </c>
      <c r="L6" s="26">
        <v>0</v>
      </c>
      <c r="M6" s="6">
        <v>5.8013000000000003</v>
      </c>
      <c r="N6" s="35">
        <f t="shared" ref="N6:N20" si="2">M6+B6</f>
        <v>797.60760000000005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44903</v>
      </c>
      <c r="T6" s="42">
        <v>9.0106999999999999</v>
      </c>
      <c r="U6" s="43">
        <v>0</v>
      </c>
      <c r="V6" s="44">
        <v>0</v>
      </c>
      <c r="W6" s="45">
        <f>U6/(S6-S11)</f>
        <v>0</v>
      </c>
      <c r="X6" s="29">
        <v>12.116300000000001</v>
      </c>
      <c r="Y6" s="43">
        <v>0</v>
      </c>
      <c r="Z6" s="44">
        <v>0</v>
      </c>
      <c r="AA6" s="45">
        <v>0</v>
      </c>
      <c r="AB6" s="49">
        <v>8.4525000000000006</v>
      </c>
      <c r="AC6" s="43">
        <v>0</v>
      </c>
      <c r="AD6" s="44">
        <v>0</v>
      </c>
      <c r="AE6" s="45">
        <v>0</v>
      </c>
      <c r="AF6" s="50">
        <v>80520</v>
      </c>
      <c r="AG6" s="58">
        <f>AF6-80516</f>
        <v>4</v>
      </c>
      <c r="AH6" s="59"/>
      <c r="AI6" s="60"/>
      <c r="AJ6" s="61"/>
      <c r="AK6" s="62"/>
      <c r="AL6" s="52"/>
      <c r="AM6" s="52"/>
    </row>
    <row r="7" spans="1:48">
      <c r="A7" s="21">
        <v>44904</v>
      </c>
      <c r="B7" s="22">
        <v>791.80629999999996</v>
      </c>
      <c r="C7" s="27">
        <v>5.8475000000000001</v>
      </c>
      <c r="D7" s="23">
        <f t="shared" si="0"/>
        <v>797.65380000000005</v>
      </c>
      <c r="E7" s="24">
        <f t="shared" ref="E7:E20" si="4">(D7-D6)*1000</f>
        <v>0.199999999949796</v>
      </c>
      <c r="F7" s="25">
        <f t="shared" ref="F7:F20" si="5">F6+E7</f>
        <v>0.199999999949796</v>
      </c>
      <c r="G7" s="26">
        <f t="shared" ref="G7:G20" si="6">E7/(A7-A6)</f>
        <v>0.199999999949796</v>
      </c>
      <c r="H7" s="6">
        <v>6.7972999999999999</v>
      </c>
      <c r="I7" s="35">
        <f t="shared" si="1"/>
        <v>798.60360000000003</v>
      </c>
      <c r="J7" s="24">
        <f t="shared" ref="J7:J20" si="7">(I7-I6)*1000</f>
        <v>-0.60000000007676102</v>
      </c>
      <c r="K7" s="25">
        <f t="shared" ref="K7:K20" si="8">K6+J7</f>
        <v>-0.60000000007676102</v>
      </c>
      <c r="L7" s="26">
        <f t="shared" ref="L7:L20" si="9">J7/(A7-A6)</f>
        <v>-0.60000000007676102</v>
      </c>
      <c r="M7" s="6">
        <v>5.8011999999999997</v>
      </c>
      <c r="N7" s="35">
        <f t="shared" si="2"/>
        <v>797.60749999999996</v>
      </c>
      <c r="O7" s="24">
        <f t="shared" ref="O7:O20" si="10">(N7-N6)*1000</f>
        <v>-9.9999999974897905E-2</v>
      </c>
      <c r="P7" s="25">
        <f t="shared" ref="P7:P20" si="11">P6+O7</f>
        <v>-9.9999999974897905E-2</v>
      </c>
      <c r="Q7" s="26">
        <f t="shared" ref="Q7:Q20" si="12">O7/(A7-A6)</f>
        <v>-9.9999999974897905E-2</v>
      </c>
      <c r="R7" s="41"/>
      <c r="S7" s="21">
        <f t="shared" si="3"/>
        <v>44904</v>
      </c>
      <c r="T7" s="42">
        <v>9.0107999999999997</v>
      </c>
      <c r="U7" s="43">
        <f t="shared" ref="U7:U18" si="13">(T7-T6)*1000</f>
        <v>9.99999999997669E-2</v>
      </c>
      <c r="V7" s="44">
        <f t="shared" ref="V7:V18" si="14">V6+U7</f>
        <v>9.99999999997669E-2</v>
      </c>
      <c r="W7" s="45">
        <f t="shared" ref="W7:W18" si="15">U7/(S6-S7)</f>
        <v>-9.99999999997669E-2</v>
      </c>
      <c r="X7" s="29">
        <v>12.116199999999999</v>
      </c>
      <c r="Y7" s="43">
        <f t="shared" ref="Y7:Y18" si="16">(X7-X6)*1000</f>
        <v>-0.10000000000154299</v>
      </c>
      <c r="Z7" s="44">
        <f t="shared" ref="Z7:Z18" si="17">Z6+Y7</f>
        <v>-0.10000000000154299</v>
      </c>
      <c r="AA7" s="45">
        <f t="shared" ref="AA7:AA18" si="18">Y7/(S7-S6)</f>
        <v>-0.10000000000154299</v>
      </c>
      <c r="AB7" s="49">
        <v>8.4522999999999993</v>
      </c>
      <c r="AC7" s="43">
        <f t="shared" ref="AC7:AC18" si="19">(AB7-AB6)*1000</f>
        <v>-0.20000000000130999</v>
      </c>
      <c r="AD7" s="44">
        <f t="shared" ref="AD7:AD18" si="20">AD6+AC7</f>
        <v>-0.20000000000130999</v>
      </c>
      <c r="AE7" s="45">
        <f t="shared" ref="AE7:AE18" si="21">AC7/(S7-S6)</f>
        <v>-0.20000000000130999</v>
      </c>
      <c r="AF7" s="50">
        <v>80523</v>
      </c>
      <c r="AG7" s="58">
        <f t="shared" ref="AG7:AG18" si="22">AF7-80516</f>
        <v>7</v>
      </c>
      <c r="AH7" s="59"/>
      <c r="AI7" s="60"/>
      <c r="AJ7" s="61"/>
      <c r="AK7" s="62"/>
      <c r="AL7" s="52"/>
      <c r="AM7" s="52"/>
    </row>
    <row r="8" spans="1:48">
      <c r="A8" s="21">
        <v>44905</v>
      </c>
      <c r="B8" s="22">
        <v>791.80629999999996</v>
      </c>
      <c r="C8" s="27">
        <v>5.8472</v>
      </c>
      <c r="D8" s="23">
        <f t="shared" si="0"/>
        <v>797.65350000000001</v>
      </c>
      <c r="E8" s="24">
        <f t="shared" si="4"/>
        <v>-0.29999999992469401</v>
      </c>
      <c r="F8" s="25">
        <f t="shared" si="5"/>
        <v>-9.9999999974897905E-2</v>
      </c>
      <c r="G8" s="26">
        <f t="shared" si="6"/>
        <v>-0.29999999992469401</v>
      </c>
      <c r="H8" s="6">
        <v>6.7973999999999997</v>
      </c>
      <c r="I8" s="35">
        <f t="shared" si="1"/>
        <v>798.6037</v>
      </c>
      <c r="J8" s="24">
        <f t="shared" si="7"/>
        <v>0.10000000008858501</v>
      </c>
      <c r="K8" s="25">
        <f t="shared" si="8"/>
        <v>-0.49999999998817701</v>
      </c>
      <c r="L8" s="26">
        <f t="shared" si="9"/>
        <v>0.10000000008858501</v>
      </c>
      <c r="M8" s="6">
        <v>5.8010000000000002</v>
      </c>
      <c r="N8" s="35">
        <f t="shared" si="2"/>
        <v>797.60730000000001</v>
      </c>
      <c r="O8" s="24">
        <f t="shared" si="10"/>
        <v>-0.199999999949796</v>
      </c>
      <c r="P8" s="25">
        <f t="shared" si="11"/>
        <v>-0.29999999992469401</v>
      </c>
      <c r="Q8" s="26">
        <f t="shared" si="12"/>
        <v>-0.199999999949796</v>
      </c>
      <c r="R8" s="41"/>
      <c r="S8" s="21">
        <f t="shared" si="3"/>
        <v>44905</v>
      </c>
      <c r="T8" s="42">
        <v>9.0101999999999993</v>
      </c>
      <c r="U8" s="43">
        <f t="shared" si="13"/>
        <v>-0.60000000000037801</v>
      </c>
      <c r="V8" s="44">
        <f t="shared" si="14"/>
        <v>-0.50000000000061096</v>
      </c>
      <c r="W8" s="45">
        <f t="shared" si="15"/>
        <v>0.60000000000037801</v>
      </c>
      <c r="X8" s="29">
        <v>12.116</v>
      </c>
      <c r="Y8" s="43">
        <f t="shared" si="16"/>
        <v>-0.19999999999953399</v>
      </c>
      <c r="Z8" s="44">
        <f t="shared" si="17"/>
        <v>-0.30000000000107702</v>
      </c>
      <c r="AA8" s="45">
        <f t="shared" si="18"/>
        <v>-0.19999999999953399</v>
      </c>
      <c r="AB8" s="49">
        <v>8.4520999999999997</v>
      </c>
      <c r="AC8" s="43">
        <f t="shared" si="19"/>
        <v>-0.19999999999953399</v>
      </c>
      <c r="AD8" s="44">
        <f t="shared" si="20"/>
        <v>-0.40000000000084401</v>
      </c>
      <c r="AE8" s="45">
        <f t="shared" si="21"/>
        <v>-0.19999999999953399</v>
      </c>
      <c r="AF8" s="50">
        <v>80526</v>
      </c>
      <c r="AG8" s="58">
        <f t="shared" si="22"/>
        <v>10</v>
      </c>
      <c r="AH8" s="59"/>
      <c r="AI8" s="60"/>
      <c r="AJ8" s="61"/>
      <c r="AK8" s="62"/>
      <c r="AL8" s="52"/>
      <c r="AM8" s="52"/>
    </row>
    <row r="9" spans="1:48">
      <c r="A9" s="21">
        <v>44906</v>
      </c>
      <c r="B9" s="22">
        <v>791.80629999999996</v>
      </c>
      <c r="C9" s="27">
        <v>5.8470000000000004</v>
      </c>
      <c r="D9" s="23">
        <f t="shared" si="0"/>
        <v>797.65329999999994</v>
      </c>
      <c r="E9" s="24">
        <f t="shared" si="4"/>
        <v>-0.20000000006348301</v>
      </c>
      <c r="F9" s="25">
        <f t="shared" si="5"/>
        <v>-0.30000000003838101</v>
      </c>
      <c r="G9" s="26">
        <f t="shared" si="6"/>
        <v>-0.20000000006348301</v>
      </c>
      <c r="H9" s="6">
        <v>6.7972000000000001</v>
      </c>
      <c r="I9" s="35">
        <f t="shared" si="1"/>
        <v>798.60350000000005</v>
      </c>
      <c r="J9" s="24">
        <f t="shared" si="7"/>
        <v>-0.20000000006348301</v>
      </c>
      <c r="K9" s="25">
        <f t="shared" si="8"/>
        <v>-0.70000000005165897</v>
      </c>
      <c r="L9" s="26">
        <f t="shared" si="9"/>
        <v>-0.20000000006348301</v>
      </c>
      <c r="M9" s="6">
        <v>5.8007999999999997</v>
      </c>
      <c r="N9" s="35">
        <f t="shared" si="2"/>
        <v>797.60709999999995</v>
      </c>
      <c r="O9" s="24">
        <f t="shared" si="10"/>
        <v>-0.20000000006348301</v>
      </c>
      <c r="P9" s="25">
        <f t="shared" si="11"/>
        <v>-0.49999999998817701</v>
      </c>
      <c r="Q9" s="26">
        <f t="shared" si="12"/>
        <v>-0.20000000006348301</v>
      </c>
      <c r="R9" s="41"/>
      <c r="S9" s="21">
        <f t="shared" si="3"/>
        <v>44906</v>
      </c>
      <c r="T9" s="42">
        <v>9.0105000000000004</v>
      </c>
      <c r="U9" s="43">
        <f t="shared" si="13"/>
        <v>0.30000000000107702</v>
      </c>
      <c r="V9" s="44">
        <f t="shared" si="14"/>
        <v>-0.19999999999953399</v>
      </c>
      <c r="W9" s="45">
        <f t="shared" si="15"/>
        <v>-0.30000000000107702</v>
      </c>
      <c r="X9" s="29">
        <v>12.1158</v>
      </c>
      <c r="Y9" s="43">
        <f t="shared" si="16"/>
        <v>-0.19999999999953399</v>
      </c>
      <c r="Z9" s="44">
        <f t="shared" si="17"/>
        <v>-0.50000000000061096</v>
      </c>
      <c r="AA9" s="45">
        <f t="shared" si="18"/>
        <v>-0.19999999999953399</v>
      </c>
      <c r="AB9" s="49">
        <v>8.452</v>
      </c>
      <c r="AC9" s="43">
        <f t="shared" si="19"/>
        <v>-9.99999999997669E-2</v>
      </c>
      <c r="AD9" s="44">
        <f t="shared" si="20"/>
        <v>-0.50000000000061096</v>
      </c>
      <c r="AE9" s="45">
        <f t="shared" si="21"/>
        <v>-9.99999999997669E-2</v>
      </c>
      <c r="AF9" s="50">
        <v>80529</v>
      </c>
      <c r="AG9" s="58">
        <f t="shared" si="22"/>
        <v>13</v>
      </c>
      <c r="AH9" s="61"/>
      <c r="AI9" s="60"/>
      <c r="AJ9"/>
      <c r="AK9"/>
      <c r="AL9"/>
      <c r="AM9"/>
    </row>
    <row r="10" spans="1:48">
      <c r="A10" s="21">
        <v>44907</v>
      </c>
      <c r="B10" s="22">
        <v>791.80629999999996</v>
      </c>
      <c r="C10" s="27">
        <v>5.8471000000000002</v>
      </c>
      <c r="D10" s="23">
        <f t="shared" si="0"/>
        <v>797.65340000000003</v>
      </c>
      <c r="E10" s="24">
        <f t="shared" si="4"/>
        <v>9.9999999974897905E-2</v>
      </c>
      <c r="F10" s="25">
        <f t="shared" si="5"/>
        <v>-0.20000000006348301</v>
      </c>
      <c r="G10" s="26">
        <f t="shared" si="6"/>
        <v>9.9999999974897905E-2</v>
      </c>
      <c r="H10" s="6">
        <v>6.7969999999999997</v>
      </c>
      <c r="I10" s="35">
        <f t="shared" si="1"/>
        <v>798.60329999999999</v>
      </c>
      <c r="J10" s="24">
        <f t="shared" si="7"/>
        <v>-0.199999999949796</v>
      </c>
      <c r="K10" s="25">
        <f t="shared" si="8"/>
        <v>-0.90000000000145497</v>
      </c>
      <c r="L10" s="26">
        <f t="shared" si="9"/>
        <v>-0.199999999949796</v>
      </c>
      <c r="M10" s="6">
        <v>5.8009000000000004</v>
      </c>
      <c r="N10" s="35">
        <f t="shared" si="2"/>
        <v>797.60720000000003</v>
      </c>
      <c r="O10" s="24">
        <f t="shared" si="10"/>
        <v>9.9999999974897905E-2</v>
      </c>
      <c r="P10" s="25">
        <f t="shared" si="11"/>
        <v>-0.40000000001327901</v>
      </c>
      <c r="Q10" s="26">
        <f t="shared" si="12"/>
        <v>9.9999999974897905E-2</v>
      </c>
      <c r="R10" s="41"/>
      <c r="S10" s="21">
        <f t="shared" si="3"/>
        <v>44907</v>
      </c>
      <c r="T10" s="42">
        <v>9.0104000000000006</v>
      </c>
      <c r="U10" s="43">
        <f t="shared" si="13"/>
        <v>-9.99999999997669E-2</v>
      </c>
      <c r="V10" s="44">
        <f t="shared" si="14"/>
        <v>-0.29999999999930099</v>
      </c>
      <c r="W10" s="45">
        <f t="shared" si="15"/>
        <v>9.99999999997669E-2</v>
      </c>
      <c r="X10" s="29">
        <v>12.1159</v>
      </c>
      <c r="Y10" s="43">
        <f t="shared" si="16"/>
        <v>9.99999999997669E-2</v>
      </c>
      <c r="Z10" s="44">
        <f t="shared" si="17"/>
        <v>-0.40000000000084401</v>
      </c>
      <c r="AA10" s="45">
        <f t="shared" si="18"/>
        <v>9.99999999997669E-2</v>
      </c>
      <c r="AB10" s="49">
        <v>8.4518000000000004</v>
      </c>
      <c r="AC10" s="43">
        <f t="shared" si="19"/>
        <v>-0.19999999999953399</v>
      </c>
      <c r="AD10" s="44">
        <f t="shared" si="20"/>
        <v>-0.70000000000014495</v>
      </c>
      <c r="AE10" s="45">
        <f t="shared" si="21"/>
        <v>-0.19999999999953399</v>
      </c>
      <c r="AF10" s="50">
        <v>80532</v>
      </c>
      <c r="AG10" s="58">
        <f t="shared" si="22"/>
        <v>16</v>
      </c>
      <c r="AH10" s="59"/>
      <c r="AI10" s="60"/>
      <c r="AJ10" s="61"/>
      <c r="AK10" s="62"/>
      <c r="AL10" s="52"/>
      <c r="AM10" s="52"/>
    </row>
    <row r="11" spans="1:48">
      <c r="A11" s="21">
        <v>44908</v>
      </c>
      <c r="B11" s="22">
        <v>791.80629999999996</v>
      </c>
      <c r="C11" s="27">
        <v>5.8465999999999996</v>
      </c>
      <c r="D11" s="23">
        <f t="shared" si="0"/>
        <v>797.65290000000005</v>
      </c>
      <c r="E11" s="24">
        <f t="shared" si="4"/>
        <v>-0.49999999998817701</v>
      </c>
      <c r="F11" s="25">
        <f t="shared" si="5"/>
        <v>-0.70000000005165897</v>
      </c>
      <c r="G11" s="26">
        <f t="shared" si="6"/>
        <v>-0.49999999998817701</v>
      </c>
      <c r="H11" s="6">
        <v>6.7971000000000004</v>
      </c>
      <c r="I11" s="35">
        <f t="shared" si="1"/>
        <v>798.60339999999997</v>
      </c>
      <c r="J11" s="24">
        <f t="shared" si="7"/>
        <v>9.9999999974897905E-2</v>
      </c>
      <c r="K11" s="25">
        <f t="shared" si="8"/>
        <v>-0.80000000002655702</v>
      </c>
      <c r="L11" s="26">
        <f t="shared" si="9"/>
        <v>9.9999999974897905E-2</v>
      </c>
      <c r="M11" s="6">
        <v>5.8003999999999998</v>
      </c>
      <c r="N11" s="35">
        <f t="shared" si="2"/>
        <v>797.60670000000005</v>
      </c>
      <c r="O11" s="24">
        <f t="shared" si="10"/>
        <v>-0.49999999998817701</v>
      </c>
      <c r="P11" s="25">
        <f t="shared" si="11"/>
        <v>-0.90000000000145497</v>
      </c>
      <c r="Q11" s="26">
        <f t="shared" si="12"/>
        <v>-0.49999999998817701</v>
      </c>
      <c r="R11" s="41"/>
      <c r="S11" s="21">
        <f t="shared" si="3"/>
        <v>44908</v>
      </c>
      <c r="T11" s="42">
        <v>9.0101999999999993</v>
      </c>
      <c r="U11" s="43">
        <f t="shared" si="13"/>
        <v>-0.20000000000130999</v>
      </c>
      <c r="V11" s="44">
        <f t="shared" si="14"/>
        <v>-0.50000000000061096</v>
      </c>
      <c r="W11" s="45">
        <f t="shared" si="15"/>
        <v>0.20000000000130999</v>
      </c>
      <c r="X11" s="29">
        <v>12.1157</v>
      </c>
      <c r="Y11" s="43">
        <f t="shared" si="16"/>
        <v>-0.19999999999953399</v>
      </c>
      <c r="Z11" s="44">
        <f t="shared" si="17"/>
        <v>-0.60000000000037801</v>
      </c>
      <c r="AA11" s="45">
        <f t="shared" si="18"/>
        <v>-0.19999999999953399</v>
      </c>
      <c r="AB11" s="49">
        <v>8.4514999999999993</v>
      </c>
      <c r="AC11" s="43">
        <f t="shared" si="19"/>
        <v>-0.30000000000107702</v>
      </c>
      <c r="AD11" s="44">
        <f t="shared" si="20"/>
        <v>-1.0000000000012199</v>
      </c>
      <c r="AE11" s="45">
        <f t="shared" si="21"/>
        <v>-0.30000000000107702</v>
      </c>
      <c r="AF11" s="50">
        <v>80535</v>
      </c>
      <c r="AG11" s="58">
        <f t="shared" si="22"/>
        <v>19</v>
      </c>
      <c r="AH11" s="61"/>
      <c r="AI11" s="60"/>
      <c r="AJ11"/>
      <c r="AK11"/>
      <c r="AL11"/>
      <c r="AM11"/>
    </row>
    <row r="12" spans="1:48">
      <c r="A12" s="21">
        <v>44909</v>
      </c>
      <c r="B12" s="22">
        <v>791.80629999999996</v>
      </c>
      <c r="C12" s="27">
        <v>5.8464</v>
      </c>
      <c r="D12" s="23">
        <f t="shared" si="0"/>
        <v>797.65269999999998</v>
      </c>
      <c r="E12" s="24">
        <f t="shared" si="4"/>
        <v>-0.199999999949796</v>
      </c>
      <c r="F12" s="25">
        <f t="shared" si="5"/>
        <v>-0.90000000000145497</v>
      </c>
      <c r="G12" s="26">
        <f t="shared" si="6"/>
        <v>-0.199999999949796</v>
      </c>
      <c r="H12" s="6">
        <v>6.7965999999999998</v>
      </c>
      <c r="I12" s="35">
        <f t="shared" si="1"/>
        <v>798.60289999999998</v>
      </c>
      <c r="J12" s="24">
        <f t="shared" si="7"/>
        <v>-0.49999999998817701</v>
      </c>
      <c r="K12" s="25">
        <f t="shared" si="8"/>
        <v>-1.30000000001473</v>
      </c>
      <c r="L12" s="26">
        <f t="shared" si="9"/>
        <v>-0.49999999998817701</v>
      </c>
      <c r="M12" s="6">
        <v>5.8002000000000002</v>
      </c>
      <c r="N12" s="35">
        <f t="shared" si="2"/>
        <v>797.60649999999998</v>
      </c>
      <c r="O12" s="24">
        <f t="shared" si="10"/>
        <v>-0.199999999949796</v>
      </c>
      <c r="P12" s="25">
        <f t="shared" si="11"/>
        <v>-1.09999999995125</v>
      </c>
      <c r="Q12" s="26">
        <f t="shared" si="12"/>
        <v>-0.199999999949796</v>
      </c>
      <c r="R12" s="41"/>
      <c r="S12" s="21">
        <f t="shared" si="3"/>
        <v>44909</v>
      </c>
      <c r="T12" s="42">
        <v>9.01</v>
      </c>
      <c r="U12" s="43">
        <f t="shared" si="13"/>
        <v>-0.19999999999953399</v>
      </c>
      <c r="V12" s="44">
        <f t="shared" si="14"/>
        <v>-0.70000000000014495</v>
      </c>
      <c r="W12" s="45">
        <f t="shared" si="15"/>
        <v>0.19999999999953399</v>
      </c>
      <c r="X12" s="29">
        <v>12.115500000000001</v>
      </c>
      <c r="Y12" s="43">
        <f t="shared" si="16"/>
        <v>-0.19999999999953399</v>
      </c>
      <c r="Z12" s="44">
        <f t="shared" si="17"/>
        <v>-0.799999999999912</v>
      </c>
      <c r="AA12" s="45">
        <f t="shared" si="18"/>
        <v>-0.19999999999953399</v>
      </c>
      <c r="AB12" s="49">
        <v>8.4513999999999996</v>
      </c>
      <c r="AC12" s="43">
        <f t="shared" si="19"/>
        <v>-9.99999999997669E-2</v>
      </c>
      <c r="AD12" s="44">
        <f t="shared" si="20"/>
        <v>-1.10000000000099</v>
      </c>
      <c r="AE12" s="45">
        <f t="shared" si="21"/>
        <v>-9.99999999997669E-2</v>
      </c>
      <c r="AF12" s="50">
        <v>80538</v>
      </c>
      <c r="AG12" s="58">
        <f t="shared" si="22"/>
        <v>22</v>
      </c>
      <c r="AH12" s="61"/>
      <c r="AI12" s="60"/>
      <c r="AJ12"/>
      <c r="AK12"/>
      <c r="AL12"/>
      <c r="AM12"/>
    </row>
    <row r="13" spans="1:48">
      <c r="A13" s="21">
        <v>44910</v>
      </c>
      <c r="B13" s="22">
        <v>791.80629999999996</v>
      </c>
      <c r="C13" s="27">
        <v>5.8464999999999998</v>
      </c>
      <c r="D13" s="23">
        <f t="shared" si="0"/>
        <v>797.65279999999996</v>
      </c>
      <c r="E13" s="24">
        <f t="shared" si="4"/>
        <v>9.9999999974897905E-2</v>
      </c>
      <c r="F13" s="25">
        <f t="shared" si="5"/>
        <v>-0.80000000002655702</v>
      </c>
      <c r="G13" s="26">
        <f t="shared" si="6"/>
        <v>9.9999999974897905E-2</v>
      </c>
      <c r="H13" s="6">
        <v>6.7964000000000002</v>
      </c>
      <c r="I13" s="35">
        <f t="shared" si="1"/>
        <v>798.60270000000003</v>
      </c>
      <c r="J13" s="24">
        <f t="shared" si="7"/>
        <v>-0.20000000006348301</v>
      </c>
      <c r="K13" s="25">
        <f t="shared" si="8"/>
        <v>-1.5000000000782201</v>
      </c>
      <c r="L13" s="26">
        <f t="shared" si="9"/>
        <v>-0.20000000006348301</v>
      </c>
      <c r="M13" s="6">
        <v>5.8000999999999996</v>
      </c>
      <c r="N13" s="35">
        <f t="shared" si="2"/>
        <v>797.60640000000001</v>
      </c>
      <c r="O13" s="24">
        <f t="shared" si="10"/>
        <v>-9.9999999974897905E-2</v>
      </c>
      <c r="P13" s="25">
        <f t="shared" si="11"/>
        <v>-1.1999999999261499</v>
      </c>
      <c r="Q13" s="26">
        <f t="shared" si="12"/>
        <v>-9.9999999974897905E-2</v>
      </c>
      <c r="R13" s="41"/>
      <c r="S13" s="21">
        <f t="shared" si="3"/>
        <v>44910</v>
      </c>
      <c r="T13" s="42">
        <v>9.0100999999999996</v>
      </c>
      <c r="U13" s="43">
        <f t="shared" si="13"/>
        <v>9.99999999997669E-2</v>
      </c>
      <c r="V13" s="44">
        <f t="shared" si="14"/>
        <v>-0.60000000000037801</v>
      </c>
      <c r="W13" s="45">
        <f t="shared" si="15"/>
        <v>-9.99999999997669E-2</v>
      </c>
      <c r="X13" s="29">
        <v>12.115500000000001</v>
      </c>
      <c r="Y13" s="43">
        <f t="shared" si="16"/>
        <v>0</v>
      </c>
      <c r="Z13" s="44">
        <f t="shared" si="17"/>
        <v>-0.799999999999912</v>
      </c>
      <c r="AA13" s="45">
        <f t="shared" si="18"/>
        <v>0</v>
      </c>
      <c r="AB13" s="49">
        <v>8.4512</v>
      </c>
      <c r="AC13" s="43">
        <f t="shared" si="19"/>
        <v>-0.19999999999953399</v>
      </c>
      <c r="AD13" s="44">
        <f t="shared" si="20"/>
        <v>-1.3000000000005201</v>
      </c>
      <c r="AE13" s="45">
        <f t="shared" si="21"/>
        <v>-0.19999999999953399</v>
      </c>
      <c r="AF13" s="50">
        <v>80541</v>
      </c>
      <c r="AG13" s="58">
        <f t="shared" si="22"/>
        <v>25</v>
      </c>
      <c r="AH13" s="61"/>
      <c r="AI13" s="60"/>
      <c r="AJ13"/>
      <c r="AK13"/>
      <c r="AL13"/>
      <c r="AM13"/>
    </row>
    <row r="14" spans="1:48">
      <c r="A14" s="21">
        <v>44911</v>
      </c>
      <c r="B14" s="22">
        <v>791.80629999999996</v>
      </c>
      <c r="C14" s="27">
        <v>5.8460000000000001</v>
      </c>
      <c r="D14" s="23">
        <f t="shared" si="0"/>
        <v>797.65229999999997</v>
      </c>
      <c r="E14" s="24">
        <f t="shared" si="4"/>
        <v>-0.49999999998817701</v>
      </c>
      <c r="F14" s="25">
        <f t="shared" si="5"/>
        <v>-1.30000000001473</v>
      </c>
      <c r="G14" s="26">
        <f t="shared" si="6"/>
        <v>-0.49999999998817701</v>
      </c>
      <c r="H14" s="6">
        <v>6.7962999999999996</v>
      </c>
      <c r="I14" s="35">
        <f t="shared" si="1"/>
        <v>798.60260000000005</v>
      </c>
      <c r="J14" s="24">
        <f t="shared" si="7"/>
        <v>-9.9999999974897905E-2</v>
      </c>
      <c r="K14" s="25">
        <f t="shared" si="8"/>
        <v>-1.60000000005311</v>
      </c>
      <c r="L14" s="26">
        <f t="shared" si="9"/>
        <v>-9.9999999974897905E-2</v>
      </c>
      <c r="M14" s="6">
        <v>5.7998000000000003</v>
      </c>
      <c r="N14" s="35">
        <f t="shared" si="2"/>
        <v>797.60609999999997</v>
      </c>
      <c r="O14" s="24">
        <f t="shared" si="10"/>
        <v>-0.30000000003838101</v>
      </c>
      <c r="P14" s="25">
        <f t="shared" si="11"/>
        <v>-1.4999999999645299</v>
      </c>
      <c r="Q14" s="26">
        <f t="shared" si="12"/>
        <v>-0.30000000003838101</v>
      </c>
      <c r="R14" s="41"/>
      <c r="S14" s="21">
        <f t="shared" si="3"/>
        <v>44911</v>
      </c>
      <c r="T14" s="42">
        <v>9.0096000000000007</v>
      </c>
      <c r="U14" s="43">
        <f t="shared" si="13"/>
        <v>-0.49999999999883499</v>
      </c>
      <c r="V14" s="44">
        <f t="shared" si="14"/>
        <v>-1.0999999999992101</v>
      </c>
      <c r="W14" s="45">
        <f t="shared" si="15"/>
        <v>0.49999999999883499</v>
      </c>
      <c r="X14" s="29">
        <v>12.1151</v>
      </c>
      <c r="Y14" s="43">
        <f t="shared" si="16"/>
        <v>-0.40000000000084401</v>
      </c>
      <c r="Z14" s="44">
        <f t="shared" si="17"/>
        <v>-1.20000000000076</v>
      </c>
      <c r="AA14" s="45">
        <f t="shared" si="18"/>
        <v>-0.40000000000084401</v>
      </c>
      <c r="AB14" s="49">
        <v>8.4511000000000003</v>
      </c>
      <c r="AC14" s="43">
        <f t="shared" si="19"/>
        <v>-9.99999999997669E-2</v>
      </c>
      <c r="AD14" s="44">
        <f t="shared" si="20"/>
        <v>-1.4000000000002899</v>
      </c>
      <c r="AE14" s="45">
        <f t="shared" si="21"/>
        <v>-9.99999999997669E-2</v>
      </c>
      <c r="AF14" s="50">
        <v>80544</v>
      </c>
      <c r="AG14" s="58">
        <f t="shared" si="22"/>
        <v>28</v>
      </c>
      <c r="AH14" s="59"/>
      <c r="AI14" s="60"/>
      <c r="AJ14"/>
      <c r="AK14"/>
      <c r="AL14"/>
      <c r="AM14"/>
    </row>
    <row r="15" spans="1:48">
      <c r="A15" s="21">
        <v>44912</v>
      </c>
      <c r="B15" s="22">
        <v>791.80629999999996</v>
      </c>
      <c r="C15" s="27">
        <v>5.8460999999999999</v>
      </c>
      <c r="D15" s="23">
        <f t="shared" si="0"/>
        <v>797.65239999999994</v>
      </c>
      <c r="E15" s="24">
        <f t="shared" si="4"/>
        <v>9.9999999974897905E-2</v>
      </c>
      <c r="F15" s="25">
        <f t="shared" si="5"/>
        <v>-1.2000000000398401</v>
      </c>
      <c r="G15" s="26">
        <f t="shared" si="6"/>
        <v>9.9999999974897905E-2</v>
      </c>
      <c r="H15" s="6">
        <v>6.7960000000000003</v>
      </c>
      <c r="I15" s="35">
        <f t="shared" si="1"/>
        <v>798.60230000000001</v>
      </c>
      <c r="J15" s="24">
        <f t="shared" si="7"/>
        <v>-0.29999999992469401</v>
      </c>
      <c r="K15" s="25">
        <f t="shared" si="8"/>
        <v>-1.8999999999778101</v>
      </c>
      <c r="L15" s="26">
        <f t="shared" si="9"/>
        <v>-0.29999999992469401</v>
      </c>
      <c r="M15" s="6">
        <v>5.7995999999999999</v>
      </c>
      <c r="N15" s="35">
        <f t="shared" si="2"/>
        <v>797.60590000000002</v>
      </c>
      <c r="O15" s="24">
        <f t="shared" si="10"/>
        <v>-0.199999999949796</v>
      </c>
      <c r="P15" s="25">
        <f t="shared" si="11"/>
        <v>-1.69999999991433</v>
      </c>
      <c r="Q15" s="26">
        <f t="shared" si="12"/>
        <v>-0.199999999949796</v>
      </c>
      <c r="R15" s="41"/>
      <c r="S15" s="21">
        <f t="shared" si="3"/>
        <v>44912</v>
      </c>
      <c r="T15" s="42">
        <v>9.0093999999999905</v>
      </c>
      <c r="U15" s="43">
        <f t="shared" si="13"/>
        <v>-0.200000000010192</v>
      </c>
      <c r="V15" s="44">
        <f t="shared" si="14"/>
        <v>-1.3000000000094001</v>
      </c>
      <c r="W15" s="45">
        <f t="shared" si="15"/>
        <v>0.200000000010192</v>
      </c>
      <c r="X15" s="29">
        <v>12.1149</v>
      </c>
      <c r="Y15" s="43">
        <f t="shared" si="16"/>
        <v>-0.19999999999953399</v>
      </c>
      <c r="Z15" s="44">
        <f t="shared" si="17"/>
        <v>-1.4000000000002899</v>
      </c>
      <c r="AA15" s="45">
        <f t="shared" si="18"/>
        <v>-0.19999999999953399</v>
      </c>
      <c r="AB15" s="49">
        <v>8.4507999999999903</v>
      </c>
      <c r="AC15" s="43">
        <f t="shared" si="19"/>
        <v>-0.30000000000995902</v>
      </c>
      <c r="AD15" s="44">
        <f t="shared" si="20"/>
        <v>-1.70000000001025</v>
      </c>
      <c r="AE15" s="45">
        <f t="shared" si="21"/>
        <v>-0.30000000000995902</v>
      </c>
      <c r="AF15" s="50">
        <v>80547</v>
      </c>
      <c r="AG15" s="58">
        <f t="shared" si="22"/>
        <v>31</v>
      </c>
      <c r="AH15" s="61"/>
      <c r="AI15" s="60"/>
      <c r="AJ15"/>
      <c r="AK15"/>
      <c r="AL15"/>
      <c r="AM15"/>
    </row>
    <row r="16" spans="1:48">
      <c r="A16" s="21">
        <v>44913</v>
      </c>
      <c r="B16" s="22">
        <v>791.80629999999996</v>
      </c>
      <c r="C16" s="27">
        <v>5.8456000000000001</v>
      </c>
      <c r="D16" s="23">
        <f t="shared" si="0"/>
        <v>797.65189999999996</v>
      </c>
      <c r="E16" s="24">
        <f t="shared" si="4"/>
        <v>-0.49999999998817701</v>
      </c>
      <c r="F16" s="25">
        <f t="shared" si="5"/>
        <v>-1.70000000002801</v>
      </c>
      <c r="G16" s="26">
        <f t="shared" si="6"/>
        <v>-0.49999999998817701</v>
      </c>
      <c r="H16" s="6">
        <v>6.7957999999999998</v>
      </c>
      <c r="I16" s="35">
        <f t="shared" si="1"/>
        <v>798.60209999999995</v>
      </c>
      <c r="J16" s="24">
        <f t="shared" si="7"/>
        <v>-0.20000000006348301</v>
      </c>
      <c r="K16" s="25">
        <f t="shared" si="8"/>
        <v>-2.1000000000412902</v>
      </c>
      <c r="L16" s="26">
        <f t="shared" si="9"/>
        <v>-0.20000000006348301</v>
      </c>
      <c r="M16" s="6">
        <v>5.7994000000000003</v>
      </c>
      <c r="N16" s="35">
        <f t="shared" si="2"/>
        <v>797.60569999999996</v>
      </c>
      <c r="O16" s="24">
        <f t="shared" si="10"/>
        <v>-0.20000000006348301</v>
      </c>
      <c r="P16" s="25">
        <f t="shared" si="11"/>
        <v>-1.8999999999778101</v>
      </c>
      <c r="Q16" s="26">
        <f t="shared" si="12"/>
        <v>-0.20000000006348301</v>
      </c>
      <c r="R16" s="41"/>
      <c r="S16" s="21">
        <f t="shared" si="3"/>
        <v>44913</v>
      </c>
      <c r="T16" s="42">
        <v>9.0094999999999992</v>
      </c>
      <c r="U16" s="43">
        <f t="shared" si="13"/>
        <v>0.100000000008649</v>
      </c>
      <c r="V16" s="44">
        <f t="shared" si="14"/>
        <v>-1.20000000000076</v>
      </c>
      <c r="W16" s="45">
        <f t="shared" si="15"/>
        <v>-0.100000000008649</v>
      </c>
      <c r="X16" s="29">
        <v>12.114800000000001</v>
      </c>
      <c r="Y16" s="43">
        <f t="shared" si="16"/>
        <v>-9.99999999997669E-2</v>
      </c>
      <c r="Z16" s="44">
        <f t="shared" si="17"/>
        <v>-1.50000000000006</v>
      </c>
      <c r="AA16" s="45">
        <f t="shared" si="18"/>
        <v>-9.99999999997669E-2</v>
      </c>
      <c r="AB16" s="49">
        <v>8.4505999999999908</v>
      </c>
      <c r="AC16" s="43">
        <f t="shared" si="19"/>
        <v>-0.19999999999953399</v>
      </c>
      <c r="AD16" s="44">
        <f t="shared" si="20"/>
        <v>-1.9000000000097801</v>
      </c>
      <c r="AE16" s="45">
        <f t="shared" si="21"/>
        <v>-0.19999999999953399</v>
      </c>
      <c r="AF16" s="50">
        <v>80550</v>
      </c>
      <c r="AG16" s="58">
        <f t="shared" si="22"/>
        <v>34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44914</v>
      </c>
      <c r="B17" s="22">
        <v>791.80629999999996</v>
      </c>
      <c r="C17" s="27">
        <v>5.8453999999999997</v>
      </c>
      <c r="D17" s="23">
        <f t="shared" si="0"/>
        <v>797.65170000000001</v>
      </c>
      <c r="E17" s="24">
        <f t="shared" si="4"/>
        <v>-0.199999999949796</v>
      </c>
      <c r="F17" s="25">
        <f t="shared" si="5"/>
        <v>-1.8999999999778101</v>
      </c>
      <c r="G17" s="26">
        <f t="shared" si="6"/>
        <v>-0.199999999949796</v>
      </c>
      <c r="H17" s="6">
        <v>6.7954999999999997</v>
      </c>
      <c r="I17" s="35">
        <f t="shared" si="1"/>
        <v>798.60180000000003</v>
      </c>
      <c r="J17" s="24">
        <f t="shared" si="7"/>
        <v>-0.30000000003838101</v>
      </c>
      <c r="K17" s="25">
        <f t="shared" si="8"/>
        <v>-2.40000000007967</v>
      </c>
      <c r="L17" s="26">
        <f t="shared" si="9"/>
        <v>-0.30000000003838101</v>
      </c>
      <c r="M17" s="6">
        <v>5.7995000000000001</v>
      </c>
      <c r="N17" s="35">
        <f t="shared" si="2"/>
        <v>797.60580000000004</v>
      </c>
      <c r="O17" s="24">
        <f t="shared" si="10"/>
        <v>9.9999999974897905E-2</v>
      </c>
      <c r="P17" s="25">
        <f t="shared" si="11"/>
        <v>-1.8000000000029099</v>
      </c>
      <c r="Q17" s="26">
        <f t="shared" si="12"/>
        <v>9.9999999974897905E-2</v>
      </c>
      <c r="R17" s="41"/>
      <c r="S17" s="21">
        <f t="shared" si="3"/>
        <v>44914</v>
      </c>
      <c r="T17" s="42">
        <v>9.0089999999999897</v>
      </c>
      <c r="U17" s="43">
        <f t="shared" si="13"/>
        <v>-0.50000000000949296</v>
      </c>
      <c r="V17" s="44">
        <f t="shared" si="14"/>
        <v>-1.70000000001025</v>
      </c>
      <c r="W17" s="45">
        <f t="shared" si="15"/>
        <v>0.50000000000949296</v>
      </c>
      <c r="X17" s="29">
        <v>12.1145</v>
      </c>
      <c r="Y17" s="43">
        <f t="shared" si="16"/>
        <v>-0.30000000000107702</v>
      </c>
      <c r="Z17" s="44">
        <f t="shared" si="17"/>
        <v>-1.80000000000113</v>
      </c>
      <c r="AA17" s="45">
        <f t="shared" si="18"/>
        <v>-0.30000000000107702</v>
      </c>
      <c r="AB17" s="49">
        <v>8.4504999999999999</v>
      </c>
      <c r="AC17" s="43">
        <f t="shared" si="19"/>
        <v>-9.9999999990885199E-2</v>
      </c>
      <c r="AD17" s="44">
        <f t="shared" si="20"/>
        <v>-2.0000000000006701</v>
      </c>
      <c r="AE17" s="45">
        <f t="shared" si="21"/>
        <v>-9.9999999990885199E-2</v>
      </c>
      <c r="AF17" s="50">
        <v>80553</v>
      </c>
      <c r="AG17" s="58">
        <f t="shared" si="22"/>
        <v>37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44915</v>
      </c>
      <c r="B18" s="22">
        <v>791.80629999999996</v>
      </c>
      <c r="C18" s="27">
        <v>5.8452000000000002</v>
      </c>
      <c r="D18" s="23">
        <f t="shared" si="0"/>
        <v>797.65150000000006</v>
      </c>
      <c r="E18" s="24">
        <f t="shared" si="4"/>
        <v>-0.20000000006348301</v>
      </c>
      <c r="F18" s="25">
        <f t="shared" si="5"/>
        <v>-2.1000000000412902</v>
      </c>
      <c r="G18" s="26">
        <f t="shared" si="6"/>
        <v>-0.20000000006348301</v>
      </c>
      <c r="H18" s="6">
        <v>6.7953000000000001</v>
      </c>
      <c r="I18" s="35">
        <f t="shared" si="1"/>
        <v>798.60159999999996</v>
      </c>
      <c r="J18" s="24">
        <f t="shared" si="7"/>
        <v>-0.199999999949796</v>
      </c>
      <c r="K18" s="25">
        <f t="shared" si="8"/>
        <v>-2.6000000000294698</v>
      </c>
      <c r="L18" s="26">
        <f t="shared" si="9"/>
        <v>-0.199999999949796</v>
      </c>
      <c r="M18" s="6">
        <v>5.7992999999999997</v>
      </c>
      <c r="N18" s="35">
        <f t="shared" si="2"/>
        <v>797.60559999999998</v>
      </c>
      <c r="O18" s="24">
        <f t="shared" si="10"/>
        <v>-0.199999999949796</v>
      </c>
      <c r="P18" s="25">
        <f t="shared" si="11"/>
        <v>-1.9999999999527101</v>
      </c>
      <c r="Q18" s="26">
        <f t="shared" si="12"/>
        <v>-0.199999999949796</v>
      </c>
      <c r="R18" s="41"/>
      <c r="S18" s="21">
        <f t="shared" si="3"/>
        <v>44915</v>
      </c>
      <c r="T18" s="42">
        <v>9.0087999999999901</v>
      </c>
      <c r="U18" s="43">
        <f t="shared" si="13"/>
        <v>-0.19999999999953399</v>
      </c>
      <c r="V18" s="44">
        <f t="shared" si="14"/>
        <v>-1.9000000000097801</v>
      </c>
      <c r="W18" s="45">
        <f t="shared" si="15"/>
        <v>0.19999999999953399</v>
      </c>
      <c r="X18" s="29">
        <v>12.1143</v>
      </c>
      <c r="Y18" s="43">
        <f t="shared" si="16"/>
        <v>-0.19999999999953399</v>
      </c>
      <c r="Z18" s="44">
        <f t="shared" si="17"/>
        <v>-2.0000000000006701</v>
      </c>
      <c r="AA18" s="45">
        <f t="shared" si="18"/>
        <v>-0.19999999999953399</v>
      </c>
      <c r="AB18" s="49">
        <v>8.4501999999999899</v>
      </c>
      <c r="AC18" s="43">
        <f t="shared" si="19"/>
        <v>-0.30000000000995902</v>
      </c>
      <c r="AD18" s="44">
        <f t="shared" si="20"/>
        <v>-2.30000000001063</v>
      </c>
      <c r="AE18" s="45">
        <f t="shared" si="21"/>
        <v>-0.30000000000995902</v>
      </c>
      <c r="AF18" s="50">
        <v>80556</v>
      </c>
      <c r="AG18" s="58">
        <f t="shared" si="22"/>
        <v>40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44916</v>
      </c>
      <c r="B19" s="22">
        <v>791.80629999999996</v>
      </c>
      <c r="C19" s="27">
        <v>5.8452999999999999</v>
      </c>
      <c r="D19" s="23">
        <f t="shared" si="0"/>
        <v>797.65160000000003</v>
      </c>
      <c r="E19" s="24">
        <f t="shared" si="4"/>
        <v>9.9999999974897905E-2</v>
      </c>
      <c r="F19" s="25">
        <f t="shared" si="5"/>
        <v>-2.00000000006639</v>
      </c>
      <c r="G19" s="26">
        <f t="shared" si="6"/>
        <v>9.9999999974897905E-2</v>
      </c>
      <c r="H19" s="6">
        <v>6.7952000000000004</v>
      </c>
      <c r="I19" s="35">
        <f t="shared" si="1"/>
        <v>798.60149999999999</v>
      </c>
      <c r="J19" s="24">
        <f t="shared" si="7"/>
        <v>-9.9999999974897905E-2</v>
      </c>
      <c r="K19" s="25">
        <f t="shared" si="8"/>
        <v>-2.70000000000437</v>
      </c>
      <c r="L19" s="26">
        <f t="shared" si="9"/>
        <v>-9.9999999974897905E-2</v>
      </c>
      <c r="M19" s="6">
        <v>5.7991000000000001</v>
      </c>
      <c r="N19" s="35">
        <f t="shared" si="2"/>
        <v>797.60540000000003</v>
      </c>
      <c r="O19" s="24">
        <f t="shared" si="10"/>
        <v>-0.20000000006348301</v>
      </c>
      <c r="P19" s="25">
        <f t="shared" si="11"/>
        <v>-2.2000000000161899</v>
      </c>
      <c r="Q19" s="26">
        <f t="shared" si="12"/>
        <v>-0.20000000006348301</v>
      </c>
      <c r="R19" s="41"/>
      <c r="S19" s="21">
        <f t="shared" ref="S19:S27" si="23">A19</f>
        <v>44916</v>
      </c>
      <c r="T19" s="42">
        <v>9.0084999999999997</v>
      </c>
      <c r="U19" s="43">
        <f t="shared" ref="U19:U27" si="24">(T19-T18)*1000</f>
        <v>-0.29999999999041899</v>
      </c>
      <c r="V19" s="44">
        <f t="shared" ref="V19:V27" si="25">V18+U19</f>
        <v>-2.2000000000002</v>
      </c>
      <c r="W19" s="45">
        <f t="shared" ref="W19:W27" si="26">U19/(S18-S19)</f>
        <v>0.29999999999041899</v>
      </c>
      <c r="X19" s="29">
        <v>12.1142</v>
      </c>
      <c r="Y19" s="43">
        <f t="shared" ref="Y19:Y27" si="27">(X19-X18)*1000</f>
        <v>-9.99999999997669E-2</v>
      </c>
      <c r="Z19" s="44">
        <f t="shared" ref="Z19:Z27" si="28">Z18+Y19</f>
        <v>-2.10000000000043</v>
      </c>
      <c r="AA19" s="45">
        <f t="shared" ref="AA19:AA27" si="29">Y19/(S19-S18)</f>
        <v>-9.99999999997669E-2</v>
      </c>
      <c r="AB19" s="49">
        <v>8.44989999999998</v>
      </c>
      <c r="AC19" s="43">
        <f t="shared" ref="AC19:AC27" si="30">(AB19-AB18)*1000</f>
        <v>-0.30000000000995902</v>
      </c>
      <c r="AD19" s="44">
        <f t="shared" ref="AD19:AD27" si="31">AD18+AC19</f>
        <v>-2.6000000000205898</v>
      </c>
      <c r="AE19" s="45">
        <f t="shared" ref="AE19:AE27" si="32">AC19/(S19-S18)</f>
        <v>-0.30000000000995902</v>
      </c>
      <c r="AF19" s="50">
        <v>80559</v>
      </c>
      <c r="AG19" s="58">
        <f t="shared" ref="AG19:AG27" si="33">AF19-80516</f>
        <v>43</v>
      </c>
      <c r="AH19" s="61"/>
      <c r="AI19" s="60"/>
      <c r="AJ19"/>
      <c r="AK19"/>
      <c r="AL19"/>
      <c r="AM19"/>
    </row>
    <row r="20" spans="1:48">
      <c r="A20" s="21">
        <v>44917</v>
      </c>
      <c r="B20" s="22">
        <v>791.80629999999996</v>
      </c>
      <c r="C20" s="27">
        <v>5.8448000000000002</v>
      </c>
      <c r="D20" s="23">
        <f t="shared" si="0"/>
        <v>797.65110000000004</v>
      </c>
      <c r="E20" s="24">
        <f t="shared" si="4"/>
        <v>-0.49999999998817701</v>
      </c>
      <c r="F20" s="25">
        <f t="shared" si="5"/>
        <v>-2.5000000000545701</v>
      </c>
      <c r="G20" s="26">
        <f t="shared" si="6"/>
        <v>-0.49999999998817701</v>
      </c>
      <c r="H20" s="6">
        <v>6.7949000000000002</v>
      </c>
      <c r="I20" s="35">
        <f t="shared" si="1"/>
        <v>798.60119999999995</v>
      </c>
      <c r="J20" s="24">
        <f t="shared" si="7"/>
        <v>-0.30000000003838101</v>
      </c>
      <c r="K20" s="25">
        <f t="shared" si="8"/>
        <v>-3.0000000000427498</v>
      </c>
      <c r="L20" s="26">
        <f t="shared" si="9"/>
        <v>-0.30000000003838101</v>
      </c>
      <c r="M20" s="6">
        <v>5.7991999999999999</v>
      </c>
      <c r="N20" s="35">
        <f t="shared" si="2"/>
        <v>797.60550000000001</v>
      </c>
      <c r="O20" s="24">
        <f t="shared" si="10"/>
        <v>0.10000000008858501</v>
      </c>
      <c r="P20" s="25">
        <f t="shared" si="11"/>
        <v>-2.0999999999275998</v>
      </c>
      <c r="Q20" s="26">
        <f t="shared" si="12"/>
        <v>0.10000000008858501</v>
      </c>
      <c r="R20" s="41"/>
      <c r="S20" s="21">
        <f t="shared" si="23"/>
        <v>44917</v>
      </c>
      <c r="T20" s="42">
        <v>9.0083999999999893</v>
      </c>
      <c r="U20" s="43">
        <f t="shared" si="24"/>
        <v>-0.100000000010425</v>
      </c>
      <c r="V20" s="44">
        <f t="shared" si="25"/>
        <v>-2.30000000001063</v>
      </c>
      <c r="W20" s="45">
        <f t="shared" si="26"/>
        <v>0.100000000010425</v>
      </c>
      <c r="X20" s="29">
        <v>12.113899999999999</v>
      </c>
      <c r="Y20" s="43">
        <f t="shared" si="27"/>
        <v>-0.30000000000107702</v>
      </c>
      <c r="Z20" s="44">
        <f t="shared" si="28"/>
        <v>-2.4000000000015098</v>
      </c>
      <c r="AA20" s="45">
        <f t="shared" si="29"/>
        <v>-0.30000000000107702</v>
      </c>
      <c r="AB20" s="49">
        <v>8.4497999999999998</v>
      </c>
      <c r="AC20" s="43">
        <f t="shared" si="30"/>
        <v>-9.9999999980227003E-2</v>
      </c>
      <c r="AD20" s="44">
        <f t="shared" si="31"/>
        <v>-2.7000000000008102</v>
      </c>
      <c r="AE20" s="45">
        <f t="shared" si="32"/>
        <v>-9.9999999980227003E-2</v>
      </c>
      <c r="AF20" s="50">
        <v>80562</v>
      </c>
      <c r="AG20" s="58">
        <f t="shared" si="33"/>
        <v>46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44919</v>
      </c>
      <c r="B21" s="22">
        <v>791.80629999999996</v>
      </c>
      <c r="C21" s="27">
        <v>5.8445999999999998</v>
      </c>
      <c r="D21" s="23">
        <f t="shared" ref="D21:D27" si="34">C21+B21</f>
        <v>797.65089999999998</v>
      </c>
      <c r="E21" s="24">
        <f t="shared" ref="E21:E27" si="35">(D21-D20)*1000</f>
        <v>-0.199999999949796</v>
      </c>
      <c r="F21" s="25">
        <f t="shared" ref="F21:F27" si="36">F20+E21</f>
        <v>-2.70000000000437</v>
      </c>
      <c r="G21" s="26">
        <f t="shared" ref="G21:G27" si="37">E21/(A21-A20)</f>
        <v>-9.9999999974897905E-2</v>
      </c>
      <c r="H21" s="6">
        <v>6.7946999999999997</v>
      </c>
      <c r="I21" s="35">
        <f t="shared" ref="I21:I27" si="38">H21+B21</f>
        <v>798.601</v>
      </c>
      <c r="J21" s="24">
        <f t="shared" ref="J21:J27" si="39">(I21-I20)*1000</f>
        <v>-0.199999999949796</v>
      </c>
      <c r="K21" s="25">
        <f t="shared" ref="K21:K27" si="40">K20+J21</f>
        <v>-3.1999999999925399</v>
      </c>
      <c r="L21" s="26">
        <f t="shared" ref="L21:L27" si="41">J21/(A21-A20)</f>
        <v>-9.9999999974897905E-2</v>
      </c>
      <c r="M21" s="6">
        <v>5.7987000000000002</v>
      </c>
      <c r="N21" s="35">
        <f t="shared" ref="N21:N27" si="42">M21+B21</f>
        <v>797.60500000000002</v>
      </c>
      <c r="O21" s="24">
        <f t="shared" ref="O21:O27" si="43">(N21-N20)*1000</f>
        <v>-0.49999999998817701</v>
      </c>
      <c r="P21" s="25">
        <f t="shared" ref="P21:P27" si="44">P20+O21</f>
        <v>-2.5999999999157799</v>
      </c>
      <c r="Q21" s="26">
        <f t="shared" ref="Q21:Q27" si="45">O21/(A21-A20)</f>
        <v>-0.24999999999408801</v>
      </c>
      <c r="R21" s="41"/>
      <c r="S21" s="21">
        <f t="shared" si="23"/>
        <v>44919</v>
      </c>
      <c r="T21" s="42">
        <v>9.0081999999999898</v>
      </c>
      <c r="U21" s="43">
        <f t="shared" si="24"/>
        <v>-0.19999999999953399</v>
      </c>
      <c r="V21" s="44">
        <f t="shared" si="25"/>
        <v>-2.5000000000101599</v>
      </c>
      <c r="W21" s="45">
        <f t="shared" si="26"/>
        <v>9.99999999997669E-2</v>
      </c>
      <c r="X21" s="29">
        <v>12.114000000000001</v>
      </c>
      <c r="Y21" s="43">
        <f t="shared" si="27"/>
        <v>0.10000000000154299</v>
      </c>
      <c r="Z21" s="44">
        <f t="shared" si="28"/>
        <v>-2.2999999999999701</v>
      </c>
      <c r="AA21" s="45">
        <f t="shared" si="29"/>
        <v>5.0000000000771601E-2</v>
      </c>
      <c r="AB21" s="49">
        <v>8.4492999999999601</v>
      </c>
      <c r="AC21" s="43">
        <f t="shared" si="30"/>
        <v>-0.50000000003969103</v>
      </c>
      <c r="AD21" s="44">
        <f t="shared" si="31"/>
        <v>-3.2000000000404998</v>
      </c>
      <c r="AE21" s="45">
        <f t="shared" si="32"/>
        <v>-0.25000000001984501</v>
      </c>
      <c r="AF21" s="50">
        <v>80565</v>
      </c>
      <c r="AG21" s="58">
        <f t="shared" si="33"/>
        <v>49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44921</v>
      </c>
      <c r="B22" s="22">
        <v>791.80629999999996</v>
      </c>
      <c r="C22" s="27">
        <v>5.8445</v>
      </c>
      <c r="D22" s="23">
        <f t="shared" si="34"/>
        <v>797.6508</v>
      </c>
      <c r="E22" s="24">
        <f t="shared" si="35"/>
        <v>-9.9999999974897905E-2</v>
      </c>
      <c r="F22" s="25">
        <f t="shared" si="36"/>
        <v>-2.79999999997926</v>
      </c>
      <c r="G22" s="26">
        <f t="shared" si="37"/>
        <v>-4.9999999987449001E-2</v>
      </c>
      <c r="H22" s="6">
        <v>6.7946</v>
      </c>
      <c r="I22" s="35">
        <f t="shared" si="38"/>
        <v>798.60090000000002</v>
      </c>
      <c r="J22" s="24">
        <f t="shared" si="39"/>
        <v>-0.10000000008858501</v>
      </c>
      <c r="K22" s="25">
        <f t="shared" si="40"/>
        <v>-3.30000000008113</v>
      </c>
      <c r="L22" s="26">
        <f t="shared" si="41"/>
        <v>-5.0000000044292399E-2</v>
      </c>
      <c r="M22" s="6">
        <v>5.7984999999999998</v>
      </c>
      <c r="N22" s="35">
        <f t="shared" si="42"/>
        <v>797.60479999999995</v>
      </c>
      <c r="O22" s="24">
        <f t="shared" si="43"/>
        <v>-0.20000000006348301</v>
      </c>
      <c r="P22" s="25">
        <f t="shared" si="44"/>
        <v>-2.79999999997926</v>
      </c>
      <c r="Q22" s="26">
        <f t="shared" si="45"/>
        <v>-0.100000000031741</v>
      </c>
      <c r="R22" s="41"/>
      <c r="S22" s="21">
        <f t="shared" si="23"/>
        <v>44921</v>
      </c>
      <c r="T22" s="42">
        <v>9.0083000000000002</v>
      </c>
      <c r="U22" s="43">
        <f t="shared" si="24"/>
        <v>0.100000000010425</v>
      </c>
      <c r="V22" s="44">
        <f t="shared" si="25"/>
        <v>-2.3999999999997401</v>
      </c>
      <c r="W22" s="45">
        <f t="shared" si="26"/>
        <v>-5.00000000052125E-2</v>
      </c>
      <c r="X22" s="29">
        <v>12.1135</v>
      </c>
      <c r="Y22" s="43">
        <f t="shared" si="27"/>
        <v>-0.50000000000061096</v>
      </c>
      <c r="Z22" s="44">
        <f t="shared" si="28"/>
        <v>-2.8000000000005798</v>
      </c>
      <c r="AA22" s="45">
        <f t="shared" si="29"/>
        <v>-0.25000000000030598</v>
      </c>
      <c r="AB22" s="49">
        <v>8.4492999999999991</v>
      </c>
      <c r="AC22" s="43">
        <f t="shared" si="30"/>
        <v>3.9079850466805497E-11</v>
      </c>
      <c r="AD22" s="44">
        <f t="shared" si="31"/>
        <v>-3.2000000000014199</v>
      </c>
      <c r="AE22" s="45">
        <f t="shared" si="32"/>
        <v>1.95399252334028E-11</v>
      </c>
      <c r="AF22" s="50">
        <v>80568</v>
      </c>
      <c r="AG22" s="58">
        <f t="shared" si="33"/>
        <v>52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44923</v>
      </c>
      <c r="B23" s="22">
        <v>791.80629999999996</v>
      </c>
      <c r="C23" s="27">
        <v>5.8445999999999998</v>
      </c>
      <c r="D23" s="23">
        <f t="shared" si="34"/>
        <v>797.65089999999998</v>
      </c>
      <c r="E23" s="24">
        <f t="shared" si="35"/>
        <v>9.9999999974897905E-2</v>
      </c>
      <c r="F23" s="25">
        <f t="shared" si="36"/>
        <v>-2.70000000000437</v>
      </c>
      <c r="G23" s="26">
        <f t="shared" si="37"/>
        <v>4.9999999987449001E-2</v>
      </c>
      <c r="H23" s="6">
        <v>6.7942999999999998</v>
      </c>
      <c r="I23" s="35">
        <f t="shared" si="38"/>
        <v>798.60059999999999</v>
      </c>
      <c r="J23" s="24">
        <f t="shared" si="39"/>
        <v>-0.29999999992469401</v>
      </c>
      <c r="K23" s="25">
        <f t="shared" si="40"/>
        <v>-3.6000000000058199</v>
      </c>
      <c r="L23" s="26">
        <f t="shared" si="41"/>
        <v>-0.149999999962347</v>
      </c>
      <c r="M23" s="6">
        <v>5.7986000000000004</v>
      </c>
      <c r="N23" s="35">
        <f t="shared" si="42"/>
        <v>797.60490000000004</v>
      </c>
      <c r="O23" s="24">
        <f t="shared" si="43"/>
        <v>9.9999999974897905E-2</v>
      </c>
      <c r="P23" s="25">
        <f t="shared" si="44"/>
        <v>-2.70000000000437</v>
      </c>
      <c r="Q23" s="26">
        <f t="shared" si="45"/>
        <v>4.9999999987449001E-2</v>
      </c>
      <c r="R23" s="41"/>
      <c r="S23" s="21">
        <f t="shared" si="23"/>
        <v>44923</v>
      </c>
      <c r="T23" s="42">
        <v>9.0077999999999907</v>
      </c>
      <c r="U23" s="43">
        <f t="shared" si="24"/>
        <v>-0.50000000000949296</v>
      </c>
      <c r="V23" s="44">
        <f t="shared" si="25"/>
        <v>-2.9000000000092299</v>
      </c>
      <c r="W23" s="45">
        <f t="shared" si="26"/>
        <v>0.25000000000474598</v>
      </c>
      <c r="X23" s="29">
        <v>12.113300000000001</v>
      </c>
      <c r="Y23" s="43">
        <f t="shared" si="27"/>
        <v>-0.19999999999953399</v>
      </c>
      <c r="Z23" s="44">
        <f t="shared" si="28"/>
        <v>-3.0000000000001101</v>
      </c>
      <c r="AA23" s="45">
        <f t="shared" si="29"/>
        <v>-9.99999999997669E-2</v>
      </c>
      <c r="AB23" s="49">
        <v>8.4486999999999401</v>
      </c>
      <c r="AC23" s="43">
        <f t="shared" si="30"/>
        <v>-0.60000000005899801</v>
      </c>
      <c r="AD23" s="44">
        <f t="shared" si="31"/>
        <v>-3.8000000000604199</v>
      </c>
      <c r="AE23" s="45">
        <f t="shared" si="32"/>
        <v>-0.300000000029499</v>
      </c>
      <c r="AF23" s="50">
        <v>80571</v>
      </c>
      <c r="AG23" s="58">
        <f t="shared" si="33"/>
        <v>55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44925</v>
      </c>
      <c r="B24" s="22">
        <v>791.80629999999996</v>
      </c>
      <c r="C24" s="27">
        <v>5.8440000000000003</v>
      </c>
      <c r="D24" s="23">
        <f t="shared" si="34"/>
        <v>797.65030000000002</v>
      </c>
      <c r="E24" s="24">
        <f t="shared" si="35"/>
        <v>-0.59999999996307496</v>
      </c>
      <c r="F24" s="25">
        <f t="shared" si="36"/>
        <v>-3.2999999999674401</v>
      </c>
      <c r="G24" s="26">
        <f t="shared" si="37"/>
        <v>-0.29999999998153698</v>
      </c>
      <c r="H24" s="6">
        <v>6.7941000000000003</v>
      </c>
      <c r="I24" s="35">
        <f t="shared" si="38"/>
        <v>798.60040000000004</v>
      </c>
      <c r="J24" s="24">
        <f t="shared" si="39"/>
        <v>-0.20000000006348301</v>
      </c>
      <c r="K24" s="25">
        <f t="shared" si="40"/>
        <v>-3.8000000000692999</v>
      </c>
      <c r="L24" s="26">
        <f t="shared" si="41"/>
        <v>-0.100000000031741</v>
      </c>
      <c r="M24" s="6">
        <v>5.7980999999999998</v>
      </c>
      <c r="N24" s="35">
        <f t="shared" si="42"/>
        <v>797.60440000000006</v>
      </c>
      <c r="O24" s="24">
        <f t="shared" si="43"/>
        <v>-0.49999999998817701</v>
      </c>
      <c r="P24" s="25">
        <f t="shared" si="44"/>
        <v>-3.1999999999925399</v>
      </c>
      <c r="Q24" s="26">
        <f t="shared" si="45"/>
        <v>-0.24999999999408801</v>
      </c>
      <c r="R24" s="41"/>
      <c r="S24" s="21">
        <f t="shared" si="23"/>
        <v>44925</v>
      </c>
      <c r="T24" s="42">
        <v>9.0075999999999894</v>
      </c>
      <c r="U24" s="43">
        <f t="shared" si="24"/>
        <v>-0.20000000000130999</v>
      </c>
      <c r="V24" s="44">
        <f t="shared" si="25"/>
        <v>-3.1000000000105401</v>
      </c>
      <c r="W24" s="45">
        <f t="shared" si="26"/>
        <v>0.100000000000655</v>
      </c>
      <c r="X24" s="29">
        <v>12.1135</v>
      </c>
      <c r="Y24" s="43">
        <f t="shared" si="27"/>
        <v>0.19999999999953399</v>
      </c>
      <c r="Z24" s="44">
        <f t="shared" si="28"/>
        <v>-2.8000000000005798</v>
      </c>
      <c r="AA24" s="45">
        <f t="shared" si="29"/>
        <v>9.99999999997669E-2</v>
      </c>
      <c r="AB24" s="49">
        <v>8.4483999999999302</v>
      </c>
      <c r="AC24" s="43">
        <f t="shared" si="30"/>
        <v>-0.30000000000995902</v>
      </c>
      <c r="AD24" s="44">
        <f t="shared" si="31"/>
        <v>-4.1000000000703798</v>
      </c>
      <c r="AE24" s="45">
        <f t="shared" si="32"/>
        <v>-0.15000000000497901</v>
      </c>
      <c r="AF24" s="50">
        <v>80574</v>
      </c>
      <c r="AG24" s="58">
        <f t="shared" si="33"/>
        <v>58</v>
      </c>
      <c r="AH24" s="59"/>
      <c r="AI24" s="60"/>
      <c r="AJ24" s="52"/>
      <c r="AK24" s="52"/>
      <c r="AL24" s="52"/>
      <c r="AM24" s="52"/>
    </row>
    <row r="25" spans="1:48">
      <c r="A25" s="21">
        <v>44927</v>
      </c>
      <c r="B25" s="22">
        <v>791.80629999999996</v>
      </c>
      <c r="C25" s="27">
        <v>5.8441000000000001</v>
      </c>
      <c r="D25" s="23">
        <f t="shared" si="34"/>
        <v>797.65039999999999</v>
      </c>
      <c r="E25" s="24">
        <f t="shared" si="35"/>
        <v>9.9999999974897905E-2</v>
      </c>
      <c r="F25" s="25">
        <f t="shared" si="36"/>
        <v>-3.1999999999925399</v>
      </c>
      <c r="G25" s="26">
        <f t="shared" si="37"/>
        <v>4.9999999987449001E-2</v>
      </c>
      <c r="H25" s="6">
        <v>6.7942</v>
      </c>
      <c r="I25" s="35">
        <f t="shared" si="38"/>
        <v>798.60050000000001</v>
      </c>
      <c r="J25" s="24">
        <f t="shared" si="39"/>
        <v>0.10000000008858501</v>
      </c>
      <c r="K25" s="25">
        <f t="shared" si="40"/>
        <v>-3.69999999998072</v>
      </c>
      <c r="L25" s="26">
        <f t="shared" si="41"/>
        <v>5.0000000044292399E-2</v>
      </c>
      <c r="M25" s="6">
        <v>5.798</v>
      </c>
      <c r="N25" s="35">
        <f t="shared" si="42"/>
        <v>797.60429999999997</v>
      </c>
      <c r="O25" s="24">
        <f t="shared" si="43"/>
        <v>-9.9999999974897905E-2</v>
      </c>
      <c r="P25" s="25">
        <f t="shared" si="44"/>
        <v>-3.2999999999674401</v>
      </c>
      <c r="Q25" s="26">
        <f t="shared" si="45"/>
        <v>-4.9999999987449001E-2</v>
      </c>
      <c r="R25" s="41"/>
      <c r="S25" s="21">
        <f t="shared" si="23"/>
        <v>44927</v>
      </c>
      <c r="T25" s="42">
        <v>9.0076999999999998</v>
      </c>
      <c r="U25" s="43">
        <f t="shared" si="24"/>
        <v>0.100000000010425</v>
      </c>
      <c r="V25" s="44">
        <f t="shared" si="25"/>
        <v>-3.0000000000001101</v>
      </c>
      <c r="W25" s="45">
        <f t="shared" si="26"/>
        <v>-5.00000000052125E-2</v>
      </c>
      <c r="X25" s="29">
        <v>12.1129</v>
      </c>
      <c r="Y25" s="43">
        <f t="shared" si="27"/>
        <v>-0.60000000000037801</v>
      </c>
      <c r="Z25" s="44">
        <f t="shared" si="28"/>
        <v>-3.40000000000096</v>
      </c>
      <c r="AA25" s="45">
        <f t="shared" si="29"/>
        <v>-0.300000000000189</v>
      </c>
      <c r="AB25" s="49">
        <v>8.4484999999999992</v>
      </c>
      <c r="AC25" s="43">
        <f t="shared" si="30"/>
        <v>0.100000000069045</v>
      </c>
      <c r="AD25" s="44">
        <f t="shared" si="31"/>
        <v>-4.0000000000013403</v>
      </c>
      <c r="AE25" s="45">
        <f t="shared" si="32"/>
        <v>5.0000000034522402E-2</v>
      </c>
      <c r="AF25" s="50">
        <v>80577</v>
      </c>
      <c r="AG25" s="58">
        <f t="shared" si="33"/>
        <v>61</v>
      </c>
      <c r="AH25" s="61"/>
      <c r="AI25" s="60"/>
      <c r="AJ25" s="52"/>
      <c r="AK25" s="52"/>
      <c r="AL25" s="52"/>
      <c r="AM25" s="52"/>
    </row>
    <row r="26" spans="1:48">
      <c r="A26" s="21">
        <v>44929</v>
      </c>
      <c r="B26" s="22">
        <v>791.80629999999996</v>
      </c>
      <c r="C26" s="27">
        <v>5.8436000000000003</v>
      </c>
      <c r="D26" s="23">
        <f t="shared" si="34"/>
        <v>797.6499</v>
      </c>
      <c r="E26" s="24">
        <f t="shared" si="35"/>
        <v>-0.49999999998817701</v>
      </c>
      <c r="F26" s="25">
        <f t="shared" si="36"/>
        <v>-3.69999999998072</v>
      </c>
      <c r="G26" s="26">
        <f t="shared" si="37"/>
        <v>-0.24999999999408801</v>
      </c>
      <c r="H26" s="6">
        <v>6.7937000000000003</v>
      </c>
      <c r="I26" s="35">
        <f t="shared" si="38"/>
        <v>798.6</v>
      </c>
      <c r="J26" s="24">
        <f t="shared" si="39"/>
        <v>-0.50000000010186296</v>
      </c>
      <c r="K26" s="25">
        <f t="shared" si="40"/>
        <v>-4.2000000000825803</v>
      </c>
      <c r="L26" s="26">
        <f t="shared" si="41"/>
        <v>-0.25000000005093198</v>
      </c>
      <c r="M26" s="6">
        <v>5.7976999999999999</v>
      </c>
      <c r="N26" s="35">
        <f t="shared" si="42"/>
        <v>797.60400000000004</v>
      </c>
      <c r="O26" s="24">
        <f t="shared" si="43"/>
        <v>-0.30000000003838101</v>
      </c>
      <c r="P26" s="25">
        <f t="shared" si="44"/>
        <v>-3.6000000000058199</v>
      </c>
      <c r="Q26" s="26">
        <f t="shared" si="45"/>
        <v>-0.15000000001919001</v>
      </c>
      <c r="R26" s="41"/>
      <c r="S26" s="21">
        <f t="shared" si="23"/>
        <v>44929</v>
      </c>
      <c r="T26" s="42">
        <v>9.0071999999999903</v>
      </c>
      <c r="U26" s="43">
        <f t="shared" si="24"/>
        <v>-0.50000000000949296</v>
      </c>
      <c r="V26" s="44">
        <f t="shared" si="25"/>
        <v>-3.5000000000096101</v>
      </c>
      <c r="W26" s="45">
        <f t="shared" si="26"/>
        <v>0.25000000000474598</v>
      </c>
      <c r="X26" s="29">
        <v>12.1127</v>
      </c>
      <c r="Y26" s="43">
        <f t="shared" si="27"/>
        <v>-0.19999999999953399</v>
      </c>
      <c r="Z26" s="44">
        <f t="shared" si="28"/>
        <v>-3.6000000000004899</v>
      </c>
      <c r="AA26" s="45">
        <f t="shared" si="29"/>
        <v>-9.99999999997669E-2</v>
      </c>
      <c r="AB26" s="49">
        <v>8.4477999999999103</v>
      </c>
      <c r="AC26" s="43">
        <f t="shared" si="30"/>
        <v>-0.70000000008896301</v>
      </c>
      <c r="AD26" s="44">
        <f t="shared" si="31"/>
        <v>-4.7000000000903004</v>
      </c>
      <c r="AE26" s="45">
        <f t="shared" si="32"/>
        <v>-0.35000000004448101</v>
      </c>
      <c r="AF26" s="50">
        <v>80580</v>
      </c>
      <c r="AG26" s="58">
        <f t="shared" si="33"/>
        <v>64</v>
      </c>
      <c r="AH26" s="59"/>
      <c r="AI26" s="60"/>
      <c r="AJ26" s="61"/>
      <c r="AK26" s="62"/>
      <c r="AL26" s="60"/>
      <c r="AM26" s="64"/>
    </row>
    <row r="27" spans="1:48">
      <c r="A27" s="21">
        <v>44931</v>
      </c>
      <c r="B27" s="22">
        <v>791.80629999999996</v>
      </c>
      <c r="C27" s="27">
        <v>5.8437999999999999</v>
      </c>
      <c r="D27" s="23">
        <f t="shared" si="34"/>
        <v>797.65009999999995</v>
      </c>
      <c r="E27" s="24">
        <f t="shared" si="35"/>
        <v>0.199999999949796</v>
      </c>
      <c r="F27" s="25">
        <f t="shared" si="36"/>
        <v>-3.5000000000309202</v>
      </c>
      <c r="G27" s="26">
        <f t="shared" si="37"/>
        <v>9.9999999974897905E-2</v>
      </c>
      <c r="H27" s="6">
        <v>6.7938000000000001</v>
      </c>
      <c r="I27" s="35">
        <f t="shared" si="38"/>
        <v>798.6001</v>
      </c>
      <c r="J27" s="24">
        <f t="shared" si="39"/>
        <v>0.10000000008858501</v>
      </c>
      <c r="K27" s="25">
        <f t="shared" si="40"/>
        <v>-4.099999999994</v>
      </c>
      <c r="L27" s="26">
        <f t="shared" si="41"/>
        <v>5.0000000044292399E-2</v>
      </c>
      <c r="M27" s="6">
        <v>5.7977999999999996</v>
      </c>
      <c r="N27" s="35">
        <f t="shared" si="42"/>
        <v>797.60410000000002</v>
      </c>
      <c r="O27" s="24">
        <f t="shared" si="43"/>
        <v>0.10000000008858501</v>
      </c>
      <c r="P27" s="25">
        <f t="shared" si="44"/>
        <v>-3.49999999991724</v>
      </c>
      <c r="Q27" s="26">
        <f t="shared" si="45"/>
        <v>5.0000000044292399E-2</v>
      </c>
      <c r="R27" s="41"/>
      <c r="S27" s="21">
        <f t="shared" si="23"/>
        <v>44931</v>
      </c>
      <c r="T27" s="42">
        <v>9.0074000000000005</v>
      </c>
      <c r="U27" s="43">
        <f t="shared" si="24"/>
        <v>0.200000000010192</v>
      </c>
      <c r="V27" s="44">
        <f t="shared" si="25"/>
        <v>-3.2999999999994101</v>
      </c>
      <c r="W27" s="45">
        <f t="shared" si="26"/>
        <v>-0.100000000005096</v>
      </c>
      <c r="X27" s="29">
        <v>12.113</v>
      </c>
      <c r="Y27" s="43">
        <f t="shared" si="27"/>
        <v>0.29999999999930099</v>
      </c>
      <c r="Z27" s="44">
        <f t="shared" si="28"/>
        <v>-3.30000000000119</v>
      </c>
      <c r="AA27" s="45">
        <f t="shared" si="29"/>
        <v>0.14999999999965</v>
      </c>
      <c r="AB27" s="49">
        <v>8.4480000000000004</v>
      </c>
      <c r="AC27" s="43">
        <f t="shared" si="30"/>
        <v>0.200000000090128</v>
      </c>
      <c r="AD27" s="44">
        <f t="shared" si="31"/>
        <v>-4.5000000000001696</v>
      </c>
      <c r="AE27" s="45">
        <f t="shared" si="32"/>
        <v>0.100000000045064</v>
      </c>
      <c r="AF27" s="50">
        <v>80583</v>
      </c>
      <c r="AG27" s="58">
        <f t="shared" si="33"/>
        <v>67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F27-F18</f>
        <v>-1.39999999998963</v>
      </c>
      <c r="F28" s="33">
        <f>K27-K18</f>
        <v>-1.4999999999645299</v>
      </c>
      <c r="G28" s="33">
        <f>P27-P18</f>
        <v>-1.4999999999645299</v>
      </c>
      <c r="H28" s="33">
        <f>F27</f>
        <v>-3.5000000000309202</v>
      </c>
      <c r="I28" s="66">
        <f>K27</f>
        <v>-4.099999999994</v>
      </c>
      <c r="J28" s="65">
        <f>P27</f>
        <v>-3.49999999991724</v>
      </c>
      <c r="K28" s="33">
        <f>(P27-P18)/15</f>
        <v>-9.99999999976353E-2</v>
      </c>
      <c r="L28" s="26"/>
      <c r="N28" s="35"/>
      <c r="O28" s="24"/>
      <c r="P28" s="25"/>
      <c r="Q28" s="26"/>
      <c r="R28" s="41"/>
      <c r="S28" s="21"/>
      <c r="T28" s="42"/>
      <c r="U28" s="65">
        <f>V27-V18</f>
        <v>-1.39999999998963</v>
      </c>
      <c r="V28" s="33">
        <f>Z27-Z18</f>
        <v>-1.3000000000005201</v>
      </c>
      <c r="W28" s="33">
        <f>AD27-AD18</f>
        <v>-2.1999999999895401</v>
      </c>
      <c r="X28" s="33">
        <f>V27</f>
        <v>-3.2999999999994101</v>
      </c>
      <c r="Y28" s="65">
        <f>Z27</f>
        <v>-3.30000000000119</v>
      </c>
      <c r="Z28" s="33">
        <f>AD27</f>
        <v>-4.5000000000001696</v>
      </c>
      <c r="AA28" s="33">
        <f>(Z27-Z18)/15</f>
        <v>-8.6666666666701503E-2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S25" workbookViewId="0">
      <selection activeCell="E27" sqref="E27:K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44911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44911</v>
      </c>
      <c r="B6" s="22">
        <v>791.80629999999996</v>
      </c>
      <c r="C6" s="27">
        <v>5.3474000000000004</v>
      </c>
      <c r="D6" s="23">
        <f>C6+B6</f>
        <v>797.15369999999996</v>
      </c>
      <c r="E6" s="24">
        <v>0</v>
      </c>
      <c r="F6" s="25">
        <v>0</v>
      </c>
      <c r="G6" s="26">
        <v>0</v>
      </c>
      <c r="H6" s="6">
        <v>6.1492000000000004</v>
      </c>
      <c r="I6" s="35">
        <f>H6+B6</f>
        <v>797.95550000000003</v>
      </c>
      <c r="J6" s="24">
        <v>0</v>
      </c>
      <c r="K6" s="25">
        <v>0</v>
      </c>
      <c r="L6" s="26">
        <v>0</v>
      </c>
      <c r="M6" s="6">
        <v>5.4231999999999996</v>
      </c>
      <c r="N6" s="35">
        <f>M6+B6</f>
        <v>797.22950000000003</v>
      </c>
      <c r="O6" s="24">
        <v>0</v>
      </c>
      <c r="P6" s="25">
        <v>0</v>
      </c>
      <c r="Q6" s="26">
        <v>0</v>
      </c>
      <c r="R6" s="41"/>
      <c r="S6" s="21">
        <f>A6</f>
        <v>44911</v>
      </c>
      <c r="T6" s="42">
        <v>8.7878000000000007</v>
      </c>
      <c r="U6" s="43">
        <v>0</v>
      </c>
      <c r="V6" s="44">
        <v>0</v>
      </c>
      <c r="W6" s="45">
        <f>U6/(S6-S11)</f>
        <v>0</v>
      </c>
      <c r="X6" s="29">
        <v>12.342499999999999</v>
      </c>
      <c r="Y6" s="43">
        <v>0</v>
      </c>
      <c r="Z6" s="44">
        <v>0</v>
      </c>
      <c r="AA6" s="45">
        <v>0</v>
      </c>
      <c r="AB6" s="49">
        <v>8.8848000000000003</v>
      </c>
      <c r="AC6" s="43">
        <v>0</v>
      </c>
      <c r="AD6" s="44">
        <v>0</v>
      </c>
      <c r="AE6" s="45">
        <v>0</v>
      </c>
      <c r="AF6" s="50">
        <v>80542</v>
      </c>
      <c r="AG6" s="58">
        <f>AF6-80538</f>
        <v>4</v>
      </c>
      <c r="AH6" s="59"/>
      <c r="AI6" s="60"/>
      <c r="AJ6" s="61"/>
      <c r="AK6" s="62"/>
      <c r="AL6" s="52"/>
      <c r="AM6" s="52"/>
    </row>
    <row r="7" spans="1:48">
      <c r="A7" s="21">
        <v>44912</v>
      </c>
      <c r="B7" s="22">
        <v>791.80629999999996</v>
      </c>
      <c r="C7" s="27">
        <v>5.3472999999999997</v>
      </c>
      <c r="D7" s="23">
        <f>C7+B7</f>
        <v>797.15359999999998</v>
      </c>
      <c r="E7" s="24">
        <f>(D7-D6)*1000</f>
        <v>-9.9999999974897905E-2</v>
      </c>
      <c r="F7" s="25">
        <f>F6+E7</f>
        <v>-9.9999999974897905E-2</v>
      </c>
      <c r="G7" s="26">
        <f>E7/(A7-A6)</f>
        <v>-9.9999999974897905E-2</v>
      </c>
      <c r="H7" s="6">
        <v>6.149</v>
      </c>
      <c r="I7" s="35">
        <f>H7+B7</f>
        <v>797.95529999999997</v>
      </c>
      <c r="J7" s="24">
        <f>(I7-I6)*1000</f>
        <v>-0.199999999949796</v>
      </c>
      <c r="K7" s="25">
        <f>K6+J7</f>
        <v>-0.199999999949796</v>
      </c>
      <c r="L7" s="26">
        <f>J7/(A7-A6)</f>
        <v>-0.199999999949796</v>
      </c>
      <c r="M7" s="6">
        <v>5.423</v>
      </c>
      <c r="N7" s="35">
        <f>M7+B7</f>
        <v>797.22929999999997</v>
      </c>
      <c r="O7" s="24">
        <f>(N7-N6)*1000</f>
        <v>-0.199999999949796</v>
      </c>
      <c r="P7" s="25">
        <f>P6+O7</f>
        <v>-0.199999999949796</v>
      </c>
      <c r="Q7" s="26">
        <f>O7/(A7-A6)</f>
        <v>-0.199999999949796</v>
      </c>
      <c r="R7" s="41"/>
      <c r="S7" s="21">
        <f>A7</f>
        <v>44912</v>
      </c>
      <c r="T7" s="42">
        <v>8.7874999999999996</v>
      </c>
      <c r="U7" s="43">
        <f>(T7-T6)*1000</f>
        <v>-0.30000000000107702</v>
      </c>
      <c r="V7" s="44">
        <f>V6+U7</f>
        <v>-0.30000000000107702</v>
      </c>
      <c r="W7" s="45">
        <f>U7/(S6-S7)</f>
        <v>0.30000000000107702</v>
      </c>
      <c r="X7" s="29">
        <v>12.3423</v>
      </c>
      <c r="Y7" s="43">
        <f>(X7-X6)*1000</f>
        <v>-0.19999999999953399</v>
      </c>
      <c r="Z7" s="44">
        <f>Z6+Y7</f>
        <v>-0.19999999999953399</v>
      </c>
      <c r="AA7" s="45">
        <f>Y7/(S7-S6)</f>
        <v>-0.19999999999953399</v>
      </c>
      <c r="AB7" s="49">
        <v>8.8841999999999999</v>
      </c>
      <c r="AC7" s="43">
        <f>(AB7-AB6)*1000</f>
        <v>-0.60000000000037801</v>
      </c>
      <c r="AD7" s="44">
        <f>AD6+AC7</f>
        <v>-0.60000000000037801</v>
      </c>
      <c r="AE7" s="45">
        <f>AC7/(S7-S6)</f>
        <v>-0.60000000000037801</v>
      </c>
      <c r="AF7" s="50">
        <v>80545</v>
      </c>
      <c r="AG7" s="58">
        <f>AF7-80538</f>
        <v>7</v>
      </c>
      <c r="AH7" s="59"/>
      <c r="AI7" s="60"/>
      <c r="AJ7" s="61"/>
      <c r="AK7" s="62"/>
      <c r="AL7" s="52"/>
      <c r="AM7" s="52"/>
    </row>
    <row r="8" spans="1:48">
      <c r="A8" s="21">
        <v>44913</v>
      </c>
      <c r="B8" s="22">
        <v>791.80629999999996</v>
      </c>
      <c r="C8" s="27">
        <v>5.3470000000000004</v>
      </c>
      <c r="D8" s="23">
        <f>C8+B8</f>
        <v>797.15329999999994</v>
      </c>
      <c r="E8" s="24">
        <f>(D8-D7)*1000</f>
        <v>-0.30000000003838101</v>
      </c>
      <c r="F8" s="25">
        <f>F7+E8</f>
        <v>-0.40000000001327901</v>
      </c>
      <c r="G8" s="26">
        <f>E8/(A8-A7)</f>
        <v>-0.30000000003838101</v>
      </c>
      <c r="H8" s="6">
        <v>6.1485000000000003</v>
      </c>
      <c r="I8" s="35">
        <f>H8+B8</f>
        <v>797.95479999999998</v>
      </c>
      <c r="J8" s="24">
        <f>(I8-I7)*1000</f>
        <v>-0.49999999998817701</v>
      </c>
      <c r="K8" s="25">
        <f>K7+J8</f>
        <v>-0.69999999993797202</v>
      </c>
      <c r="L8" s="26">
        <f>J8/(A8-A7)</f>
        <v>-0.49999999998817701</v>
      </c>
      <c r="M8" s="6">
        <v>5.4227999999999996</v>
      </c>
      <c r="N8" s="35">
        <f>M8+B8</f>
        <v>797.22910000000002</v>
      </c>
      <c r="O8" s="24">
        <f>(N8-N7)*1000</f>
        <v>-0.199999999949796</v>
      </c>
      <c r="P8" s="25">
        <f>P7+O8</f>
        <v>-0.39999999989959201</v>
      </c>
      <c r="Q8" s="26">
        <f>O8/(A8-A7)</f>
        <v>-0.199999999949796</v>
      </c>
      <c r="R8" s="41"/>
      <c r="S8" s="21">
        <f>A8</f>
        <v>44913</v>
      </c>
      <c r="T8" s="42">
        <v>8.7872000000000003</v>
      </c>
      <c r="U8" s="43">
        <f>(T8-T7)*1000</f>
        <v>-0.29999999999930099</v>
      </c>
      <c r="V8" s="44">
        <f>V7+U8</f>
        <v>-0.60000000000037801</v>
      </c>
      <c r="W8" s="45">
        <f>U8/(S7-S8)</f>
        <v>0.29999999999930099</v>
      </c>
      <c r="X8" s="29">
        <v>12.342000000000001</v>
      </c>
      <c r="Y8" s="43">
        <f>(X8-X7)*1000</f>
        <v>-0.29999999999930099</v>
      </c>
      <c r="Z8" s="44">
        <f>Z7+Y8</f>
        <v>-0.49999999999883499</v>
      </c>
      <c r="AA8" s="45">
        <f>Y8/(S8-S7)</f>
        <v>-0.29999999999930099</v>
      </c>
      <c r="AB8" s="49">
        <v>8.8840000000000003</v>
      </c>
      <c r="AC8" s="43">
        <f>(AB8-AB7)*1000</f>
        <v>-0.19999999999953399</v>
      </c>
      <c r="AD8" s="44">
        <f>AD7+AC8</f>
        <v>-0.799999999999912</v>
      </c>
      <c r="AE8" s="45">
        <f>AC8/(S8-S7)</f>
        <v>-0.19999999999953399</v>
      </c>
      <c r="AF8" s="50">
        <v>80548</v>
      </c>
      <c r="AG8" s="58">
        <f>AF8-80538</f>
        <v>10</v>
      </c>
      <c r="AH8" s="59"/>
      <c r="AI8" s="60"/>
      <c r="AJ8" s="61"/>
      <c r="AK8" s="62"/>
      <c r="AL8" s="52"/>
      <c r="AM8" s="52"/>
    </row>
    <row r="9" spans="1:48">
      <c r="A9" s="21">
        <v>44914</v>
      </c>
      <c r="B9" s="22">
        <v>791.80629999999996</v>
      </c>
      <c r="C9" s="27">
        <v>5.3471000000000002</v>
      </c>
      <c r="D9" s="23">
        <f>C9+B9</f>
        <v>797.15340000000003</v>
      </c>
      <c r="E9" s="24">
        <f>(D9-D8)*1000</f>
        <v>9.9999999974897905E-2</v>
      </c>
      <c r="F9" s="25">
        <f>F8+E9</f>
        <v>-0.30000000003838101</v>
      </c>
      <c r="G9" s="26">
        <f>E9/(A9-A8)</f>
        <v>9.9999999974897905E-2</v>
      </c>
      <c r="H9" s="6">
        <v>6.1487999999999996</v>
      </c>
      <c r="I9" s="35">
        <f>H9+B9</f>
        <v>797.95510000000002</v>
      </c>
      <c r="J9" s="24">
        <f>(I9-I8)*1000</f>
        <v>0.30000000003838101</v>
      </c>
      <c r="K9" s="25">
        <f>K8+J9</f>
        <v>-0.39999999989959201</v>
      </c>
      <c r="L9" s="26">
        <f>J9/(A9-A8)</f>
        <v>0.30000000003838101</v>
      </c>
      <c r="M9" s="6">
        <v>5.4229000000000003</v>
      </c>
      <c r="N9" s="35">
        <f>M9+B9</f>
        <v>797.22919999999999</v>
      </c>
      <c r="O9" s="24">
        <f>(N9-N8)*1000</f>
        <v>9.9999999974897905E-2</v>
      </c>
      <c r="P9" s="25">
        <f>P8+O9</f>
        <v>-0.29999999992469401</v>
      </c>
      <c r="Q9" s="26">
        <f>O9/(A9-A8)</f>
        <v>9.9999999974897905E-2</v>
      </c>
      <c r="R9" s="41"/>
      <c r="S9" s="21">
        <f>A9</f>
        <v>44914</v>
      </c>
      <c r="T9" s="42">
        <v>8.7871000000000006</v>
      </c>
      <c r="U9" s="43">
        <f>(T9-T8)*1000</f>
        <v>-9.99999999997669E-2</v>
      </c>
      <c r="V9" s="44">
        <f>V8+U9</f>
        <v>-0.70000000000014495</v>
      </c>
      <c r="W9" s="45">
        <f>U9/(S8-S9)</f>
        <v>9.99999999997669E-2</v>
      </c>
      <c r="X9" s="29">
        <v>12.341799999999999</v>
      </c>
      <c r="Y9" s="43">
        <f>(X9-X8)*1000</f>
        <v>-0.20000000000130999</v>
      </c>
      <c r="Z9" s="44">
        <f>Z8+Y9</f>
        <v>-0.70000000000014495</v>
      </c>
      <c r="AA9" s="45">
        <f>Y9/(S9-S8)</f>
        <v>-0.20000000000130999</v>
      </c>
      <c r="AB9" s="49">
        <v>8.8838000000000008</v>
      </c>
      <c r="AC9" s="43">
        <f>(AB9-AB8)*1000</f>
        <v>-0.19999999999953399</v>
      </c>
      <c r="AD9" s="44">
        <f>AD8+AC9</f>
        <v>-0.999999999999446</v>
      </c>
      <c r="AE9" s="45">
        <f>AC9/(S9-S8)</f>
        <v>-0.19999999999953399</v>
      </c>
      <c r="AF9" s="50">
        <v>80551</v>
      </c>
      <c r="AG9" s="58">
        <f>AF9-80538</f>
        <v>13</v>
      </c>
      <c r="AH9" s="61"/>
      <c r="AI9" s="60"/>
      <c r="AJ9"/>
      <c r="AK9"/>
      <c r="AL9"/>
      <c r="AM9"/>
    </row>
    <row r="10" spans="1:48">
      <c r="A10" s="21">
        <v>44915</v>
      </c>
      <c r="B10" s="22">
        <v>791.80629999999996</v>
      </c>
      <c r="C10" s="27">
        <v>5.3468</v>
      </c>
      <c r="D10" s="23">
        <f>C10+B10</f>
        <v>797.15309999999999</v>
      </c>
      <c r="E10" s="24">
        <f>(D10-D9)*1000</f>
        <v>-0.29999999992469401</v>
      </c>
      <c r="F10" s="25">
        <f>F9+E10</f>
        <v>-0.59999999996307496</v>
      </c>
      <c r="G10" s="26">
        <f>E10/(A10-A9)</f>
        <v>-0.29999999992469401</v>
      </c>
      <c r="H10" s="6">
        <v>6.1483999999999996</v>
      </c>
      <c r="I10" s="35">
        <f>H10+B10</f>
        <v>797.9547</v>
      </c>
      <c r="J10" s="24">
        <f>(I10-I9)*1000</f>
        <v>-0.40000000001327901</v>
      </c>
      <c r="K10" s="25">
        <f>K9+J10</f>
        <v>-0.79999999991286996</v>
      </c>
      <c r="L10" s="26">
        <f>J10/(A10-A9)</f>
        <v>-0.40000000001327901</v>
      </c>
      <c r="M10" s="6">
        <v>5.4226000000000001</v>
      </c>
      <c r="N10" s="35">
        <f>M10+B10</f>
        <v>797.22889999999995</v>
      </c>
      <c r="O10" s="24">
        <f>(N10-N9)*1000</f>
        <v>-0.30000000003838101</v>
      </c>
      <c r="P10" s="25">
        <f>P9+O10</f>
        <v>-0.59999999996307496</v>
      </c>
      <c r="Q10" s="26">
        <f>O10/(A10-A9)</f>
        <v>-0.30000000003838101</v>
      </c>
      <c r="R10" s="41"/>
      <c r="S10" s="21">
        <f>A10</f>
        <v>44915</v>
      </c>
      <c r="T10" s="42">
        <v>8.7868999999999993</v>
      </c>
      <c r="U10" s="43">
        <f>(T10-T9)*1000</f>
        <v>-0.20000000000130999</v>
      </c>
      <c r="V10" s="44">
        <f>V9+U10</f>
        <v>-0.90000000000145497</v>
      </c>
      <c r="W10" s="45">
        <f>U10/(S9-S10)</f>
        <v>0.20000000000130999</v>
      </c>
      <c r="X10" s="29">
        <v>12.341699999999999</v>
      </c>
      <c r="Y10" s="43">
        <f>(X10-X9)*1000</f>
        <v>-9.99999999997669E-2</v>
      </c>
      <c r="Z10" s="44">
        <f>Z9+Y10</f>
        <v>-0.799999999999912</v>
      </c>
      <c r="AA10" s="45">
        <f>Y10/(S10-S9)</f>
        <v>-9.99999999997669E-2</v>
      </c>
      <c r="AB10" s="49">
        <v>8.8839000000000006</v>
      </c>
      <c r="AC10" s="43">
        <f>(AB10-AB9)*1000</f>
        <v>9.99999999997669E-2</v>
      </c>
      <c r="AD10" s="44">
        <f>AD9+AC10</f>
        <v>-0.89999999999967895</v>
      </c>
      <c r="AE10" s="45">
        <f>AC10/(S10-S9)</f>
        <v>9.99999999997669E-2</v>
      </c>
      <c r="AF10" s="50">
        <v>80554</v>
      </c>
      <c r="AG10" s="58">
        <f>AF10-80538</f>
        <v>16</v>
      </c>
      <c r="AH10" s="59"/>
      <c r="AI10" s="60"/>
      <c r="AJ10" s="61"/>
      <c r="AK10" s="62"/>
      <c r="AL10" s="52"/>
      <c r="AM10" s="52"/>
    </row>
    <row r="11" spans="1:48">
      <c r="A11" s="21">
        <v>44916</v>
      </c>
      <c r="B11" s="22">
        <v>791.80629999999996</v>
      </c>
      <c r="C11" s="27">
        <v>5.3464999999999998</v>
      </c>
      <c r="D11" s="23">
        <f t="shared" ref="D11:D20" si="0">C11+B11</f>
        <v>797.15279999999996</v>
      </c>
      <c r="E11" s="24">
        <f t="shared" ref="E11:E20" si="1">(D11-D10)*1000</f>
        <v>-0.30000000003838101</v>
      </c>
      <c r="F11" s="25">
        <f t="shared" ref="F11:F20" si="2">F10+E11</f>
        <v>-0.90000000000145497</v>
      </c>
      <c r="G11" s="26">
        <f t="shared" ref="G11:G20" si="3">E11/(A11-A10)</f>
        <v>-0.30000000003838101</v>
      </c>
      <c r="H11" s="6">
        <v>6.1479999999999997</v>
      </c>
      <c r="I11" s="35">
        <f t="shared" ref="I11:I20" si="4">H11+B11</f>
        <v>797.95429999999999</v>
      </c>
      <c r="J11" s="24">
        <f t="shared" ref="J11:J20" si="5">(I11-I10)*1000</f>
        <v>-0.40000000001327901</v>
      </c>
      <c r="K11" s="25">
        <f t="shared" ref="K11:K20" si="6">K10+J11</f>
        <v>-1.1999999999261499</v>
      </c>
      <c r="L11" s="26">
        <f t="shared" ref="L11:L20" si="7">J11/(A11-A10)</f>
        <v>-0.40000000001327901</v>
      </c>
      <c r="M11" s="6">
        <v>5.4222999999999999</v>
      </c>
      <c r="N11" s="35">
        <f t="shared" ref="N11:N20" si="8">M11+B11</f>
        <v>797.22860000000003</v>
      </c>
      <c r="O11" s="24">
        <f t="shared" ref="O11:O20" si="9">(N11-N10)*1000</f>
        <v>-0.30000000003838101</v>
      </c>
      <c r="P11" s="25">
        <f t="shared" ref="P11:P20" si="10">P10+O11</f>
        <v>-0.90000000000145497</v>
      </c>
      <c r="Q11" s="26">
        <f t="shared" ref="Q11:Q20" si="11">O11/(A11-A10)</f>
        <v>-0.30000000003838101</v>
      </c>
      <c r="R11" s="41"/>
      <c r="S11" s="21">
        <f t="shared" ref="S11:S26" si="12">A11</f>
        <v>44916</v>
      </c>
      <c r="T11" s="42">
        <v>8.7866999999999997</v>
      </c>
      <c r="U11" s="43">
        <f t="shared" ref="U11:U26" si="13">(T11-T10)*1000</f>
        <v>-0.19999999999953399</v>
      </c>
      <c r="V11" s="44">
        <f t="shared" ref="V11:V26" si="14">V10+U11</f>
        <v>-1.10000000000099</v>
      </c>
      <c r="W11" s="45">
        <f t="shared" ref="W11:W26" si="15">U11/(S10-S11)</f>
        <v>0.19999999999953399</v>
      </c>
      <c r="X11" s="29">
        <v>12.3416</v>
      </c>
      <c r="Y11" s="43">
        <f t="shared" ref="Y11:Y26" si="16">(X11-X10)*1000</f>
        <v>-9.99999999997669E-2</v>
      </c>
      <c r="Z11" s="44">
        <f t="shared" ref="Z11:Z26" si="17">Z10+Y11</f>
        <v>-0.89999999999967895</v>
      </c>
      <c r="AA11" s="45">
        <f t="shared" ref="AA11:AA26" si="18">Y11/(S11-S10)</f>
        <v>-9.99999999997669E-2</v>
      </c>
      <c r="AB11" s="49">
        <v>8.8834999999999997</v>
      </c>
      <c r="AC11" s="43">
        <f t="shared" ref="AC11:AC26" si="19">(AB11-AB10)*1000</f>
        <v>-0.40000000000084401</v>
      </c>
      <c r="AD11" s="44">
        <f t="shared" ref="AD11:AD26" si="20">AD10+AC11</f>
        <v>-1.3000000000005201</v>
      </c>
      <c r="AE11" s="45">
        <f t="shared" ref="AE11:AE26" si="21">AC11/(S11-S10)</f>
        <v>-0.40000000000084401</v>
      </c>
      <c r="AF11" s="50">
        <v>80557</v>
      </c>
      <c r="AG11" s="58">
        <f t="shared" ref="AG11:AG26" si="22">AF11-80538</f>
        <v>19</v>
      </c>
      <c r="AH11" s="61"/>
      <c r="AI11" s="60"/>
      <c r="AJ11"/>
      <c r="AK11"/>
      <c r="AL11"/>
      <c r="AM11"/>
    </row>
    <row r="12" spans="1:48">
      <c r="A12" s="21">
        <v>44917</v>
      </c>
      <c r="B12" s="22">
        <v>791.80629999999996</v>
      </c>
      <c r="C12" s="27">
        <v>5.3464999999999998</v>
      </c>
      <c r="D12" s="23">
        <f t="shared" si="0"/>
        <v>797.15279999999996</v>
      </c>
      <c r="E12" s="24">
        <f t="shared" si="1"/>
        <v>0</v>
      </c>
      <c r="F12" s="25">
        <f t="shared" si="2"/>
        <v>-0.90000000000145497</v>
      </c>
      <c r="G12" s="26">
        <f t="shared" si="3"/>
        <v>0</v>
      </c>
      <c r="H12" s="6">
        <v>6.1482000000000001</v>
      </c>
      <c r="I12" s="35">
        <f t="shared" si="4"/>
        <v>797.95450000000005</v>
      </c>
      <c r="J12" s="24">
        <f t="shared" si="5"/>
        <v>0.199999999949796</v>
      </c>
      <c r="K12" s="25">
        <f t="shared" si="6"/>
        <v>-0.99999999997635303</v>
      </c>
      <c r="L12" s="26">
        <f t="shared" si="7"/>
        <v>0.199999999949796</v>
      </c>
      <c r="M12" s="6">
        <v>5.4222000000000001</v>
      </c>
      <c r="N12" s="35">
        <f t="shared" si="8"/>
        <v>797.22850000000005</v>
      </c>
      <c r="O12" s="24">
        <f t="shared" si="9"/>
        <v>-9.9999999974897905E-2</v>
      </c>
      <c r="P12" s="25">
        <f t="shared" si="10"/>
        <v>-0.99999999997635303</v>
      </c>
      <c r="Q12" s="26">
        <f t="shared" si="11"/>
        <v>-9.9999999974897905E-2</v>
      </c>
      <c r="R12" s="41"/>
      <c r="S12" s="21">
        <f t="shared" si="12"/>
        <v>44917</v>
      </c>
      <c r="T12" s="42">
        <v>8.7866</v>
      </c>
      <c r="U12" s="43">
        <f t="shared" si="13"/>
        <v>-9.99999999997669E-2</v>
      </c>
      <c r="V12" s="44">
        <f t="shared" si="14"/>
        <v>-1.20000000000076</v>
      </c>
      <c r="W12" s="45">
        <f t="shared" si="15"/>
        <v>9.99999999997669E-2</v>
      </c>
      <c r="X12" s="29">
        <v>12.3413</v>
      </c>
      <c r="Y12" s="43">
        <f t="shared" si="16"/>
        <v>-0.29999999999930099</v>
      </c>
      <c r="Z12" s="44">
        <f t="shared" si="17"/>
        <v>-1.1999999999989801</v>
      </c>
      <c r="AA12" s="45">
        <f t="shared" si="18"/>
        <v>-0.29999999999930099</v>
      </c>
      <c r="AB12" s="49">
        <v>8.8835999999999995</v>
      </c>
      <c r="AC12" s="43">
        <f t="shared" si="19"/>
        <v>9.99999999997669E-2</v>
      </c>
      <c r="AD12" s="44">
        <f t="shared" si="20"/>
        <v>-1.20000000000076</v>
      </c>
      <c r="AE12" s="45">
        <f t="shared" si="21"/>
        <v>9.99999999997669E-2</v>
      </c>
      <c r="AF12" s="50">
        <v>80560</v>
      </c>
      <c r="AG12" s="58">
        <f t="shared" si="22"/>
        <v>22</v>
      </c>
      <c r="AH12" s="59"/>
      <c r="AI12" s="60"/>
      <c r="AJ12"/>
      <c r="AK12"/>
      <c r="AL12"/>
      <c r="AM12"/>
    </row>
    <row r="13" spans="1:48">
      <c r="A13" s="21">
        <v>44918</v>
      </c>
      <c r="B13" s="22">
        <v>791.80629999999996</v>
      </c>
      <c r="C13" s="27">
        <v>5.3459000000000003</v>
      </c>
      <c r="D13" s="23">
        <f t="shared" si="0"/>
        <v>797.15219999999999</v>
      </c>
      <c r="E13" s="24">
        <f t="shared" si="1"/>
        <v>-0.59999999996307496</v>
      </c>
      <c r="F13" s="25">
        <f t="shared" si="2"/>
        <v>-1.4999999999645299</v>
      </c>
      <c r="G13" s="26">
        <f t="shared" si="3"/>
        <v>-0.59999999996307496</v>
      </c>
      <c r="H13" s="6">
        <v>6.1479999999999997</v>
      </c>
      <c r="I13" s="35">
        <f t="shared" si="4"/>
        <v>797.95429999999999</v>
      </c>
      <c r="J13" s="24">
        <f t="shared" si="5"/>
        <v>-0.199999999949796</v>
      </c>
      <c r="K13" s="25">
        <f t="shared" si="6"/>
        <v>-1.1999999999261499</v>
      </c>
      <c r="L13" s="26">
        <f t="shared" si="7"/>
        <v>-0.199999999949796</v>
      </c>
      <c r="M13" s="6">
        <v>5.4217000000000004</v>
      </c>
      <c r="N13" s="35">
        <f t="shared" si="8"/>
        <v>797.22799999999995</v>
      </c>
      <c r="O13" s="24">
        <f t="shared" si="9"/>
        <v>-0.49999999998817701</v>
      </c>
      <c r="P13" s="25">
        <f t="shared" si="10"/>
        <v>-1.4999999999645299</v>
      </c>
      <c r="Q13" s="26">
        <f t="shared" si="11"/>
        <v>-0.49999999998817701</v>
      </c>
      <c r="R13" s="41"/>
      <c r="S13" s="21">
        <f t="shared" si="12"/>
        <v>44918</v>
      </c>
      <c r="T13" s="42">
        <v>8.7863000000000007</v>
      </c>
      <c r="U13" s="43">
        <f t="shared" si="13"/>
        <v>-0.29999999999930099</v>
      </c>
      <c r="V13" s="44">
        <f t="shared" si="14"/>
        <v>-1.50000000000006</v>
      </c>
      <c r="W13" s="45">
        <f t="shared" si="15"/>
        <v>0.29999999999930099</v>
      </c>
      <c r="X13" s="29">
        <v>12.3414</v>
      </c>
      <c r="Y13" s="43">
        <f t="shared" si="16"/>
        <v>9.99999999997669E-2</v>
      </c>
      <c r="Z13" s="44">
        <f t="shared" si="17"/>
        <v>-1.0999999999992101</v>
      </c>
      <c r="AA13" s="45">
        <f t="shared" si="18"/>
        <v>9.99999999997669E-2</v>
      </c>
      <c r="AB13" s="49">
        <v>8.8834</v>
      </c>
      <c r="AC13" s="43">
        <f t="shared" si="19"/>
        <v>-0.19999999999953399</v>
      </c>
      <c r="AD13" s="44">
        <f t="shared" si="20"/>
        <v>-1.4000000000002899</v>
      </c>
      <c r="AE13" s="45">
        <f t="shared" si="21"/>
        <v>-0.19999999999953399</v>
      </c>
      <c r="AF13" s="50">
        <v>80563</v>
      </c>
      <c r="AG13" s="58">
        <f t="shared" si="22"/>
        <v>25</v>
      </c>
      <c r="AH13" s="61"/>
      <c r="AI13" s="60"/>
      <c r="AJ13"/>
      <c r="AK13"/>
      <c r="AL13"/>
      <c r="AM13"/>
    </row>
    <row r="14" spans="1:48">
      <c r="A14" s="21">
        <v>44919</v>
      </c>
      <c r="B14" s="22">
        <v>791.80629999999996</v>
      </c>
      <c r="C14" s="27">
        <v>5.3457999999999997</v>
      </c>
      <c r="D14" s="23">
        <f t="shared" si="0"/>
        <v>797.15210000000002</v>
      </c>
      <c r="E14" s="24">
        <f t="shared" si="1"/>
        <v>-9.9999999974897905E-2</v>
      </c>
      <c r="F14" s="25">
        <f t="shared" si="2"/>
        <v>-1.5999999999394301</v>
      </c>
      <c r="G14" s="26">
        <f t="shared" si="3"/>
        <v>-9.9999999974897905E-2</v>
      </c>
      <c r="H14" s="6">
        <v>6.1478000000000002</v>
      </c>
      <c r="I14" s="35">
        <f t="shared" si="4"/>
        <v>797.95410000000004</v>
      </c>
      <c r="J14" s="24">
        <f t="shared" si="5"/>
        <v>-0.20000000006348301</v>
      </c>
      <c r="K14" s="25">
        <f t="shared" si="6"/>
        <v>-1.39999999998963</v>
      </c>
      <c r="L14" s="26">
        <f t="shared" si="7"/>
        <v>-0.20000000006348301</v>
      </c>
      <c r="M14" s="6">
        <v>5.4215999999999998</v>
      </c>
      <c r="N14" s="35">
        <f t="shared" si="8"/>
        <v>797.22789999999998</v>
      </c>
      <c r="O14" s="24">
        <f t="shared" si="9"/>
        <v>-9.9999999974897905E-2</v>
      </c>
      <c r="P14" s="25">
        <f t="shared" si="10"/>
        <v>-1.5999999999394301</v>
      </c>
      <c r="Q14" s="26">
        <f t="shared" si="11"/>
        <v>-9.9999999974897905E-2</v>
      </c>
      <c r="R14" s="41"/>
      <c r="S14" s="21">
        <f t="shared" si="12"/>
        <v>44919</v>
      </c>
      <c r="T14" s="42">
        <v>8.7860999999999905</v>
      </c>
      <c r="U14" s="43">
        <f t="shared" si="13"/>
        <v>-0.200000000010192</v>
      </c>
      <c r="V14" s="44">
        <f t="shared" si="14"/>
        <v>-1.70000000001025</v>
      </c>
      <c r="W14" s="45">
        <f t="shared" si="15"/>
        <v>0.200000000010192</v>
      </c>
      <c r="X14" s="29">
        <v>12.3413</v>
      </c>
      <c r="Y14" s="43">
        <f t="shared" si="16"/>
        <v>-9.99999999997669E-2</v>
      </c>
      <c r="Z14" s="44">
        <f t="shared" si="17"/>
        <v>-1.1999999999989801</v>
      </c>
      <c r="AA14" s="45">
        <f t="shared" si="18"/>
        <v>-9.99999999997669E-2</v>
      </c>
      <c r="AB14" s="49">
        <v>8.8832000000000004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80566</v>
      </c>
      <c r="AG14" s="58">
        <f t="shared" si="22"/>
        <v>28</v>
      </c>
      <c r="AH14" s="59"/>
      <c r="AI14" s="60"/>
      <c r="AJ14"/>
      <c r="AK14"/>
      <c r="AL14"/>
      <c r="AM14"/>
    </row>
    <row r="15" spans="1:48">
      <c r="A15" s="21">
        <v>44920</v>
      </c>
      <c r="B15" s="22">
        <v>791.80629999999996</v>
      </c>
      <c r="C15" s="27">
        <v>5.3452999999999999</v>
      </c>
      <c r="D15" s="23">
        <f t="shared" si="0"/>
        <v>797.15160000000003</v>
      </c>
      <c r="E15" s="24">
        <f t="shared" si="1"/>
        <v>-0.50000000010186296</v>
      </c>
      <c r="F15" s="25">
        <f t="shared" si="2"/>
        <v>-2.1000000000412902</v>
      </c>
      <c r="G15" s="26">
        <f t="shared" si="3"/>
        <v>-0.50000000010186296</v>
      </c>
      <c r="H15" s="6">
        <v>6.1475</v>
      </c>
      <c r="I15" s="35">
        <f t="shared" si="4"/>
        <v>797.9538</v>
      </c>
      <c r="J15" s="24">
        <f t="shared" si="5"/>
        <v>-0.29999999992469401</v>
      </c>
      <c r="K15" s="25">
        <f t="shared" si="6"/>
        <v>-1.69999999991433</v>
      </c>
      <c r="L15" s="26">
        <f t="shared" si="7"/>
        <v>-0.29999999992469401</v>
      </c>
      <c r="M15" s="6">
        <v>5.4211</v>
      </c>
      <c r="N15" s="35">
        <f t="shared" si="8"/>
        <v>797.22739999999999</v>
      </c>
      <c r="O15" s="24">
        <f t="shared" si="9"/>
        <v>-0.49999999998817701</v>
      </c>
      <c r="P15" s="25">
        <f t="shared" si="10"/>
        <v>-2.0999999999275998</v>
      </c>
      <c r="Q15" s="26">
        <f t="shared" si="11"/>
        <v>-0.49999999998817701</v>
      </c>
      <c r="R15" s="41"/>
      <c r="S15" s="21">
        <f t="shared" si="12"/>
        <v>44920</v>
      </c>
      <c r="T15" s="42">
        <v>8.7861999999999991</v>
      </c>
      <c r="U15" s="43">
        <f t="shared" si="13"/>
        <v>0.100000000008649</v>
      </c>
      <c r="V15" s="44">
        <f t="shared" si="14"/>
        <v>-1.6000000000015999</v>
      </c>
      <c r="W15" s="45">
        <f t="shared" si="15"/>
        <v>-0.100000000008649</v>
      </c>
      <c r="X15" s="29">
        <v>12.340999999999999</v>
      </c>
      <c r="Y15" s="43">
        <f t="shared" si="16"/>
        <v>-0.30000000000107702</v>
      </c>
      <c r="Z15" s="44">
        <f t="shared" si="17"/>
        <v>-1.50000000000006</v>
      </c>
      <c r="AA15" s="45">
        <f t="shared" si="18"/>
        <v>-0.30000000000107702</v>
      </c>
      <c r="AB15" s="49">
        <v>8.8834999999999997</v>
      </c>
      <c r="AC15" s="43">
        <f t="shared" si="19"/>
        <v>0.29999999999930099</v>
      </c>
      <c r="AD15" s="44">
        <f t="shared" si="20"/>
        <v>-1.3000000000005201</v>
      </c>
      <c r="AE15" s="45">
        <f t="shared" si="21"/>
        <v>0.29999999999930099</v>
      </c>
      <c r="AF15" s="50">
        <v>80569</v>
      </c>
      <c r="AG15" s="58">
        <f t="shared" si="22"/>
        <v>31</v>
      </c>
      <c r="AH15" s="61"/>
      <c r="AI15" s="60"/>
      <c r="AJ15"/>
      <c r="AK15"/>
      <c r="AL15"/>
      <c r="AM15"/>
    </row>
    <row r="16" spans="1:48">
      <c r="A16" s="21">
        <v>44921</v>
      </c>
      <c r="B16" s="22">
        <v>791.80629999999996</v>
      </c>
      <c r="C16" s="27">
        <v>5.3452000000000002</v>
      </c>
      <c r="D16" s="23">
        <f t="shared" si="0"/>
        <v>797.15150000000006</v>
      </c>
      <c r="E16" s="24">
        <f t="shared" si="1"/>
        <v>-9.9999999974897905E-2</v>
      </c>
      <c r="F16" s="25">
        <f t="shared" si="2"/>
        <v>-2.2000000000161899</v>
      </c>
      <c r="G16" s="26">
        <f t="shared" si="3"/>
        <v>-9.9999999974897905E-2</v>
      </c>
      <c r="H16" s="6">
        <v>6.1474000000000002</v>
      </c>
      <c r="I16" s="35">
        <f t="shared" si="4"/>
        <v>797.95370000000003</v>
      </c>
      <c r="J16" s="24">
        <f t="shared" si="5"/>
        <v>-0.10000000008858501</v>
      </c>
      <c r="K16" s="25">
        <f t="shared" si="6"/>
        <v>-1.8000000000029099</v>
      </c>
      <c r="L16" s="26">
        <f t="shared" si="7"/>
        <v>-0.10000000008858501</v>
      </c>
      <c r="M16" s="6">
        <v>5.4207999999999998</v>
      </c>
      <c r="N16" s="35">
        <f t="shared" si="8"/>
        <v>797.22709999999995</v>
      </c>
      <c r="O16" s="24">
        <f t="shared" si="9"/>
        <v>-0.30000000003838101</v>
      </c>
      <c r="P16" s="25">
        <f t="shared" si="10"/>
        <v>-2.39999999996598</v>
      </c>
      <c r="Q16" s="26">
        <f t="shared" si="11"/>
        <v>-0.30000000003838101</v>
      </c>
      <c r="R16" s="41"/>
      <c r="S16" s="21">
        <f t="shared" si="12"/>
        <v>44921</v>
      </c>
      <c r="T16" s="42">
        <v>8.7856999999999896</v>
      </c>
      <c r="U16" s="43">
        <f t="shared" si="13"/>
        <v>-0.50000000000949296</v>
      </c>
      <c r="V16" s="44">
        <f t="shared" si="14"/>
        <v>-2.1000000000110899</v>
      </c>
      <c r="W16" s="45">
        <f t="shared" si="15"/>
        <v>0.50000000000949296</v>
      </c>
      <c r="X16" s="29">
        <v>12.341100000000001</v>
      </c>
      <c r="Y16" s="43">
        <f t="shared" si="16"/>
        <v>0.10000000000154299</v>
      </c>
      <c r="Z16" s="44">
        <f t="shared" si="17"/>
        <v>-1.39999999999851</v>
      </c>
      <c r="AA16" s="45">
        <f t="shared" si="18"/>
        <v>0.10000000000154299</v>
      </c>
      <c r="AB16" s="49">
        <v>8.8827999999999996</v>
      </c>
      <c r="AC16" s="43">
        <f t="shared" si="19"/>
        <v>-0.70000000000014495</v>
      </c>
      <c r="AD16" s="44">
        <f t="shared" si="20"/>
        <v>-2.0000000000006701</v>
      </c>
      <c r="AE16" s="45">
        <f t="shared" si="21"/>
        <v>-0.70000000000014495</v>
      </c>
      <c r="AF16" s="50">
        <v>80572</v>
      </c>
      <c r="AG16" s="58">
        <f t="shared" si="22"/>
        <v>34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44922</v>
      </c>
      <c r="B17" s="22">
        <v>791.80629999999996</v>
      </c>
      <c r="C17" s="27">
        <v>5.3446999999999996</v>
      </c>
      <c r="D17" s="23">
        <f t="shared" si="0"/>
        <v>797.15099999999995</v>
      </c>
      <c r="E17" s="24">
        <f t="shared" si="1"/>
        <v>-0.49999999998817701</v>
      </c>
      <c r="F17" s="25">
        <f t="shared" si="2"/>
        <v>-2.70000000000437</v>
      </c>
      <c r="G17" s="26">
        <f t="shared" si="3"/>
        <v>-0.49999999998817701</v>
      </c>
      <c r="H17" s="6">
        <v>6.1471999999999998</v>
      </c>
      <c r="I17" s="35">
        <f t="shared" si="4"/>
        <v>797.95349999999996</v>
      </c>
      <c r="J17" s="24">
        <f t="shared" si="5"/>
        <v>-0.199999999949796</v>
      </c>
      <c r="K17" s="25">
        <f t="shared" si="6"/>
        <v>-1.9999999999527101</v>
      </c>
      <c r="L17" s="26">
        <f t="shared" si="7"/>
        <v>-0.199999999949796</v>
      </c>
      <c r="M17" s="6">
        <v>5.4204999999999997</v>
      </c>
      <c r="N17" s="35">
        <f t="shared" si="8"/>
        <v>797.22680000000003</v>
      </c>
      <c r="O17" s="24">
        <f t="shared" si="9"/>
        <v>-0.30000000003838101</v>
      </c>
      <c r="P17" s="25">
        <f t="shared" si="10"/>
        <v>-2.70000000000437</v>
      </c>
      <c r="Q17" s="26">
        <f t="shared" si="11"/>
        <v>-0.30000000003838101</v>
      </c>
      <c r="R17" s="41"/>
      <c r="S17" s="21">
        <f t="shared" si="12"/>
        <v>44922</v>
      </c>
      <c r="T17" s="42">
        <v>8.7854999999999901</v>
      </c>
      <c r="U17" s="43">
        <f t="shared" si="13"/>
        <v>-0.19999999999953399</v>
      </c>
      <c r="V17" s="44">
        <f t="shared" si="14"/>
        <v>-2.30000000001063</v>
      </c>
      <c r="W17" s="45">
        <f t="shared" si="15"/>
        <v>0.19999999999953399</v>
      </c>
      <c r="X17" s="29">
        <v>12.340999999999999</v>
      </c>
      <c r="Y17" s="43">
        <f t="shared" si="16"/>
        <v>-0.10000000000154299</v>
      </c>
      <c r="Z17" s="44">
        <f t="shared" si="17"/>
        <v>-1.50000000000006</v>
      </c>
      <c r="AA17" s="45">
        <f t="shared" si="18"/>
        <v>-0.10000000000154299</v>
      </c>
      <c r="AB17" s="49">
        <v>8.8829999999999991</v>
      </c>
      <c r="AC17" s="43">
        <f t="shared" si="19"/>
        <v>0.19999999999953399</v>
      </c>
      <c r="AD17" s="44">
        <f t="shared" si="20"/>
        <v>-1.80000000000113</v>
      </c>
      <c r="AE17" s="45">
        <f t="shared" si="21"/>
        <v>0.19999999999953399</v>
      </c>
      <c r="AF17" s="50">
        <v>80575</v>
      </c>
      <c r="AG17" s="58">
        <f t="shared" si="22"/>
        <v>37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44923</v>
      </c>
      <c r="B18" s="22">
        <v>791.80629999999996</v>
      </c>
      <c r="C18" s="27">
        <v>5.3444000000000003</v>
      </c>
      <c r="D18" s="23">
        <f t="shared" si="0"/>
        <v>797.15070000000003</v>
      </c>
      <c r="E18" s="24">
        <f t="shared" si="1"/>
        <v>-0.30000000003838101</v>
      </c>
      <c r="F18" s="25">
        <f t="shared" si="2"/>
        <v>-3.0000000000427498</v>
      </c>
      <c r="G18" s="26">
        <f t="shared" si="3"/>
        <v>-0.30000000003838101</v>
      </c>
      <c r="H18" s="6">
        <v>6.1471</v>
      </c>
      <c r="I18" s="35">
        <f t="shared" si="4"/>
        <v>797.95339999999999</v>
      </c>
      <c r="J18" s="24">
        <f t="shared" si="5"/>
        <v>-9.9999999974897905E-2</v>
      </c>
      <c r="K18" s="25">
        <f t="shared" si="6"/>
        <v>-2.0999999999275998</v>
      </c>
      <c r="L18" s="26">
        <f t="shared" si="7"/>
        <v>-9.9999999974897905E-2</v>
      </c>
      <c r="M18" s="6">
        <v>5.4206000000000003</v>
      </c>
      <c r="N18" s="35">
        <f t="shared" si="8"/>
        <v>797.2269</v>
      </c>
      <c r="O18" s="24">
        <f t="shared" si="9"/>
        <v>0.10000000008858501</v>
      </c>
      <c r="P18" s="25">
        <f t="shared" si="10"/>
        <v>-2.5999999999157799</v>
      </c>
      <c r="Q18" s="26">
        <f t="shared" si="11"/>
        <v>0.10000000008858501</v>
      </c>
      <c r="R18" s="41"/>
      <c r="S18" s="21">
        <f t="shared" si="12"/>
        <v>44923</v>
      </c>
      <c r="T18" s="42">
        <v>8.7856000000000005</v>
      </c>
      <c r="U18" s="43">
        <f t="shared" si="13"/>
        <v>0.100000000010425</v>
      </c>
      <c r="V18" s="44">
        <f t="shared" si="14"/>
        <v>-2.2000000000002</v>
      </c>
      <c r="W18" s="45">
        <f t="shared" si="15"/>
        <v>-0.100000000010425</v>
      </c>
      <c r="X18" s="29">
        <v>12.3409</v>
      </c>
      <c r="Y18" s="43">
        <f t="shared" si="16"/>
        <v>-9.99999999997669E-2</v>
      </c>
      <c r="Z18" s="44">
        <f t="shared" si="17"/>
        <v>-1.59999999999982</v>
      </c>
      <c r="AA18" s="45">
        <f t="shared" si="18"/>
        <v>-9.99999999997669E-2</v>
      </c>
      <c r="AB18" s="49">
        <v>8.8824000000000005</v>
      </c>
      <c r="AC18" s="43">
        <f t="shared" si="19"/>
        <v>-0.59999999999860198</v>
      </c>
      <c r="AD18" s="44">
        <f t="shared" si="20"/>
        <v>-2.3999999999997401</v>
      </c>
      <c r="AE18" s="45">
        <f t="shared" si="21"/>
        <v>-0.59999999999860198</v>
      </c>
      <c r="AF18" s="50">
        <v>80578</v>
      </c>
      <c r="AG18" s="58">
        <f t="shared" si="22"/>
        <v>40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44924</v>
      </c>
      <c r="B19" s="22">
        <v>791.80629999999996</v>
      </c>
      <c r="C19" s="27">
        <v>5.3445</v>
      </c>
      <c r="D19" s="23">
        <f t="shared" si="0"/>
        <v>797.1508</v>
      </c>
      <c r="E19" s="24">
        <f t="shared" si="1"/>
        <v>0.10000000008858501</v>
      </c>
      <c r="F19" s="25">
        <f t="shared" si="2"/>
        <v>-2.8999999999541601</v>
      </c>
      <c r="G19" s="26">
        <f t="shared" si="3"/>
        <v>0.10000000008858501</v>
      </c>
      <c r="H19" s="6">
        <v>6.1467999999999998</v>
      </c>
      <c r="I19" s="35">
        <f t="shared" si="4"/>
        <v>797.95309999999995</v>
      </c>
      <c r="J19" s="24">
        <f t="shared" si="5"/>
        <v>-0.30000000003838101</v>
      </c>
      <c r="K19" s="25">
        <f t="shared" si="6"/>
        <v>-2.39999999996598</v>
      </c>
      <c r="L19" s="26">
        <f t="shared" si="7"/>
        <v>-0.30000000003838101</v>
      </c>
      <c r="M19" s="6">
        <v>5.4199000000000002</v>
      </c>
      <c r="N19" s="35">
        <f t="shared" si="8"/>
        <v>797.22619999999995</v>
      </c>
      <c r="O19" s="24">
        <f t="shared" si="9"/>
        <v>-0.70000000005165897</v>
      </c>
      <c r="P19" s="25">
        <f t="shared" si="10"/>
        <v>-3.2999999999674401</v>
      </c>
      <c r="Q19" s="26">
        <f t="shared" si="11"/>
        <v>-0.70000000005165897</v>
      </c>
      <c r="R19" s="41"/>
      <c r="S19" s="21">
        <f t="shared" si="12"/>
        <v>44924</v>
      </c>
      <c r="T19" s="42">
        <v>8.7850999999999893</v>
      </c>
      <c r="U19" s="43">
        <f t="shared" si="13"/>
        <v>-0.50000000001126899</v>
      </c>
      <c r="V19" s="44">
        <f t="shared" si="14"/>
        <v>-2.7000000000114701</v>
      </c>
      <c r="W19" s="45">
        <f t="shared" si="15"/>
        <v>0.50000000001126899</v>
      </c>
      <c r="X19" s="29">
        <v>12.340999999999999</v>
      </c>
      <c r="Y19" s="43">
        <f t="shared" si="16"/>
        <v>9.99999999997669E-2</v>
      </c>
      <c r="Z19" s="44">
        <f t="shared" si="17"/>
        <v>-1.50000000000006</v>
      </c>
      <c r="AA19" s="45">
        <f t="shared" si="18"/>
        <v>9.99999999997669E-2</v>
      </c>
      <c r="AB19" s="49">
        <v>8.8821999999999992</v>
      </c>
      <c r="AC19" s="43">
        <f t="shared" si="19"/>
        <v>-0.20000000000130999</v>
      </c>
      <c r="AD19" s="44">
        <f t="shared" si="20"/>
        <v>-2.6000000000010499</v>
      </c>
      <c r="AE19" s="45">
        <f t="shared" si="21"/>
        <v>-0.20000000000130999</v>
      </c>
      <c r="AF19" s="50">
        <v>80581</v>
      </c>
      <c r="AG19" s="58">
        <f t="shared" si="22"/>
        <v>43</v>
      </c>
      <c r="AH19" s="61"/>
      <c r="AI19" s="60"/>
      <c r="AJ19"/>
      <c r="AK19"/>
      <c r="AL19"/>
      <c r="AM19"/>
    </row>
    <row r="20" spans="1:48">
      <c r="A20" s="21">
        <v>44925</v>
      </c>
      <c r="B20" s="22">
        <v>791.80629999999996</v>
      </c>
      <c r="C20" s="27">
        <v>5.3437999999999999</v>
      </c>
      <c r="D20" s="23">
        <f t="shared" si="0"/>
        <v>797.15009999999995</v>
      </c>
      <c r="E20" s="24">
        <f t="shared" si="1"/>
        <v>-0.70000000005165897</v>
      </c>
      <c r="F20" s="25">
        <f t="shared" si="2"/>
        <v>-3.6000000000058199</v>
      </c>
      <c r="G20" s="26">
        <f t="shared" si="3"/>
        <v>-0.70000000005165897</v>
      </c>
      <c r="H20" s="6">
        <v>6.1467999999999998</v>
      </c>
      <c r="I20" s="35">
        <f t="shared" si="4"/>
        <v>797.95309999999995</v>
      </c>
      <c r="J20" s="24">
        <f t="shared" si="5"/>
        <v>0</v>
      </c>
      <c r="K20" s="25">
        <f t="shared" si="6"/>
        <v>-2.39999999996598</v>
      </c>
      <c r="L20" s="26">
        <f t="shared" si="7"/>
        <v>0</v>
      </c>
      <c r="M20" s="6">
        <v>5.4198000000000004</v>
      </c>
      <c r="N20" s="35">
        <f t="shared" si="8"/>
        <v>797.22609999999997</v>
      </c>
      <c r="O20" s="24">
        <f t="shared" si="9"/>
        <v>-9.9999999974897905E-2</v>
      </c>
      <c r="P20" s="25">
        <f t="shared" si="10"/>
        <v>-3.3999999999423398</v>
      </c>
      <c r="Q20" s="26">
        <f t="shared" si="11"/>
        <v>-9.9999999974897905E-2</v>
      </c>
      <c r="R20" s="41"/>
      <c r="S20" s="21">
        <f t="shared" si="12"/>
        <v>44925</v>
      </c>
      <c r="T20" s="42">
        <v>8.7851999999999997</v>
      </c>
      <c r="U20" s="43">
        <f t="shared" si="13"/>
        <v>0.100000000010425</v>
      </c>
      <c r="V20" s="44">
        <f t="shared" si="14"/>
        <v>-2.6000000000010499</v>
      </c>
      <c r="W20" s="45">
        <f t="shared" si="15"/>
        <v>-0.100000000010425</v>
      </c>
      <c r="X20" s="29">
        <v>12.3407</v>
      </c>
      <c r="Y20" s="43">
        <f t="shared" si="16"/>
        <v>-0.29999999999930099</v>
      </c>
      <c r="Z20" s="44">
        <f t="shared" si="17"/>
        <v>-1.7999999999993599</v>
      </c>
      <c r="AA20" s="45">
        <f t="shared" si="18"/>
        <v>-0.29999999999930099</v>
      </c>
      <c r="AB20" s="49">
        <v>8.8820999999999994</v>
      </c>
      <c r="AC20" s="43">
        <f t="shared" si="19"/>
        <v>-9.99999999997669E-2</v>
      </c>
      <c r="AD20" s="44">
        <f t="shared" si="20"/>
        <v>-2.7000000000008102</v>
      </c>
      <c r="AE20" s="45">
        <f t="shared" si="21"/>
        <v>-9.99999999997669E-2</v>
      </c>
      <c r="AF20" s="50">
        <v>80584</v>
      </c>
      <c r="AG20" s="58">
        <f t="shared" si="22"/>
        <v>46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44928</v>
      </c>
      <c r="B21" s="22">
        <v>791.80629999999996</v>
      </c>
      <c r="C21" s="27">
        <v>5.3434999999999997</v>
      </c>
      <c r="D21" s="23">
        <f t="shared" ref="D21:D26" si="23">C21+B21</f>
        <v>797.14980000000003</v>
      </c>
      <c r="E21" s="24">
        <f t="shared" ref="E21:E26" si="24">(D21-D20)*1000</f>
        <v>-0.30000000003838101</v>
      </c>
      <c r="F21" s="25">
        <f t="shared" ref="F21:F26" si="25">F20+E21</f>
        <v>-3.9000000000442001</v>
      </c>
      <c r="G21" s="26">
        <f t="shared" ref="G21:G26" si="26">E21/(A21-A20)</f>
        <v>-0.10000000001279399</v>
      </c>
      <c r="H21" s="6">
        <v>6.1463999999999999</v>
      </c>
      <c r="I21" s="35">
        <f t="shared" ref="I21:I26" si="27">H21+B21</f>
        <v>797.95270000000005</v>
      </c>
      <c r="J21" s="24">
        <f t="shared" ref="J21:J26" si="28">(I21-I20)*1000</f>
        <v>-0.40000000001327901</v>
      </c>
      <c r="K21" s="25">
        <f t="shared" ref="K21:K26" si="29">K20+J21</f>
        <v>-2.79999999997926</v>
      </c>
      <c r="L21" s="26">
        <f t="shared" ref="L21:L26" si="30">J21/(A21-A20)</f>
        <v>-0.13333333333776001</v>
      </c>
      <c r="M21" s="6">
        <v>5.4192999999999998</v>
      </c>
      <c r="N21" s="35">
        <f t="shared" ref="N21:N26" si="31">M21+B21</f>
        <v>797.22559999999999</v>
      </c>
      <c r="O21" s="24">
        <f t="shared" ref="O21:O26" si="32">(N21-N20)*1000</f>
        <v>-0.49999999998817701</v>
      </c>
      <c r="P21" s="25">
        <f t="shared" ref="P21:P26" si="33">P20+O21</f>
        <v>-3.8999999999305102</v>
      </c>
      <c r="Q21" s="26">
        <f t="shared" ref="Q21:Q26" si="34">O21/(A21-A20)</f>
        <v>-0.166666666662726</v>
      </c>
      <c r="R21" s="41"/>
      <c r="S21" s="21">
        <f t="shared" si="12"/>
        <v>44928</v>
      </c>
      <c r="T21" s="42">
        <v>8.7846999999999795</v>
      </c>
      <c r="U21" s="43">
        <f t="shared" si="13"/>
        <v>-0.50000000002015099</v>
      </c>
      <c r="V21" s="44">
        <f t="shared" si="14"/>
        <v>-3.1000000000212</v>
      </c>
      <c r="W21" s="45">
        <f t="shared" si="15"/>
        <v>0.16666666667338401</v>
      </c>
      <c r="X21" s="29">
        <v>12.3406</v>
      </c>
      <c r="Y21" s="43">
        <f t="shared" si="16"/>
        <v>-9.99999999997669E-2</v>
      </c>
      <c r="Z21" s="44">
        <f t="shared" si="17"/>
        <v>-1.8999999999991199</v>
      </c>
      <c r="AA21" s="45">
        <f t="shared" si="18"/>
        <v>-3.3333333333255603E-2</v>
      </c>
      <c r="AB21" s="49">
        <v>8.8818000000000001</v>
      </c>
      <c r="AC21" s="43">
        <f t="shared" si="19"/>
        <v>-0.29999999999930099</v>
      </c>
      <c r="AD21" s="44">
        <f t="shared" si="20"/>
        <v>-3.0000000000001101</v>
      </c>
      <c r="AE21" s="45">
        <f t="shared" si="21"/>
        <v>-9.99999999997669E-2</v>
      </c>
      <c r="AF21" s="50">
        <v>80587</v>
      </c>
      <c r="AG21" s="58">
        <f t="shared" si="22"/>
        <v>49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44930</v>
      </c>
      <c r="B22" s="22">
        <v>791.80629999999996</v>
      </c>
      <c r="C22" s="27">
        <v>5.3432000000000004</v>
      </c>
      <c r="D22" s="23">
        <f t="shared" si="23"/>
        <v>797.14949999999999</v>
      </c>
      <c r="E22" s="24">
        <f t="shared" si="24"/>
        <v>-0.29999999992469401</v>
      </c>
      <c r="F22" s="25">
        <f t="shared" si="25"/>
        <v>-4.1999999999688997</v>
      </c>
      <c r="G22" s="26">
        <f t="shared" si="26"/>
        <v>-0.149999999962347</v>
      </c>
      <c r="H22" s="6">
        <v>6.1462000000000003</v>
      </c>
      <c r="I22" s="35">
        <f t="shared" si="27"/>
        <v>797.95249999999999</v>
      </c>
      <c r="J22" s="24">
        <f t="shared" si="28"/>
        <v>-0.199999999949796</v>
      </c>
      <c r="K22" s="25">
        <f t="shared" si="29"/>
        <v>-2.9999999999290599</v>
      </c>
      <c r="L22" s="26">
        <f t="shared" si="30"/>
        <v>-9.9999999974897905E-2</v>
      </c>
      <c r="M22" s="6">
        <v>5.4189999999999996</v>
      </c>
      <c r="N22" s="35">
        <f t="shared" si="31"/>
        <v>797.22529999999995</v>
      </c>
      <c r="O22" s="24">
        <f t="shared" si="32"/>
        <v>-0.30000000003838101</v>
      </c>
      <c r="P22" s="25">
        <f t="shared" si="33"/>
        <v>-4.1999999999688997</v>
      </c>
      <c r="Q22" s="26">
        <f t="shared" si="34"/>
        <v>-0.15000000001919001</v>
      </c>
      <c r="R22" s="41"/>
      <c r="S22" s="21">
        <f t="shared" si="12"/>
        <v>44930</v>
      </c>
      <c r="T22" s="42">
        <v>8.7843999999999998</v>
      </c>
      <c r="U22" s="43">
        <f t="shared" si="13"/>
        <v>-0.29999999997976101</v>
      </c>
      <c r="V22" s="44">
        <f t="shared" si="14"/>
        <v>-3.40000000000096</v>
      </c>
      <c r="W22" s="45">
        <f t="shared" si="15"/>
        <v>0.14999999998988001</v>
      </c>
      <c r="X22" s="29">
        <v>12.3408</v>
      </c>
      <c r="Y22" s="43">
        <f t="shared" si="16"/>
        <v>0.19999999999953399</v>
      </c>
      <c r="Z22" s="44">
        <f t="shared" si="17"/>
        <v>-1.6999999999995901</v>
      </c>
      <c r="AA22" s="45">
        <f t="shared" si="18"/>
        <v>9.99999999997669E-2</v>
      </c>
      <c r="AB22" s="49">
        <v>8.8816000000000006</v>
      </c>
      <c r="AC22" s="43">
        <f t="shared" si="19"/>
        <v>-0.19999999999953399</v>
      </c>
      <c r="AD22" s="44">
        <f t="shared" si="20"/>
        <v>-3.1999999999996498</v>
      </c>
      <c r="AE22" s="45">
        <f t="shared" si="21"/>
        <v>-9.99999999997669E-2</v>
      </c>
      <c r="AF22" s="50">
        <v>80590</v>
      </c>
      <c r="AG22" s="58">
        <f t="shared" si="22"/>
        <v>52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44932</v>
      </c>
      <c r="B23" s="22">
        <v>791.80629999999996</v>
      </c>
      <c r="C23" s="27">
        <v>5.3432000000000004</v>
      </c>
      <c r="D23" s="23">
        <f t="shared" si="23"/>
        <v>797.14949999999999</v>
      </c>
      <c r="E23" s="24">
        <f t="shared" si="24"/>
        <v>0</v>
      </c>
      <c r="F23" s="25">
        <f t="shared" si="25"/>
        <v>-4.1999999999688997</v>
      </c>
      <c r="G23" s="26">
        <f t="shared" si="26"/>
        <v>0</v>
      </c>
      <c r="H23" s="6">
        <v>6.1463000000000001</v>
      </c>
      <c r="I23" s="35">
        <f t="shared" si="27"/>
        <v>797.95259999999996</v>
      </c>
      <c r="J23" s="24">
        <f t="shared" si="28"/>
        <v>9.9999999974897905E-2</v>
      </c>
      <c r="K23" s="25">
        <f t="shared" si="29"/>
        <v>-2.8999999999541601</v>
      </c>
      <c r="L23" s="26">
        <f t="shared" si="30"/>
        <v>4.9999999987449001E-2</v>
      </c>
      <c r="M23" s="6">
        <v>5.4191000000000003</v>
      </c>
      <c r="N23" s="35">
        <f t="shared" si="31"/>
        <v>797.22540000000004</v>
      </c>
      <c r="O23" s="24">
        <f t="shared" si="32"/>
        <v>9.9999999974897905E-2</v>
      </c>
      <c r="P23" s="25">
        <f t="shared" si="33"/>
        <v>-4.099999999994</v>
      </c>
      <c r="Q23" s="26">
        <f t="shared" si="34"/>
        <v>4.9999999987449001E-2</v>
      </c>
      <c r="R23" s="41"/>
      <c r="S23" s="21">
        <f t="shared" si="12"/>
        <v>44932</v>
      </c>
      <c r="T23" s="42">
        <v>8.7842999999999805</v>
      </c>
      <c r="U23" s="43">
        <f t="shared" si="13"/>
        <v>-0.10000000001930701</v>
      </c>
      <c r="V23" s="44">
        <f t="shared" si="14"/>
        <v>-3.5000000000202598</v>
      </c>
      <c r="W23" s="45">
        <f t="shared" si="15"/>
        <v>5.0000000009653399E-2</v>
      </c>
      <c r="X23" s="29">
        <v>12.340400000000001</v>
      </c>
      <c r="Y23" s="43">
        <f t="shared" si="16"/>
        <v>-0.39999999999906799</v>
      </c>
      <c r="Z23" s="44">
        <f t="shared" si="17"/>
        <v>-2.0999999999986598</v>
      </c>
      <c r="AA23" s="45">
        <f t="shared" si="18"/>
        <v>-0.19999999999953399</v>
      </c>
      <c r="AB23" s="49">
        <v>8.8815000000000008</v>
      </c>
      <c r="AC23" s="43">
        <f t="shared" si="19"/>
        <v>-9.99999999997669E-2</v>
      </c>
      <c r="AD23" s="44">
        <f t="shared" si="20"/>
        <v>-3.2999999999994101</v>
      </c>
      <c r="AE23" s="45">
        <f t="shared" si="21"/>
        <v>-4.9999999999883499E-2</v>
      </c>
      <c r="AF23" s="50">
        <v>80593</v>
      </c>
      <c r="AG23" s="58">
        <f t="shared" si="22"/>
        <v>55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44934</v>
      </c>
      <c r="B24" s="22">
        <v>791.80629999999996</v>
      </c>
      <c r="C24" s="27">
        <v>5.3426</v>
      </c>
      <c r="D24" s="23">
        <f t="shared" si="23"/>
        <v>797.14890000000003</v>
      </c>
      <c r="E24" s="24">
        <f t="shared" si="24"/>
        <v>-0.60000000007676102</v>
      </c>
      <c r="F24" s="25">
        <f t="shared" si="25"/>
        <v>-4.8000000000456602</v>
      </c>
      <c r="G24" s="26">
        <f t="shared" si="26"/>
        <v>-0.30000000003838101</v>
      </c>
      <c r="H24" s="6">
        <v>6.1458000000000004</v>
      </c>
      <c r="I24" s="35">
        <f t="shared" si="27"/>
        <v>797.95209999999997</v>
      </c>
      <c r="J24" s="24">
        <f t="shared" si="28"/>
        <v>-0.49999999998817701</v>
      </c>
      <c r="K24" s="25">
        <f t="shared" si="29"/>
        <v>-3.3999999999423398</v>
      </c>
      <c r="L24" s="26">
        <f t="shared" si="30"/>
        <v>-0.24999999999408801</v>
      </c>
      <c r="M24" s="6">
        <v>5.4184000000000001</v>
      </c>
      <c r="N24" s="35">
        <f t="shared" si="31"/>
        <v>797.22469999999998</v>
      </c>
      <c r="O24" s="24">
        <f t="shared" si="32"/>
        <v>-0.69999999993797202</v>
      </c>
      <c r="P24" s="25">
        <f t="shared" si="33"/>
        <v>-4.7999999999319698</v>
      </c>
      <c r="Q24" s="26">
        <f t="shared" si="34"/>
        <v>-0.34999999996898601</v>
      </c>
      <c r="R24" s="41"/>
      <c r="S24" s="21">
        <f t="shared" si="12"/>
        <v>44934</v>
      </c>
      <c r="T24" s="42">
        <v>8.7840999999999791</v>
      </c>
      <c r="U24" s="43">
        <f t="shared" si="13"/>
        <v>-0.20000000000130999</v>
      </c>
      <c r="V24" s="44">
        <f t="shared" si="14"/>
        <v>-3.70000000002157</v>
      </c>
      <c r="W24" s="45">
        <f t="shared" si="15"/>
        <v>0.100000000000655</v>
      </c>
      <c r="X24" s="29">
        <v>12.340299999999999</v>
      </c>
      <c r="Y24" s="43">
        <f t="shared" si="16"/>
        <v>-0.10000000000154299</v>
      </c>
      <c r="Z24" s="44">
        <f t="shared" si="17"/>
        <v>-2.2000000000002</v>
      </c>
      <c r="AA24" s="45">
        <f t="shared" si="18"/>
        <v>-5.0000000000771601E-2</v>
      </c>
      <c r="AB24" s="49">
        <v>8.8812000000000104</v>
      </c>
      <c r="AC24" s="43">
        <f t="shared" si="19"/>
        <v>-0.29999999999041899</v>
      </c>
      <c r="AD24" s="44">
        <f t="shared" si="20"/>
        <v>-3.59999999998983</v>
      </c>
      <c r="AE24" s="45">
        <f t="shared" si="21"/>
        <v>-0.14999999999520999</v>
      </c>
      <c r="AF24" s="50">
        <v>80596</v>
      </c>
      <c r="AG24" s="58">
        <f t="shared" si="22"/>
        <v>58</v>
      </c>
      <c r="AH24" s="59"/>
      <c r="AI24" s="60"/>
      <c r="AJ24" s="52"/>
      <c r="AK24" s="52"/>
      <c r="AL24" s="52"/>
      <c r="AM24" s="52"/>
    </row>
    <row r="25" spans="1:48">
      <c r="A25" s="21">
        <v>44936</v>
      </c>
      <c r="B25" s="22">
        <v>791.80629999999996</v>
      </c>
      <c r="C25" s="27">
        <v>5.343</v>
      </c>
      <c r="D25" s="23">
        <f t="shared" si="23"/>
        <v>797.14930000000004</v>
      </c>
      <c r="E25" s="24">
        <f t="shared" si="24"/>
        <v>0.40000000001327901</v>
      </c>
      <c r="F25" s="25">
        <f t="shared" si="25"/>
        <v>-4.4000000000323798</v>
      </c>
      <c r="G25" s="26">
        <f t="shared" si="26"/>
        <v>0.20000000000663901</v>
      </c>
      <c r="H25" s="6">
        <v>6.1459000000000001</v>
      </c>
      <c r="I25" s="35">
        <f t="shared" si="27"/>
        <v>797.95219999999995</v>
      </c>
      <c r="J25" s="24">
        <f t="shared" si="28"/>
        <v>9.9999999974897905E-2</v>
      </c>
      <c r="K25" s="25">
        <f t="shared" si="29"/>
        <v>-3.2999999999674401</v>
      </c>
      <c r="L25" s="26">
        <f t="shared" si="30"/>
        <v>4.9999999987449001E-2</v>
      </c>
      <c r="M25" s="6">
        <v>5.4180999999999999</v>
      </c>
      <c r="N25" s="35">
        <f t="shared" si="31"/>
        <v>797.22439999999995</v>
      </c>
      <c r="O25" s="24">
        <f t="shared" si="32"/>
        <v>-0.30000000003838101</v>
      </c>
      <c r="P25" s="25">
        <f t="shared" si="33"/>
        <v>-5.0999999999703496</v>
      </c>
      <c r="Q25" s="26">
        <f t="shared" si="34"/>
        <v>-0.15000000001919001</v>
      </c>
      <c r="R25" s="41"/>
      <c r="S25" s="21">
        <f t="shared" si="12"/>
        <v>44936</v>
      </c>
      <c r="T25" s="42">
        <v>8.7842000000000002</v>
      </c>
      <c r="U25" s="43">
        <f t="shared" si="13"/>
        <v>0.100000000021083</v>
      </c>
      <c r="V25" s="44">
        <f t="shared" si="14"/>
        <v>-3.6000000000004899</v>
      </c>
      <c r="W25" s="45">
        <f t="shared" si="15"/>
        <v>-5.0000000010541598E-2</v>
      </c>
      <c r="X25" s="29">
        <v>12.3405</v>
      </c>
      <c r="Y25" s="43">
        <f t="shared" si="16"/>
        <v>0.20000000000130999</v>
      </c>
      <c r="Z25" s="44">
        <f t="shared" si="17"/>
        <v>-1.99999999999889</v>
      </c>
      <c r="AA25" s="45">
        <f t="shared" si="18"/>
        <v>0.100000000000655</v>
      </c>
      <c r="AB25" s="49">
        <v>8.8810000000000109</v>
      </c>
      <c r="AC25" s="43">
        <f t="shared" si="19"/>
        <v>-0.19999999999953399</v>
      </c>
      <c r="AD25" s="44">
        <f t="shared" si="20"/>
        <v>-3.7999999999893701</v>
      </c>
      <c r="AE25" s="45">
        <f t="shared" si="21"/>
        <v>-9.99999999997669E-2</v>
      </c>
      <c r="AF25" s="50">
        <v>80599</v>
      </c>
      <c r="AG25" s="58">
        <f t="shared" si="22"/>
        <v>61</v>
      </c>
      <c r="AH25" s="61"/>
      <c r="AI25" s="60"/>
      <c r="AJ25" s="52"/>
      <c r="AK25" s="52"/>
      <c r="AL25" s="52"/>
      <c r="AM25" s="52"/>
    </row>
    <row r="26" spans="1:48">
      <c r="A26" s="21">
        <v>44938</v>
      </c>
      <c r="B26" s="22">
        <v>791.80629999999996</v>
      </c>
      <c r="C26" s="27">
        <v>5.3433000000000002</v>
      </c>
      <c r="D26" s="23">
        <f t="shared" si="23"/>
        <v>797.14959999999996</v>
      </c>
      <c r="E26" s="24">
        <f t="shared" si="24"/>
        <v>0.30000000003838101</v>
      </c>
      <c r="F26" s="25">
        <f t="shared" si="25"/>
        <v>-4.099999999994</v>
      </c>
      <c r="G26" s="26">
        <f t="shared" si="26"/>
        <v>0.15000000001919001</v>
      </c>
      <c r="H26" s="6">
        <v>6.1459999999999999</v>
      </c>
      <c r="I26" s="35">
        <f t="shared" si="27"/>
        <v>797.95230000000004</v>
      </c>
      <c r="J26" s="24">
        <f t="shared" si="28"/>
        <v>9.9999999974897905E-2</v>
      </c>
      <c r="K26" s="25">
        <f t="shared" si="29"/>
        <v>-3.1999999999925399</v>
      </c>
      <c r="L26" s="26">
        <f t="shared" si="30"/>
        <v>4.9999999987449001E-2</v>
      </c>
      <c r="M26" s="6">
        <v>5.4183000000000003</v>
      </c>
      <c r="N26" s="35">
        <f t="shared" si="31"/>
        <v>797.22460000000001</v>
      </c>
      <c r="O26" s="24">
        <f t="shared" si="32"/>
        <v>0.20000000006348301</v>
      </c>
      <c r="P26" s="25">
        <f t="shared" si="33"/>
        <v>-4.8999999999068704</v>
      </c>
      <c r="Q26" s="26">
        <f t="shared" si="34"/>
        <v>0.100000000031741</v>
      </c>
      <c r="R26" s="41"/>
      <c r="S26" s="21">
        <f t="shared" si="12"/>
        <v>44938</v>
      </c>
      <c r="T26" s="42">
        <v>8.7843</v>
      </c>
      <c r="U26" s="43">
        <f t="shared" si="13"/>
        <v>9.99999999997669E-2</v>
      </c>
      <c r="V26" s="44">
        <f t="shared" si="14"/>
        <v>-3.5000000000007199</v>
      </c>
      <c r="W26" s="45">
        <f t="shared" si="15"/>
        <v>-4.9999999999883499E-2</v>
      </c>
      <c r="X26" s="29">
        <v>12.340299999999999</v>
      </c>
      <c r="Y26" s="43">
        <f t="shared" si="16"/>
        <v>-0.20000000000130999</v>
      </c>
      <c r="Z26" s="44">
        <f t="shared" si="17"/>
        <v>-2.2000000000002</v>
      </c>
      <c r="AA26" s="45">
        <f t="shared" si="18"/>
        <v>-0.100000000000655</v>
      </c>
      <c r="AB26" s="49">
        <v>8.8806999999999992</v>
      </c>
      <c r="AC26" s="43">
        <f t="shared" si="19"/>
        <v>-0.30000000001173499</v>
      </c>
      <c r="AD26" s="44">
        <f t="shared" si="20"/>
        <v>-4.1000000000011001</v>
      </c>
      <c r="AE26" s="45">
        <f t="shared" si="21"/>
        <v>-0.15000000000586799</v>
      </c>
      <c r="AF26" s="50">
        <v>80602</v>
      </c>
      <c r="AG26" s="58">
        <f t="shared" si="22"/>
        <v>64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F26-F10</f>
        <v>-3.5000000000309202</v>
      </c>
      <c r="F27" s="33">
        <f>K26-K10</f>
        <v>-2.40000000007967</v>
      </c>
      <c r="G27" s="33">
        <f>P26-P10</f>
        <v>-4.2999999999437897</v>
      </c>
      <c r="H27" s="33">
        <f>F26</f>
        <v>-4.099999999994</v>
      </c>
      <c r="I27" s="66">
        <f>K26</f>
        <v>-3.1999999999925399</v>
      </c>
      <c r="J27" s="65">
        <f>P26</f>
        <v>-4.8999999999068704</v>
      </c>
      <c r="K27" s="33">
        <f>(P26-P10)/23</f>
        <v>-0.186956521736687</v>
      </c>
      <c r="L27" s="26"/>
      <c r="N27" s="35"/>
      <c r="O27" s="24"/>
      <c r="P27" s="25"/>
      <c r="Q27" s="26"/>
      <c r="R27" s="41"/>
      <c r="S27" s="21"/>
      <c r="T27" s="42"/>
      <c r="U27" s="65">
        <f>V26-V10</f>
        <v>-2.59999999999927</v>
      </c>
      <c r="V27" s="33">
        <f>Z26-Z10</f>
        <v>-1.4000000000002899</v>
      </c>
      <c r="W27" s="33">
        <f>AD26-AD10</f>
        <v>-3.2000000000014199</v>
      </c>
      <c r="X27" s="33">
        <f>V26</f>
        <v>-3.5000000000007199</v>
      </c>
      <c r="Y27" s="65">
        <f>Z26</f>
        <v>-2.2000000000002</v>
      </c>
      <c r="Z27" s="33">
        <f>AD26</f>
        <v>-4.1000000000011001</v>
      </c>
      <c r="AA27" s="33">
        <f>(AD26-AD10)/23</f>
        <v>-0.13913043478267101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A21" workbookViewId="0">
      <selection activeCell="A30" sqref="A30:XFD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79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44918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44918</v>
      </c>
      <c r="B6" s="22">
        <v>791.80629999999996</v>
      </c>
      <c r="C6" s="27">
        <v>5.9231999999999996</v>
      </c>
      <c r="D6" s="23">
        <f t="shared" ref="D6:D29" si="0">C6+B6</f>
        <v>797.72950000000003</v>
      </c>
      <c r="E6" s="24">
        <v>0</v>
      </c>
      <c r="F6" s="25">
        <v>0</v>
      </c>
      <c r="G6" s="26">
        <v>0</v>
      </c>
      <c r="H6" s="6">
        <v>6.5541999999999998</v>
      </c>
      <c r="I6" s="35">
        <f t="shared" ref="I6:I29" si="1">H6+B6</f>
        <v>798.3605</v>
      </c>
      <c r="J6" s="24">
        <v>0</v>
      </c>
      <c r="K6" s="25">
        <v>0</v>
      </c>
      <c r="L6" s="26">
        <v>0</v>
      </c>
      <c r="M6" s="6">
        <v>5.7426000000000004</v>
      </c>
      <c r="N6" s="35">
        <f t="shared" ref="N6:N29" si="2">M6+B6</f>
        <v>797.5489</v>
      </c>
      <c r="O6" s="24">
        <v>0</v>
      </c>
      <c r="P6" s="25">
        <v>0</v>
      </c>
      <c r="Q6" s="26">
        <v>0</v>
      </c>
      <c r="R6" s="41"/>
      <c r="S6" s="21">
        <f t="shared" ref="S6:S29" si="3">A6</f>
        <v>44918</v>
      </c>
      <c r="T6" s="42">
        <v>8.7878000000000007</v>
      </c>
      <c r="U6" s="43">
        <v>0</v>
      </c>
      <c r="V6" s="44">
        <v>0</v>
      </c>
      <c r="W6" s="45">
        <f>U6/(S6-S11)</f>
        <v>0</v>
      </c>
      <c r="X6" s="29">
        <v>12.342499999999999</v>
      </c>
      <c r="Y6" s="43">
        <v>0</v>
      </c>
      <c r="Z6" s="44">
        <v>0</v>
      </c>
      <c r="AA6" s="45">
        <v>0</v>
      </c>
      <c r="AB6" s="49">
        <v>8.8848000000000003</v>
      </c>
      <c r="AC6" s="43">
        <v>0</v>
      </c>
      <c r="AD6" s="44">
        <v>0</v>
      </c>
      <c r="AE6" s="45">
        <v>0</v>
      </c>
      <c r="AF6" s="50">
        <v>80568</v>
      </c>
      <c r="AG6" s="58">
        <f>AF6-80565</f>
        <v>3</v>
      </c>
      <c r="AH6" s="59"/>
      <c r="AI6" s="60"/>
      <c r="AJ6" s="61"/>
      <c r="AK6" s="62"/>
      <c r="AL6" s="52"/>
      <c r="AM6" s="52"/>
    </row>
    <row r="7" spans="1:48">
      <c r="A7" s="21">
        <v>44919</v>
      </c>
      <c r="B7" s="22">
        <v>791.80629999999996</v>
      </c>
      <c r="C7" s="27">
        <v>5.923</v>
      </c>
      <c r="D7" s="23">
        <f t="shared" si="0"/>
        <v>797.72929999999997</v>
      </c>
      <c r="E7" s="24">
        <f t="shared" ref="E7:E29" si="4">(D7-D6)*1000</f>
        <v>-0.199999999949796</v>
      </c>
      <c r="F7" s="25">
        <f t="shared" ref="F7:F29" si="5">F6+E7</f>
        <v>-0.199999999949796</v>
      </c>
      <c r="G7" s="26">
        <f t="shared" ref="G7:G29" si="6">E7/(A7-A6)</f>
        <v>-0.199999999949796</v>
      </c>
      <c r="H7" s="6">
        <v>6.5544000000000002</v>
      </c>
      <c r="I7" s="35">
        <f t="shared" si="1"/>
        <v>798.36069999999995</v>
      </c>
      <c r="J7" s="24">
        <f t="shared" ref="J7:J29" si="7">(I7-I6)*1000</f>
        <v>0.199999999949796</v>
      </c>
      <c r="K7" s="25">
        <f t="shared" ref="K7:K29" si="8">K6+J7</f>
        <v>0.199999999949796</v>
      </c>
      <c r="L7" s="26">
        <f t="shared" ref="L7:L29" si="9">J7/(A7-A6)</f>
        <v>0.199999999949796</v>
      </c>
      <c r="M7" s="6">
        <v>5.7424999999999997</v>
      </c>
      <c r="N7" s="35">
        <f t="shared" si="2"/>
        <v>797.54880000000003</v>
      </c>
      <c r="O7" s="24">
        <f t="shared" ref="O7:O29" si="10">(N7-N6)*1000</f>
        <v>-0.10000000008858501</v>
      </c>
      <c r="P7" s="25">
        <f t="shared" ref="P7:P29" si="11">P6+O7</f>
        <v>-0.10000000008858501</v>
      </c>
      <c r="Q7" s="26">
        <f t="shared" ref="Q7:Q29" si="12">O7/(A7-A6)</f>
        <v>-0.10000000008858501</v>
      </c>
      <c r="R7" s="41"/>
      <c r="S7" s="21">
        <f t="shared" si="3"/>
        <v>44919</v>
      </c>
      <c r="T7" s="42">
        <v>8.7874999999999996</v>
      </c>
      <c r="U7" s="43">
        <f t="shared" ref="U7:U29" si="13">(T7-T6)*1000</f>
        <v>-0.30000000000107702</v>
      </c>
      <c r="V7" s="44">
        <f t="shared" ref="V7:V29" si="14">V6+U7</f>
        <v>-0.30000000000107702</v>
      </c>
      <c r="W7" s="45">
        <f t="shared" ref="W7:W29" si="15">U7/(S6-S7)</f>
        <v>0.30000000000107702</v>
      </c>
      <c r="X7" s="29">
        <v>12.3423</v>
      </c>
      <c r="Y7" s="43">
        <f t="shared" ref="Y7:Y29" si="16">(X7-X6)*1000</f>
        <v>-0.19999999999953399</v>
      </c>
      <c r="Z7" s="44">
        <f t="shared" ref="Z7:Z29" si="17">Z6+Y7</f>
        <v>-0.19999999999953399</v>
      </c>
      <c r="AA7" s="45">
        <f t="shared" ref="AA7:AA29" si="18">Y7/(S7-S6)</f>
        <v>-0.19999999999953399</v>
      </c>
      <c r="AB7" s="49">
        <v>8.8841999999999999</v>
      </c>
      <c r="AC7" s="43">
        <f t="shared" ref="AC7:AC29" si="19">(AB7-AB6)*1000</f>
        <v>-0.60000000000037801</v>
      </c>
      <c r="AD7" s="44">
        <f t="shared" ref="AD7:AD29" si="20">AD6+AC7</f>
        <v>-0.60000000000037801</v>
      </c>
      <c r="AE7" s="45">
        <f t="shared" ref="AE7:AE29" si="21">AC7/(S7-S6)</f>
        <v>-0.60000000000037801</v>
      </c>
      <c r="AF7" s="50">
        <v>80570</v>
      </c>
      <c r="AG7" s="58">
        <f t="shared" ref="AG7:AG29" si="22">AF7-80565</f>
        <v>5</v>
      </c>
      <c r="AH7" s="59"/>
      <c r="AI7" s="60"/>
      <c r="AJ7" s="61"/>
      <c r="AK7" s="62"/>
      <c r="AL7" s="52"/>
      <c r="AM7" s="52"/>
    </row>
    <row r="8" spans="1:48">
      <c r="A8" s="21">
        <v>44920</v>
      </c>
      <c r="B8" s="22">
        <v>791.80629999999996</v>
      </c>
      <c r="C8" s="27">
        <v>5.9230999999999998</v>
      </c>
      <c r="D8" s="23">
        <f t="shared" si="0"/>
        <v>797.72940000000006</v>
      </c>
      <c r="E8" s="24">
        <f t="shared" si="4"/>
        <v>9.9999999974897905E-2</v>
      </c>
      <c r="F8" s="25">
        <f t="shared" si="5"/>
        <v>-9.9999999974897905E-2</v>
      </c>
      <c r="G8" s="26">
        <f t="shared" si="6"/>
        <v>9.9999999974897905E-2</v>
      </c>
      <c r="H8" s="6">
        <v>6.5542999999999996</v>
      </c>
      <c r="I8" s="35">
        <f t="shared" si="1"/>
        <v>798.36059999999998</v>
      </c>
      <c r="J8" s="24">
        <f t="shared" si="7"/>
        <v>-9.9999999974897905E-2</v>
      </c>
      <c r="K8" s="25">
        <f t="shared" si="8"/>
        <v>9.9999999974897905E-2</v>
      </c>
      <c r="L8" s="26">
        <f t="shared" si="9"/>
        <v>-9.9999999974897905E-2</v>
      </c>
      <c r="M8" s="6">
        <v>5.7423000000000002</v>
      </c>
      <c r="N8" s="35">
        <f t="shared" si="2"/>
        <v>797.54859999999996</v>
      </c>
      <c r="O8" s="24">
        <f t="shared" si="10"/>
        <v>-0.199999999949796</v>
      </c>
      <c r="P8" s="25">
        <f t="shared" si="11"/>
        <v>-0.30000000003838101</v>
      </c>
      <c r="Q8" s="26">
        <f t="shared" si="12"/>
        <v>-0.199999999949796</v>
      </c>
      <c r="R8" s="41"/>
      <c r="S8" s="21">
        <f t="shared" si="3"/>
        <v>44920</v>
      </c>
      <c r="T8" s="42">
        <v>8.7872000000000003</v>
      </c>
      <c r="U8" s="43">
        <f t="shared" si="13"/>
        <v>-0.29999999999930099</v>
      </c>
      <c r="V8" s="44">
        <f t="shared" si="14"/>
        <v>-0.60000000000037801</v>
      </c>
      <c r="W8" s="45">
        <f t="shared" si="15"/>
        <v>0.29999999999930099</v>
      </c>
      <c r="X8" s="29">
        <v>12.342000000000001</v>
      </c>
      <c r="Y8" s="43">
        <f t="shared" si="16"/>
        <v>-0.29999999999930099</v>
      </c>
      <c r="Z8" s="44">
        <f t="shared" si="17"/>
        <v>-0.49999999999883499</v>
      </c>
      <c r="AA8" s="45">
        <f t="shared" si="18"/>
        <v>-0.29999999999930099</v>
      </c>
      <c r="AB8" s="49">
        <v>8.8840000000000003</v>
      </c>
      <c r="AC8" s="43">
        <f t="shared" si="19"/>
        <v>-0.19999999999953399</v>
      </c>
      <c r="AD8" s="44">
        <f t="shared" si="20"/>
        <v>-0.799999999999912</v>
      </c>
      <c r="AE8" s="45">
        <f t="shared" si="21"/>
        <v>-0.19999999999953399</v>
      </c>
      <c r="AF8" s="50">
        <v>80572</v>
      </c>
      <c r="AG8" s="58">
        <f t="shared" si="22"/>
        <v>7</v>
      </c>
      <c r="AH8" s="59"/>
      <c r="AI8" s="60"/>
      <c r="AJ8" s="61"/>
      <c r="AK8" s="62"/>
      <c r="AL8" s="52"/>
      <c r="AM8" s="52"/>
    </row>
    <row r="9" spans="1:48">
      <c r="A9" s="21">
        <v>44921</v>
      </c>
      <c r="B9" s="22">
        <v>791.80629999999996</v>
      </c>
      <c r="C9" s="27">
        <v>5.9226000000000001</v>
      </c>
      <c r="D9" s="23">
        <f t="shared" si="0"/>
        <v>797.72889999999995</v>
      </c>
      <c r="E9" s="24">
        <f t="shared" si="4"/>
        <v>-0.49999999998817701</v>
      </c>
      <c r="F9" s="25">
        <f t="shared" si="5"/>
        <v>-0.59999999996307496</v>
      </c>
      <c r="G9" s="26">
        <f t="shared" si="6"/>
        <v>-0.49999999998817701</v>
      </c>
      <c r="H9" s="6">
        <v>6.5545</v>
      </c>
      <c r="I9" s="35">
        <f t="shared" si="1"/>
        <v>798.36080000000004</v>
      </c>
      <c r="J9" s="24">
        <f t="shared" si="7"/>
        <v>0.199999999949796</v>
      </c>
      <c r="K9" s="25">
        <f t="shared" si="8"/>
        <v>0.29999999992469401</v>
      </c>
      <c r="L9" s="26">
        <f t="shared" si="9"/>
        <v>0.199999999949796</v>
      </c>
      <c r="M9" s="6">
        <v>5.7423999999999999</v>
      </c>
      <c r="N9" s="35">
        <f t="shared" si="2"/>
        <v>797.54870000000005</v>
      </c>
      <c r="O9" s="24">
        <f t="shared" si="10"/>
        <v>9.9999999974897905E-2</v>
      </c>
      <c r="P9" s="25">
        <f t="shared" si="11"/>
        <v>-0.20000000006348301</v>
      </c>
      <c r="Q9" s="26">
        <f t="shared" si="12"/>
        <v>9.9999999974897905E-2</v>
      </c>
      <c r="R9" s="41"/>
      <c r="S9" s="21">
        <f t="shared" si="3"/>
        <v>44921</v>
      </c>
      <c r="T9" s="42">
        <v>8.7871000000000006</v>
      </c>
      <c r="U9" s="43">
        <f t="shared" si="13"/>
        <v>-9.99999999997669E-2</v>
      </c>
      <c r="V9" s="44">
        <f t="shared" si="14"/>
        <v>-0.70000000000014495</v>
      </c>
      <c r="W9" s="45">
        <f t="shared" si="15"/>
        <v>9.99999999997669E-2</v>
      </c>
      <c r="X9" s="29">
        <v>12.341799999999999</v>
      </c>
      <c r="Y9" s="43">
        <f t="shared" si="16"/>
        <v>-0.20000000000130999</v>
      </c>
      <c r="Z9" s="44">
        <f t="shared" si="17"/>
        <v>-0.70000000000014495</v>
      </c>
      <c r="AA9" s="45">
        <f t="shared" si="18"/>
        <v>-0.20000000000130999</v>
      </c>
      <c r="AB9" s="49">
        <v>8.8838000000000008</v>
      </c>
      <c r="AC9" s="43">
        <f t="shared" si="19"/>
        <v>-0.19999999999953399</v>
      </c>
      <c r="AD9" s="44">
        <f t="shared" si="20"/>
        <v>-0.999999999999446</v>
      </c>
      <c r="AE9" s="45">
        <f t="shared" si="21"/>
        <v>-0.19999999999953399</v>
      </c>
      <c r="AF9" s="50">
        <v>80574</v>
      </c>
      <c r="AG9" s="58">
        <f t="shared" si="22"/>
        <v>9</v>
      </c>
      <c r="AH9" s="61"/>
      <c r="AI9" s="60"/>
      <c r="AJ9"/>
      <c r="AK9"/>
      <c r="AL9"/>
      <c r="AM9"/>
    </row>
    <row r="10" spans="1:48">
      <c r="A10" s="21">
        <v>44922</v>
      </c>
      <c r="B10" s="22">
        <v>791.80629999999996</v>
      </c>
      <c r="C10" s="27">
        <v>5.9223999999999997</v>
      </c>
      <c r="D10" s="23">
        <f t="shared" si="0"/>
        <v>797.7287</v>
      </c>
      <c r="E10" s="24">
        <f t="shared" si="4"/>
        <v>-0.199999999949796</v>
      </c>
      <c r="F10" s="25">
        <f t="shared" si="5"/>
        <v>-0.79999999991286996</v>
      </c>
      <c r="G10" s="26">
        <f t="shared" si="6"/>
        <v>-0.199999999949796</v>
      </c>
      <c r="H10" s="6">
        <v>6.5538999999999996</v>
      </c>
      <c r="I10" s="35">
        <f t="shared" si="1"/>
        <v>798.36019999999996</v>
      </c>
      <c r="J10" s="24">
        <f t="shared" si="7"/>
        <v>-0.59999999996307496</v>
      </c>
      <c r="K10" s="25">
        <f t="shared" si="8"/>
        <v>-0.30000000003838101</v>
      </c>
      <c r="L10" s="26">
        <f t="shared" si="9"/>
        <v>-0.59999999996307496</v>
      </c>
      <c r="M10" s="6">
        <v>5.7419000000000002</v>
      </c>
      <c r="N10" s="35">
        <f t="shared" si="2"/>
        <v>797.54819999999995</v>
      </c>
      <c r="O10" s="24">
        <f t="shared" si="10"/>
        <v>-0.49999999998817701</v>
      </c>
      <c r="P10" s="25">
        <f t="shared" si="11"/>
        <v>-0.70000000005165897</v>
      </c>
      <c r="Q10" s="26">
        <f t="shared" si="12"/>
        <v>-0.49999999998817701</v>
      </c>
      <c r="R10" s="41"/>
      <c r="S10" s="21">
        <f t="shared" si="3"/>
        <v>44922</v>
      </c>
      <c r="T10" s="42">
        <v>8.7868999999999993</v>
      </c>
      <c r="U10" s="43">
        <f t="shared" si="13"/>
        <v>-0.20000000000130999</v>
      </c>
      <c r="V10" s="44">
        <f t="shared" si="14"/>
        <v>-0.90000000000145497</v>
      </c>
      <c r="W10" s="45">
        <f t="shared" si="15"/>
        <v>0.20000000000130999</v>
      </c>
      <c r="X10" s="29">
        <v>12.341699999999999</v>
      </c>
      <c r="Y10" s="43">
        <f t="shared" si="16"/>
        <v>-9.99999999997669E-2</v>
      </c>
      <c r="Z10" s="44">
        <f t="shared" si="17"/>
        <v>-0.799999999999912</v>
      </c>
      <c r="AA10" s="45">
        <f t="shared" si="18"/>
        <v>-9.99999999997669E-2</v>
      </c>
      <c r="AB10" s="49">
        <v>8.8839000000000006</v>
      </c>
      <c r="AC10" s="43">
        <f t="shared" si="19"/>
        <v>9.99999999997669E-2</v>
      </c>
      <c r="AD10" s="44">
        <f t="shared" si="20"/>
        <v>-0.89999999999967895</v>
      </c>
      <c r="AE10" s="45">
        <f t="shared" si="21"/>
        <v>9.99999999997669E-2</v>
      </c>
      <c r="AF10" s="50">
        <v>80576</v>
      </c>
      <c r="AG10" s="58">
        <f t="shared" si="22"/>
        <v>11</v>
      </c>
      <c r="AH10" s="59"/>
      <c r="AI10" s="60"/>
      <c r="AJ10" s="61"/>
      <c r="AK10" s="62"/>
      <c r="AL10" s="52"/>
      <c r="AM10" s="52"/>
    </row>
    <row r="11" spans="1:48">
      <c r="A11" s="21">
        <v>44923</v>
      </c>
      <c r="B11" s="22">
        <v>791.80629999999996</v>
      </c>
      <c r="C11" s="27">
        <v>5.9223999999999997</v>
      </c>
      <c r="D11" s="23">
        <f t="shared" si="0"/>
        <v>797.7287</v>
      </c>
      <c r="E11" s="24">
        <f t="shared" si="4"/>
        <v>0</v>
      </c>
      <c r="F11" s="25">
        <f t="shared" si="5"/>
        <v>-0.79999999991286996</v>
      </c>
      <c r="G11" s="26">
        <f t="shared" si="6"/>
        <v>0</v>
      </c>
      <c r="H11" s="6">
        <v>6.5537000000000001</v>
      </c>
      <c r="I11" s="35">
        <f t="shared" si="1"/>
        <v>798.36</v>
      </c>
      <c r="J11" s="24">
        <f t="shared" si="7"/>
        <v>-0.199999999949796</v>
      </c>
      <c r="K11" s="25">
        <f t="shared" si="8"/>
        <v>-0.49999999998817701</v>
      </c>
      <c r="L11" s="26">
        <f t="shared" si="9"/>
        <v>-0.199999999949796</v>
      </c>
      <c r="M11" s="6">
        <v>5.7416999999999998</v>
      </c>
      <c r="N11" s="35">
        <f t="shared" si="2"/>
        <v>797.548</v>
      </c>
      <c r="O11" s="24">
        <f t="shared" si="10"/>
        <v>-0.199999999949796</v>
      </c>
      <c r="P11" s="25">
        <f t="shared" si="11"/>
        <v>-0.90000000000145497</v>
      </c>
      <c r="Q11" s="26">
        <f t="shared" si="12"/>
        <v>-0.199999999949796</v>
      </c>
      <c r="R11" s="41"/>
      <c r="S11" s="21">
        <f t="shared" si="3"/>
        <v>44923</v>
      </c>
      <c r="T11" s="42">
        <v>8.7866999999999997</v>
      </c>
      <c r="U11" s="43">
        <f t="shared" si="13"/>
        <v>-0.19999999999953399</v>
      </c>
      <c r="V11" s="44">
        <f t="shared" si="14"/>
        <v>-1.10000000000099</v>
      </c>
      <c r="W11" s="45">
        <f t="shared" si="15"/>
        <v>0.19999999999953399</v>
      </c>
      <c r="X11" s="29">
        <v>12.3416</v>
      </c>
      <c r="Y11" s="43">
        <f t="shared" si="16"/>
        <v>-9.99999999997669E-2</v>
      </c>
      <c r="Z11" s="44">
        <f t="shared" si="17"/>
        <v>-0.89999999999967895</v>
      </c>
      <c r="AA11" s="45">
        <f t="shared" si="18"/>
        <v>-9.99999999997669E-2</v>
      </c>
      <c r="AB11" s="49">
        <v>8.8834999999999997</v>
      </c>
      <c r="AC11" s="43">
        <f t="shared" si="19"/>
        <v>-0.40000000000084401</v>
      </c>
      <c r="AD11" s="44">
        <f t="shared" si="20"/>
        <v>-1.3000000000005201</v>
      </c>
      <c r="AE11" s="45">
        <f t="shared" si="21"/>
        <v>-0.40000000000084401</v>
      </c>
      <c r="AF11" s="50">
        <v>80578</v>
      </c>
      <c r="AG11" s="58">
        <f t="shared" si="22"/>
        <v>13</v>
      </c>
      <c r="AH11" s="61"/>
      <c r="AI11" s="60"/>
      <c r="AJ11"/>
      <c r="AK11"/>
      <c r="AL11"/>
      <c r="AM11"/>
    </row>
    <row r="12" spans="1:48">
      <c r="A12" s="21">
        <v>44924</v>
      </c>
      <c r="B12" s="22">
        <v>791.80629999999996</v>
      </c>
      <c r="C12" s="27">
        <v>5.9219999999999997</v>
      </c>
      <c r="D12" s="23">
        <f t="shared" si="0"/>
        <v>797.72829999999999</v>
      </c>
      <c r="E12" s="24">
        <f t="shared" si="4"/>
        <v>-0.40000000001327901</v>
      </c>
      <c r="F12" s="25">
        <f t="shared" si="5"/>
        <v>-1.1999999999261499</v>
      </c>
      <c r="G12" s="26">
        <f t="shared" si="6"/>
        <v>-0.40000000001327901</v>
      </c>
      <c r="H12" s="6">
        <v>6.5536000000000003</v>
      </c>
      <c r="I12" s="35">
        <f t="shared" si="1"/>
        <v>798.35990000000004</v>
      </c>
      <c r="J12" s="24">
        <f t="shared" si="7"/>
        <v>-0.10000000008858501</v>
      </c>
      <c r="K12" s="25">
        <f t="shared" si="8"/>
        <v>-0.60000000007676102</v>
      </c>
      <c r="L12" s="26">
        <f t="shared" si="9"/>
        <v>-0.10000000008858501</v>
      </c>
      <c r="M12" s="6">
        <v>5.7415000000000003</v>
      </c>
      <c r="N12" s="35">
        <f t="shared" si="2"/>
        <v>797.54780000000005</v>
      </c>
      <c r="O12" s="24">
        <f t="shared" si="10"/>
        <v>-0.20000000006348301</v>
      </c>
      <c r="P12" s="25">
        <f t="shared" si="11"/>
        <v>-1.1000000000649399</v>
      </c>
      <c r="Q12" s="26">
        <f t="shared" si="12"/>
        <v>-0.20000000006348301</v>
      </c>
      <c r="R12" s="41"/>
      <c r="S12" s="21">
        <f t="shared" si="3"/>
        <v>44924</v>
      </c>
      <c r="T12" s="42">
        <v>8.7866</v>
      </c>
      <c r="U12" s="43">
        <f t="shared" si="13"/>
        <v>-9.99999999997669E-2</v>
      </c>
      <c r="V12" s="44">
        <f t="shared" si="14"/>
        <v>-1.20000000000076</v>
      </c>
      <c r="W12" s="45">
        <f t="shared" si="15"/>
        <v>9.99999999997669E-2</v>
      </c>
      <c r="X12" s="29">
        <v>12.3413</v>
      </c>
      <c r="Y12" s="43">
        <f t="shared" si="16"/>
        <v>-0.29999999999930099</v>
      </c>
      <c r="Z12" s="44">
        <f t="shared" si="17"/>
        <v>-1.1999999999989801</v>
      </c>
      <c r="AA12" s="45">
        <f t="shared" si="18"/>
        <v>-0.29999999999930099</v>
      </c>
      <c r="AB12" s="49">
        <v>8.8835999999999995</v>
      </c>
      <c r="AC12" s="43">
        <f t="shared" si="19"/>
        <v>9.99999999997669E-2</v>
      </c>
      <c r="AD12" s="44">
        <f t="shared" si="20"/>
        <v>-1.20000000000076</v>
      </c>
      <c r="AE12" s="45">
        <f t="shared" si="21"/>
        <v>9.99999999997669E-2</v>
      </c>
      <c r="AF12" s="50">
        <v>80580</v>
      </c>
      <c r="AG12" s="58">
        <f t="shared" si="22"/>
        <v>15</v>
      </c>
      <c r="AH12" s="59"/>
      <c r="AI12" s="60"/>
      <c r="AJ12"/>
      <c r="AK12"/>
      <c r="AL12"/>
      <c r="AM12"/>
    </row>
    <row r="13" spans="1:48">
      <c r="A13" s="21">
        <v>44925</v>
      </c>
      <c r="B13" s="22">
        <v>791.80629999999996</v>
      </c>
      <c r="C13" s="27">
        <v>5.9218000000000002</v>
      </c>
      <c r="D13" s="23">
        <f t="shared" si="0"/>
        <v>797.72810000000004</v>
      </c>
      <c r="E13" s="24">
        <f t="shared" si="4"/>
        <v>-0.20000000006348301</v>
      </c>
      <c r="F13" s="25">
        <f t="shared" si="5"/>
        <v>-1.39999999998963</v>
      </c>
      <c r="G13" s="26">
        <f t="shared" si="6"/>
        <v>-0.20000000006348301</v>
      </c>
      <c r="H13" s="6">
        <v>6.5533000000000001</v>
      </c>
      <c r="I13" s="35">
        <f t="shared" si="1"/>
        <v>798.3596</v>
      </c>
      <c r="J13" s="24">
        <f t="shared" si="7"/>
        <v>-0.29999999992469401</v>
      </c>
      <c r="K13" s="25">
        <f t="shared" si="8"/>
        <v>-0.90000000000145497</v>
      </c>
      <c r="L13" s="26">
        <f t="shared" si="9"/>
        <v>-0.29999999992469401</v>
      </c>
      <c r="M13" s="6">
        <v>5.7413999999999996</v>
      </c>
      <c r="N13" s="35">
        <f t="shared" si="2"/>
        <v>797.54769999999996</v>
      </c>
      <c r="O13" s="24">
        <f t="shared" si="10"/>
        <v>-9.9999999974897905E-2</v>
      </c>
      <c r="P13" s="25">
        <f t="shared" si="11"/>
        <v>-1.2000000000398401</v>
      </c>
      <c r="Q13" s="26">
        <f t="shared" si="12"/>
        <v>-9.9999999974897905E-2</v>
      </c>
      <c r="R13" s="41"/>
      <c r="S13" s="21">
        <f t="shared" si="3"/>
        <v>44925</v>
      </c>
      <c r="T13" s="42">
        <v>8.7863000000000007</v>
      </c>
      <c r="U13" s="43">
        <f t="shared" si="13"/>
        <v>-0.29999999999930099</v>
      </c>
      <c r="V13" s="44">
        <f t="shared" si="14"/>
        <v>-1.50000000000006</v>
      </c>
      <c r="W13" s="45">
        <f t="shared" si="15"/>
        <v>0.29999999999930099</v>
      </c>
      <c r="X13" s="29">
        <v>12.3414</v>
      </c>
      <c r="Y13" s="43">
        <f t="shared" si="16"/>
        <v>9.99999999997669E-2</v>
      </c>
      <c r="Z13" s="44">
        <f t="shared" si="17"/>
        <v>-1.0999999999992101</v>
      </c>
      <c r="AA13" s="45">
        <f t="shared" si="18"/>
        <v>9.99999999997669E-2</v>
      </c>
      <c r="AB13" s="49">
        <v>8.8834</v>
      </c>
      <c r="AC13" s="43">
        <f t="shared" si="19"/>
        <v>-0.19999999999953399</v>
      </c>
      <c r="AD13" s="44">
        <f t="shared" si="20"/>
        <v>-1.4000000000002899</v>
      </c>
      <c r="AE13" s="45">
        <f t="shared" si="21"/>
        <v>-0.19999999999953399</v>
      </c>
      <c r="AF13" s="50">
        <v>80582</v>
      </c>
      <c r="AG13" s="58">
        <f t="shared" si="22"/>
        <v>17</v>
      </c>
      <c r="AH13" s="61"/>
      <c r="AI13" s="60"/>
      <c r="AJ13"/>
      <c r="AK13"/>
      <c r="AL13"/>
      <c r="AM13"/>
    </row>
    <row r="14" spans="1:48">
      <c r="A14" s="21">
        <v>44926</v>
      </c>
      <c r="B14" s="22">
        <v>791.80629999999996</v>
      </c>
      <c r="C14" s="27">
        <v>5.9222999999999999</v>
      </c>
      <c r="D14" s="23">
        <f t="shared" si="0"/>
        <v>797.72860000000003</v>
      </c>
      <c r="E14" s="24">
        <f t="shared" si="4"/>
        <v>0.49999999998817701</v>
      </c>
      <c r="F14" s="25">
        <f t="shared" si="5"/>
        <v>-0.90000000000145497</v>
      </c>
      <c r="G14" s="26">
        <f t="shared" si="6"/>
        <v>0.49999999998817701</v>
      </c>
      <c r="H14" s="6">
        <v>6.5532000000000004</v>
      </c>
      <c r="I14" s="35">
        <f t="shared" si="1"/>
        <v>798.35950000000003</v>
      </c>
      <c r="J14" s="24">
        <f t="shared" si="7"/>
        <v>-0.10000000008858501</v>
      </c>
      <c r="K14" s="25">
        <f t="shared" si="8"/>
        <v>-1.00000000009004</v>
      </c>
      <c r="L14" s="26">
        <f t="shared" si="9"/>
        <v>-0.10000000008858501</v>
      </c>
      <c r="M14" s="6">
        <v>5.7411000000000003</v>
      </c>
      <c r="N14" s="35">
        <f t="shared" si="2"/>
        <v>797.54740000000004</v>
      </c>
      <c r="O14" s="24">
        <f t="shared" si="10"/>
        <v>-0.30000000003838101</v>
      </c>
      <c r="P14" s="25">
        <f t="shared" si="11"/>
        <v>-1.5000000000782201</v>
      </c>
      <c r="Q14" s="26">
        <f t="shared" si="12"/>
        <v>-0.30000000003838101</v>
      </c>
      <c r="R14" s="41"/>
      <c r="S14" s="21">
        <f t="shared" si="3"/>
        <v>44926</v>
      </c>
      <c r="T14" s="42">
        <v>8.7860999999999905</v>
      </c>
      <c r="U14" s="43">
        <f t="shared" si="13"/>
        <v>-0.200000000010192</v>
      </c>
      <c r="V14" s="44">
        <f t="shared" si="14"/>
        <v>-1.70000000001025</v>
      </c>
      <c r="W14" s="45">
        <f t="shared" si="15"/>
        <v>0.200000000010192</v>
      </c>
      <c r="X14" s="29">
        <v>12.3413</v>
      </c>
      <c r="Y14" s="43">
        <f t="shared" si="16"/>
        <v>-9.99999999997669E-2</v>
      </c>
      <c r="Z14" s="44">
        <f t="shared" si="17"/>
        <v>-1.1999999999989801</v>
      </c>
      <c r="AA14" s="45">
        <f t="shared" si="18"/>
        <v>-9.99999999997669E-2</v>
      </c>
      <c r="AB14" s="49">
        <v>8.8832000000000004</v>
      </c>
      <c r="AC14" s="43">
        <f t="shared" si="19"/>
        <v>-0.19999999999953399</v>
      </c>
      <c r="AD14" s="44">
        <f t="shared" si="20"/>
        <v>-1.59999999999982</v>
      </c>
      <c r="AE14" s="45">
        <f t="shared" si="21"/>
        <v>-0.19999999999953399</v>
      </c>
      <c r="AF14" s="50">
        <v>80584</v>
      </c>
      <c r="AG14" s="58">
        <f t="shared" si="22"/>
        <v>19</v>
      </c>
      <c r="AH14" s="59"/>
      <c r="AI14" s="60"/>
      <c r="AJ14"/>
      <c r="AK14"/>
      <c r="AL14"/>
      <c r="AM14"/>
    </row>
    <row r="15" spans="1:48">
      <c r="A15" s="21">
        <v>44927</v>
      </c>
      <c r="B15" s="22">
        <v>791.80629999999996</v>
      </c>
      <c r="C15" s="27">
        <v>5.9214000000000002</v>
      </c>
      <c r="D15" s="23">
        <f t="shared" si="0"/>
        <v>797.72770000000003</v>
      </c>
      <c r="E15" s="24">
        <f t="shared" si="4"/>
        <v>-0.90000000000145497</v>
      </c>
      <c r="F15" s="25">
        <f t="shared" si="5"/>
        <v>-1.8000000000029099</v>
      </c>
      <c r="G15" s="26">
        <f t="shared" si="6"/>
        <v>-0.90000000000145497</v>
      </c>
      <c r="H15" s="6">
        <v>6.5529000000000002</v>
      </c>
      <c r="I15" s="35">
        <f t="shared" si="1"/>
        <v>798.35919999999999</v>
      </c>
      <c r="J15" s="24">
        <f t="shared" si="7"/>
        <v>-0.29999999992469401</v>
      </c>
      <c r="K15" s="25">
        <f t="shared" si="8"/>
        <v>-1.30000000001473</v>
      </c>
      <c r="L15" s="26">
        <f t="shared" si="9"/>
        <v>-0.29999999992469401</v>
      </c>
      <c r="M15" s="6">
        <v>5.7412000000000001</v>
      </c>
      <c r="N15" s="35">
        <f t="shared" si="2"/>
        <v>797.54750000000001</v>
      </c>
      <c r="O15" s="24">
        <f t="shared" si="10"/>
        <v>0.10000000008858501</v>
      </c>
      <c r="P15" s="25">
        <f t="shared" si="11"/>
        <v>-1.39999999998963</v>
      </c>
      <c r="Q15" s="26">
        <f t="shared" si="12"/>
        <v>0.10000000008858501</v>
      </c>
      <c r="R15" s="41"/>
      <c r="S15" s="21">
        <f t="shared" si="3"/>
        <v>44927</v>
      </c>
      <c r="T15" s="42">
        <v>8.7861999999999991</v>
      </c>
      <c r="U15" s="43">
        <f t="shared" si="13"/>
        <v>0.100000000008649</v>
      </c>
      <c r="V15" s="44">
        <f t="shared" si="14"/>
        <v>-1.6000000000015999</v>
      </c>
      <c r="W15" s="45">
        <f t="shared" si="15"/>
        <v>-0.100000000008649</v>
      </c>
      <c r="X15" s="29">
        <v>12.340999999999999</v>
      </c>
      <c r="Y15" s="43">
        <f t="shared" si="16"/>
        <v>-0.30000000000107702</v>
      </c>
      <c r="Z15" s="44">
        <f t="shared" si="17"/>
        <v>-1.50000000000006</v>
      </c>
      <c r="AA15" s="45">
        <f t="shared" si="18"/>
        <v>-0.30000000000107702</v>
      </c>
      <c r="AB15" s="49">
        <v>8.8834999999999997</v>
      </c>
      <c r="AC15" s="43">
        <f t="shared" si="19"/>
        <v>0.29999999999930099</v>
      </c>
      <c r="AD15" s="44">
        <f t="shared" si="20"/>
        <v>-1.3000000000005201</v>
      </c>
      <c r="AE15" s="45">
        <f t="shared" si="21"/>
        <v>0.29999999999930099</v>
      </c>
      <c r="AF15" s="50">
        <v>80586</v>
      </c>
      <c r="AG15" s="58">
        <f t="shared" si="22"/>
        <v>21</v>
      </c>
      <c r="AH15" s="61"/>
      <c r="AI15" s="60"/>
      <c r="AJ15"/>
      <c r="AK15"/>
      <c r="AL15"/>
      <c r="AM15"/>
    </row>
    <row r="16" spans="1:48">
      <c r="A16" s="21">
        <v>44928</v>
      </c>
      <c r="B16" s="22">
        <v>791.80629999999996</v>
      </c>
      <c r="C16" s="27">
        <v>5.9211999999999998</v>
      </c>
      <c r="D16" s="23">
        <f t="shared" si="0"/>
        <v>797.72749999999996</v>
      </c>
      <c r="E16" s="24">
        <f t="shared" si="4"/>
        <v>-0.199999999949796</v>
      </c>
      <c r="F16" s="25">
        <f t="shared" si="5"/>
        <v>-1.9999999999527101</v>
      </c>
      <c r="G16" s="26">
        <f t="shared" si="6"/>
        <v>-0.199999999949796</v>
      </c>
      <c r="H16" s="6">
        <v>6.5526999999999997</v>
      </c>
      <c r="I16" s="35">
        <f t="shared" si="1"/>
        <v>798.35900000000004</v>
      </c>
      <c r="J16" s="24">
        <f t="shared" si="7"/>
        <v>-0.20000000006348301</v>
      </c>
      <c r="K16" s="25">
        <f t="shared" si="8"/>
        <v>-1.5000000000782201</v>
      </c>
      <c r="L16" s="26">
        <f t="shared" si="9"/>
        <v>-0.20000000006348301</v>
      </c>
      <c r="M16" s="6">
        <v>5.7407000000000004</v>
      </c>
      <c r="N16" s="35">
        <f t="shared" si="2"/>
        <v>797.54700000000003</v>
      </c>
      <c r="O16" s="24">
        <f t="shared" si="10"/>
        <v>-0.50000000010186296</v>
      </c>
      <c r="P16" s="25">
        <f t="shared" si="11"/>
        <v>-1.9000000000915001</v>
      </c>
      <c r="Q16" s="26">
        <f t="shared" si="12"/>
        <v>-0.50000000010186296</v>
      </c>
      <c r="R16" s="41"/>
      <c r="S16" s="21">
        <f t="shared" si="3"/>
        <v>44928</v>
      </c>
      <c r="T16" s="42">
        <v>8.7856999999999896</v>
      </c>
      <c r="U16" s="43">
        <f t="shared" si="13"/>
        <v>-0.50000000000949296</v>
      </c>
      <c r="V16" s="44">
        <f t="shared" si="14"/>
        <v>-2.1000000000110899</v>
      </c>
      <c r="W16" s="45">
        <f t="shared" si="15"/>
        <v>0.50000000000949296</v>
      </c>
      <c r="X16" s="29">
        <v>12.341100000000001</v>
      </c>
      <c r="Y16" s="43">
        <f t="shared" si="16"/>
        <v>0.10000000000154299</v>
      </c>
      <c r="Z16" s="44">
        <f t="shared" si="17"/>
        <v>-1.39999999999851</v>
      </c>
      <c r="AA16" s="45">
        <f t="shared" si="18"/>
        <v>0.10000000000154299</v>
      </c>
      <c r="AB16" s="49">
        <v>8.8827999999999996</v>
      </c>
      <c r="AC16" s="43">
        <f t="shared" si="19"/>
        <v>-0.70000000000014495</v>
      </c>
      <c r="AD16" s="44">
        <f t="shared" si="20"/>
        <v>-2.0000000000006701</v>
      </c>
      <c r="AE16" s="45">
        <f t="shared" si="21"/>
        <v>-0.70000000000014495</v>
      </c>
      <c r="AF16" s="50">
        <v>80588</v>
      </c>
      <c r="AG16" s="58">
        <f t="shared" si="22"/>
        <v>23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44929</v>
      </c>
      <c r="B17" s="22">
        <v>791.80629999999996</v>
      </c>
      <c r="C17" s="27">
        <v>5.9212999999999996</v>
      </c>
      <c r="D17" s="23">
        <f t="shared" si="0"/>
        <v>797.72760000000005</v>
      </c>
      <c r="E17" s="24">
        <f t="shared" si="4"/>
        <v>9.9999999974897905E-2</v>
      </c>
      <c r="F17" s="25">
        <f t="shared" si="5"/>
        <v>-1.8999999999778101</v>
      </c>
      <c r="G17" s="26">
        <f t="shared" si="6"/>
        <v>9.9999999974897905E-2</v>
      </c>
      <c r="H17" s="6">
        <v>6.5528000000000004</v>
      </c>
      <c r="I17" s="35">
        <f t="shared" si="1"/>
        <v>798.35910000000001</v>
      </c>
      <c r="J17" s="24">
        <f t="shared" si="7"/>
        <v>0.10000000008858501</v>
      </c>
      <c r="K17" s="25">
        <f t="shared" si="8"/>
        <v>-1.39999999998963</v>
      </c>
      <c r="L17" s="26">
        <f t="shared" si="9"/>
        <v>0.10000000008858501</v>
      </c>
      <c r="M17" s="6">
        <v>5.7404999999999999</v>
      </c>
      <c r="N17" s="35">
        <f t="shared" si="2"/>
        <v>797.54679999999996</v>
      </c>
      <c r="O17" s="24">
        <f t="shared" si="10"/>
        <v>-0.199999999949796</v>
      </c>
      <c r="P17" s="25">
        <f t="shared" si="11"/>
        <v>-2.1000000000412902</v>
      </c>
      <c r="Q17" s="26">
        <f t="shared" si="12"/>
        <v>-0.199999999949796</v>
      </c>
      <c r="R17" s="41"/>
      <c r="S17" s="21">
        <f t="shared" si="3"/>
        <v>44929</v>
      </c>
      <c r="T17" s="42">
        <v>8.7854999999999901</v>
      </c>
      <c r="U17" s="43">
        <f t="shared" si="13"/>
        <v>-0.19999999999953399</v>
      </c>
      <c r="V17" s="44">
        <f t="shared" si="14"/>
        <v>-2.30000000001063</v>
      </c>
      <c r="W17" s="45">
        <f t="shared" si="15"/>
        <v>0.19999999999953399</v>
      </c>
      <c r="X17" s="29">
        <v>12.340999999999999</v>
      </c>
      <c r="Y17" s="43">
        <f t="shared" si="16"/>
        <v>-0.10000000000154299</v>
      </c>
      <c r="Z17" s="44">
        <f t="shared" si="17"/>
        <v>-1.50000000000006</v>
      </c>
      <c r="AA17" s="45">
        <f t="shared" si="18"/>
        <v>-0.10000000000154299</v>
      </c>
      <c r="AB17" s="49">
        <v>8.8829999999999991</v>
      </c>
      <c r="AC17" s="43">
        <f t="shared" si="19"/>
        <v>0.19999999999953399</v>
      </c>
      <c r="AD17" s="44">
        <f t="shared" si="20"/>
        <v>-1.80000000000113</v>
      </c>
      <c r="AE17" s="45">
        <f t="shared" si="21"/>
        <v>0.19999999999953399</v>
      </c>
      <c r="AF17" s="50">
        <v>80590</v>
      </c>
      <c r="AG17" s="58">
        <f t="shared" si="22"/>
        <v>25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44930</v>
      </c>
      <c r="B18" s="22">
        <v>791.80629999999996</v>
      </c>
      <c r="C18" s="27">
        <v>5.9208000000000096</v>
      </c>
      <c r="D18" s="23">
        <f t="shared" si="0"/>
        <v>797.72709999999995</v>
      </c>
      <c r="E18" s="24">
        <f t="shared" si="4"/>
        <v>-0.49999999998817701</v>
      </c>
      <c r="F18" s="25">
        <f t="shared" si="5"/>
        <v>-2.39999999996598</v>
      </c>
      <c r="G18" s="26">
        <f t="shared" si="6"/>
        <v>-0.49999999998817701</v>
      </c>
      <c r="H18" s="6">
        <v>6.5522999999999998</v>
      </c>
      <c r="I18" s="35">
        <f t="shared" si="1"/>
        <v>798.35860000000002</v>
      </c>
      <c r="J18" s="24">
        <f t="shared" si="7"/>
        <v>-0.50000000010186296</v>
      </c>
      <c r="K18" s="25">
        <f t="shared" si="8"/>
        <v>-1.9000000000915001</v>
      </c>
      <c r="L18" s="26">
        <f t="shared" si="9"/>
        <v>-0.50000000010186296</v>
      </c>
      <c r="M18" s="6">
        <v>5.7404000000000002</v>
      </c>
      <c r="N18" s="35">
        <f t="shared" si="2"/>
        <v>797.54669999999999</v>
      </c>
      <c r="O18" s="24">
        <f t="shared" si="10"/>
        <v>-9.9999999974897905E-2</v>
      </c>
      <c r="P18" s="25">
        <f t="shared" si="11"/>
        <v>-2.2000000000161899</v>
      </c>
      <c r="Q18" s="26">
        <f t="shared" si="12"/>
        <v>-9.9999999974897905E-2</v>
      </c>
      <c r="R18" s="41"/>
      <c r="S18" s="21">
        <f t="shared" si="3"/>
        <v>44930</v>
      </c>
      <c r="T18" s="42">
        <v>8.7856000000000005</v>
      </c>
      <c r="U18" s="43">
        <f t="shared" si="13"/>
        <v>0.100000000010425</v>
      </c>
      <c r="V18" s="44">
        <f t="shared" si="14"/>
        <v>-2.2000000000002</v>
      </c>
      <c r="W18" s="45">
        <f t="shared" si="15"/>
        <v>-0.100000000010425</v>
      </c>
      <c r="X18" s="29">
        <v>12.3409</v>
      </c>
      <c r="Y18" s="43">
        <f t="shared" si="16"/>
        <v>-9.99999999997669E-2</v>
      </c>
      <c r="Z18" s="44">
        <f t="shared" si="17"/>
        <v>-1.59999999999982</v>
      </c>
      <c r="AA18" s="45">
        <f t="shared" si="18"/>
        <v>-9.99999999997669E-2</v>
      </c>
      <c r="AB18" s="49">
        <v>8.8824000000000005</v>
      </c>
      <c r="AC18" s="43">
        <f t="shared" si="19"/>
        <v>-0.59999999999860198</v>
      </c>
      <c r="AD18" s="44">
        <f t="shared" si="20"/>
        <v>-2.3999999999997401</v>
      </c>
      <c r="AE18" s="45">
        <f t="shared" si="21"/>
        <v>-0.59999999999860198</v>
      </c>
      <c r="AF18" s="50">
        <v>80592</v>
      </c>
      <c r="AG18" s="58">
        <f t="shared" si="22"/>
        <v>27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44931</v>
      </c>
      <c r="B19" s="22">
        <v>791.80629999999996</v>
      </c>
      <c r="C19" s="27">
        <v>5.9204999999999997</v>
      </c>
      <c r="D19" s="23">
        <f t="shared" si="0"/>
        <v>797.72680000000003</v>
      </c>
      <c r="E19" s="24">
        <f t="shared" si="4"/>
        <v>-0.30000000003838101</v>
      </c>
      <c r="F19" s="25">
        <f t="shared" si="5"/>
        <v>-2.70000000000437</v>
      </c>
      <c r="G19" s="26">
        <f t="shared" si="6"/>
        <v>-0.30000000003838101</v>
      </c>
      <c r="H19" s="6">
        <v>6.5521000000000003</v>
      </c>
      <c r="I19" s="35">
        <f t="shared" si="1"/>
        <v>798.35839999999996</v>
      </c>
      <c r="J19" s="24">
        <f t="shared" si="7"/>
        <v>-0.199999999949796</v>
      </c>
      <c r="K19" s="25">
        <f t="shared" si="8"/>
        <v>-2.1000000000412902</v>
      </c>
      <c r="L19" s="26">
        <f t="shared" si="9"/>
        <v>-0.199999999949796</v>
      </c>
      <c r="M19" s="6">
        <v>5.7401000000000098</v>
      </c>
      <c r="N19" s="35">
        <f t="shared" si="2"/>
        <v>797.54639999999995</v>
      </c>
      <c r="O19" s="24">
        <f t="shared" si="10"/>
        <v>-0.30000000003838101</v>
      </c>
      <c r="P19" s="25">
        <f t="shared" si="11"/>
        <v>-2.5000000000545701</v>
      </c>
      <c r="Q19" s="26">
        <f t="shared" si="12"/>
        <v>-0.30000000003838101</v>
      </c>
      <c r="R19" s="41"/>
      <c r="S19" s="21">
        <f t="shared" si="3"/>
        <v>44931</v>
      </c>
      <c r="T19" s="42">
        <v>8.7850999999999893</v>
      </c>
      <c r="U19" s="43">
        <f t="shared" si="13"/>
        <v>-0.50000000001126899</v>
      </c>
      <c r="V19" s="44">
        <f t="shared" si="14"/>
        <v>-2.7000000000114701</v>
      </c>
      <c r="W19" s="45">
        <f t="shared" si="15"/>
        <v>0.50000000001126899</v>
      </c>
      <c r="X19" s="29">
        <v>12.340999999999999</v>
      </c>
      <c r="Y19" s="43">
        <f t="shared" si="16"/>
        <v>9.99999999997669E-2</v>
      </c>
      <c r="Z19" s="44">
        <f t="shared" si="17"/>
        <v>-1.50000000000006</v>
      </c>
      <c r="AA19" s="45">
        <f t="shared" si="18"/>
        <v>9.99999999997669E-2</v>
      </c>
      <c r="AB19" s="49">
        <v>8.8821999999999992</v>
      </c>
      <c r="AC19" s="43">
        <f t="shared" si="19"/>
        <v>-0.20000000000130999</v>
      </c>
      <c r="AD19" s="44">
        <f t="shared" si="20"/>
        <v>-2.6000000000010499</v>
      </c>
      <c r="AE19" s="45">
        <f t="shared" si="21"/>
        <v>-0.20000000000130999</v>
      </c>
      <c r="AF19" s="50">
        <v>80594</v>
      </c>
      <c r="AG19" s="58">
        <f t="shared" si="22"/>
        <v>29</v>
      </c>
      <c r="AH19" s="61"/>
      <c r="AI19" s="60"/>
      <c r="AJ19"/>
      <c r="AK19"/>
      <c r="AL19"/>
      <c r="AM19"/>
    </row>
    <row r="20" spans="1:48">
      <c r="A20" s="21">
        <v>44932</v>
      </c>
      <c r="B20" s="22">
        <v>791.80629999999996</v>
      </c>
      <c r="C20" s="27">
        <v>5.9204000000000097</v>
      </c>
      <c r="D20" s="23">
        <f t="shared" si="0"/>
        <v>797.72670000000005</v>
      </c>
      <c r="E20" s="24">
        <f t="shared" si="4"/>
        <v>-9.9999999974897905E-2</v>
      </c>
      <c r="F20" s="25">
        <f t="shared" si="5"/>
        <v>-2.79999999997926</v>
      </c>
      <c r="G20" s="26">
        <f t="shared" si="6"/>
        <v>-9.9999999974897905E-2</v>
      </c>
      <c r="H20" s="6">
        <v>6.5519000000000096</v>
      </c>
      <c r="I20" s="35">
        <f t="shared" si="1"/>
        <v>798.35820000000001</v>
      </c>
      <c r="J20" s="24">
        <f t="shared" si="7"/>
        <v>-0.199999999949796</v>
      </c>
      <c r="K20" s="25">
        <f t="shared" si="8"/>
        <v>-2.2999999999910901</v>
      </c>
      <c r="L20" s="26">
        <f t="shared" si="9"/>
        <v>-0.199999999949796</v>
      </c>
      <c r="M20" s="6">
        <v>5.7399000000000102</v>
      </c>
      <c r="N20" s="35">
        <f t="shared" si="2"/>
        <v>797.5462</v>
      </c>
      <c r="O20" s="24">
        <f t="shared" si="10"/>
        <v>-0.199999999949796</v>
      </c>
      <c r="P20" s="25">
        <f t="shared" si="11"/>
        <v>-2.70000000000437</v>
      </c>
      <c r="Q20" s="26">
        <f t="shared" si="12"/>
        <v>-0.199999999949796</v>
      </c>
      <c r="R20" s="41"/>
      <c r="S20" s="21">
        <f t="shared" si="3"/>
        <v>44932</v>
      </c>
      <c r="T20" s="42">
        <v>8.7851999999999997</v>
      </c>
      <c r="U20" s="43">
        <f t="shared" si="13"/>
        <v>0.100000000010425</v>
      </c>
      <c r="V20" s="44">
        <f t="shared" si="14"/>
        <v>-2.6000000000010499</v>
      </c>
      <c r="W20" s="45">
        <f t="shared" si="15"/>
        <v>-0.100000000010425</v>
      </c>
      <c r="X20" s="29">
        <v>12.3407</v>
      </c>
      <c r="Y20" s="43">
        <f t="shared" si="16"/>
        <v>-0.29999999999930099</v>
      </c>
      <c r="Z20" s="44">
        <f t="shared" si="17"/>
        <v>-1.7999999999993599</v>
      </c>
      <c r="AA20" s="45">
        <f t="shared" si="18"/>
        <v>-0.29999999999930099</v>
      </c>
      <c r="AB20" s="49">
        <v>8.8820999999999994</v>
      </c>
      <c r="AC20" s="43">
        <f t="shared" si="19"/>
        <v>-9.99999999997669E-2</v>
      </c>
      <c r="AD20" s="44">
        <f t="shared" si="20"/>
        <v>-2.7000000000008102</v>
      </c>
      <c r="AE20" s="45">
        <f t="shared" si="21"/>
        <v>-9.99999999997669E-2</v>
      </c>
      <c r="AF20" s="50">
        <v>80596</v>
      </c>
      <c r="AG20" s="58">
        <f t="shared" si="22"/>
        <v>31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44934</v>
      </c>
      <c r="B21" s="22">
        <v>791.80629999999996</v>
      </c>
      <c r="C21" s="27">
        <v>5.9202000000000101</v>
      </c>
      <c r="D21" s="23">
        <f t="shared" si="0"/>
        <v>797.72649999999999</v>
      </c>
      <c r="E21" s="24">
        <f t="shared" si="4"/>
        <v>-0.199999999949796</v>
      </c>
      <c r="F21" s="25">
        <f t="shared" si="5"/>
        <v>-2.9999999999290599</v>
      </c>
      <c r="G21" s="26">
        <f t="shared" si="6"/>
        <v>-9.9999999974897905E-2</v>
      </c>
      <c r="H21" s="6">
        <v>6.5518000000000001</v>
      </c>
      <c r="I21" s="35">
        <f t="shared" si="1"/>
        <v>798.35810000000004</v>
      </c>
      <c r="J21" s="24">
        <f t="shared" si="7"/>
        <v>-0.10000000008858501</v>
      </c>
      <c r="K21" s="25">
        <f t="shared" si="8"/>
        <v>-2.40000000007967</v>
      </c>
      <c r="L21" s="26">
        <f t="shared" si="9"/>
        <v>-5.0000000044292399E-2</v>
      </c>
      <c r="M21" s="6">
        <v>5.7397000000000098</v>
      </c>
      <c r="N21" s="35">
        <f t="shared" si="2"/>
        <v>797.54600000000005</v>
      </c>
      <c r="O21" s="24">
        <f t="shared" si="10"/>
        <v>-0.20000000006348301</v>
      </c>
      <c r="P21" s="25">
        <f t="shared" si="11"/>
        <v>-2.9000000000678501</v>
      </c>
      <c r="Q21" s="26">
        <f t="shared" si="12"/>
        <v>-0.100000000031741</v>
      </c>
      <c r="R21" s="41"/>
      <c r="S21" s="21">
        <f t="shared" si="3"/>
        <v>44934</v>
      </c>
      <c r="T21" s="42">
        <v>8.7846999999999795</v>
      </c>
      <c r="U21" s="43">
        <f t="shared" si="13"/>
        <v>-0.50000000002015099</v>
      </c>
      <c r="V21" s="44">
        <f t="shared" si="14"/>
        <v>-3.1000000000212</v>
      </c>
      <c r="W21" s="45">
        <f t="shared" si="15"/>
        <v>0.250000000010075</v>
      </c>
      <c r="X21" s="29">
        <v>12.3406</v>
      </c>
      <c r="Y21" s="43">
        <f t="shared" si="16"/>
        <v>-9.99999999997669E-2</v>
      </c>
      <c r="Z21" s="44">
        <f t="shared" si="17"/>
        <v>-1.8999999999991199</v>
      </c>
      <c r="AA21" s="45">
        <f t="shared" si="18"/>
        <v>-4.9999999999883499E-2</v>
      </c>
      <c r="AB21" s="49">
        <v>8.8818000000000001</v>
      </c>
      <c r="AC21" s="43">
        <f t="shared" si="19"/>
        <v>-0.29999999999930099</v>
      </c>
      <c r="AD21" s="44">
        <f t="shared" si="20"/>
        <v>-3.0000000000001101</v>
      </c>
      <c r="AE21" s="45">
        <f t="shared" si="21"/>
        <v>-0.14999999999965</v>
      </c>
      <c r="AF21" s="50">
        <v>80598</v>
      </c>
      <c r="AG21" s="58">
        <f t="shared" si="22"/>
        <v>33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44936</v>
      </c>
      <c r="B22" s="22">
        <v>791.80629999999996</v>
      </c>
      <c r="C22" s="27">
        <v>5.9200000000000097</v>
      </c>
      <c r="D22" s="23">
        <f t="shared" si="0"/>
        <v>797.72630000000004</v>
      </c>
      <c r="E22" s="24">
        <f t="shared" si="4"/>
        <v>-0.20000000006348301</v>
      </c>
      <c r="F22" s="25">
        <f t="shared" si="5"/>
        <v>-3.1999999999925399</v>
      </c>
      <c r="G22" s="26">
        <f t="shared" si="6"/>
        <v>-0.100000000031741</v>
      </c>
      <c r="H22" s="6">
        <v>6.5515000000000096</v>
      </c>
      <c r="I22" s="35">
        <f t="shared" si="1"/>
        <v>798.3578</v>
      </c>
      <c r="J22" s="24">
        <f t="shared" si="7"/>
        <v>-0.29999999992469401</v>
      </c>
      <c r="K22" s="25">
        <f t="shared" si="8"/>
        <v>-2.70000000000437</v>
      </c>
      <c r="L22" s="26">
        <f t="shared" si="9"/>
        <v>-0.149999999962347</v>
      </c>
      <c r="M22" s="6">
        <v>5.7394999999999996</v>
      </c>
      <c r="N22" s="35">
        <f t="shared" si="2"/>
        <v>797.54579999999999</v>
      </c>
      <c r="O22" s="24">
        <f t="shared" si="10"/>
        <v>-0.199999999949796</v>
      </c>
      <c r="P22" s="25">
        <f t="shared" si="11"/>
        <v>-3.1000000000176402</v>
      </c>
      <c r="Q22" s="26">
        <f t="shared" si="12"/>
        <v>-9.9999999974897905E-2</v>
      </c>
      <c r="R22" s="41"/>
      <c r="S22" s="21">
        <f t="shared" si="3"/>
        <v>44936</v>
      </c>
      <c r="T22" s="42">
        <v>8.7843999999999998</v>
      </c>
      <c r="U22" s="43">
        <f t="shared" si="13"/>
        <v>-0.29999999997976101</v>
      </c>
      <c r="V22" s="44">
        <f t="shared" si="14"/>
        <v>-3.40000000000096</v>
      </c>
      <c r="W22" s="45">
        <f t="shared" si="15"/>
        <v>0.14999999998988001</v>
      </c>
      <c r="X22" s="29">
        <v>12.3408</v>
      </c>
      <c r="Y22" s="43">
        <f t="shared" si="16"/>
        <v>0.19999999999953399</v>
      </c>
      <c r="Z22" s="44">
        <f t="shared" si="17"/>
        <v>-1.6999999999995901</v>
      </c>
      <c r="AA22" s="45">
        <f t="shared" si="18"/>
        <v>9.99999999997669E-2</v>
      </c>
      <c r="AB22" s="49">
        <v>8.8816000000000006</v>
      </c>
      <c r="AC22" s="43">
        <f t="shared" si="19"/>
        <v>-0.19999999999953399</v>
      </c>
      <c r="AD22" s="44">
        <f t="shared" si="20"/>
        <v>-3.1999999999996498</v>
      </c>
      <c r="AE22" s="45">
        <f t="shared" si="21"/>
        <v>-9.99999999997669E-2</v>
      </c>
      <c r="AF22" s="50">
        <v>80600</v>
      </c>
      <c r="AG22" s="58">
        <f t="shared" si="22"/>
        <v>35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44938</v>
      </c>
      <c r="B23" s="22">
        <v>791.80629999999996</v>
      </c>
      <c r="C23" s="27">
        <v>5.9200999999999997</v>
      </c>
      <c r="D23" s="23">
        <f t="shared" si="0"/>
        <v>797.72640000000001</v>
      </c>
      <c r="E23" s="24">
        <f t="shared" si="4"/>
        <v>0.10000000008858501</v>
      </c>
      <c r="F23" s="25">
        <f t="shared" si="5"/>
        <v>-3.09999999990396</v>
      </c>
      <c r="G23" s="26">
        <f t="shared" si="6"/>
        <v>5.0000000044292399E-2</v>
      </c>
      <c r="H23" s="6">
        <v>6.5513000000000101</v>
      </c>
      <c r="I23" s="35">
        <f t="shared" si="1"/>
        <v>798.35760000000005</v>
      </c>
      <c r="J23" s="24">
        <f t="shared" si="7"/>
        <v>-0.20000000006348301</v>
      </c>
      <c r="K23" s="25">
        <f t="shared" si="8"/>
        <v>-2.9000000000678501</v>
      </c>
      <c r="L23" s="26">
        <f t="shared" si="9"/>
        <v>-0.100000000031741</v>
      </c>
      <c r="M23" s="6">
        <v>5.7393999999999998</v>
      </c>
      <c r="N23" s="35">
        <f t="shared" si="2"/>
        <v>797.54570000000001</v>
      </c>
      <c r="O23" s="24">
        <f t="shared" si="10"/>
        <v>-9.9999999974897905E-2</v>
      </c>
      <c r="P23" s="25">
        <f t="shared" si="11"/>
        <v>-3.1999999999925399</v>
      </c>
      <c r="Q23" s="26">
        <f t="shared" si="12"/>
        <v>-4.9999999987449001E-2</v>
      </c>
      <c r="R23" s="41"/>
      <c r="S23" s="21">
        <f t="shared" si="3"/>
        <v>44938</v>
      </c>
      <c r="T23" s="42">
        <v>8.7842999999999805</v>
      </c>
      <c r="U23" s="43">
        <f t="shared" si="13"/>
        <v>-0.10000000001930701</v>
      </c>
      <c r="V23" s="44">
        <f t="shared" si="14"/>
        <v>-3.5000000000202598</v>
      </c>
      <c r="W23" s="45">
        <f t="shared" si="15"/>
        <v>5.0000000009653399E-2</v>
      </c>
      <c r="X23" s="29">
        <v>12.340400000000001</v>
      </c>
      <c r="Y23" s="43">
        <f t="shared" si="16"/>
        <v>-0.39999999999906799</v>
      </c>
      <c r="Z23" s="44">
        <f t="shared" si="17"/>
        <v>-2.0999999999986598</v>
      </c>
      <c r="AA23" s="45">
        <f t="shared" si="18"/>
        <v>-0.19999999999953399</v>
      </c>
      <c r="AB23" s="49">
        <v>8.8815000000000008</v>
      </c>
      <c r="AC23" s="43">
        <f t="shared" si="19"/>
        <v>-9.99999999997669E-2</v>
      </c>
      <c r="AD23" s="44">
        <f t="shared" si="20"/>
        <v>-3.2999999999994101</v>
      </c>
      <c r="AE23" s="45">
        <f t="shared" si="21"/>
        <v>-4.9999999999883499E-2</v>
      </c>
      <c r="AF23" s="50">
        <v>80602</v>
      </c>
      <c r="AG23" s="58">
        <f t="shared" si="22"/>
        <v>37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44960</v>
      </c>
      <c r="B24" s="22">
        <v>791.80629999999996</v>
      </c>
      <c r="C24" s="27">
        <v>5.9196000000000097</v>
      </c>
      <c r="D24" s="23">
        <f t="shared" si="0"/>
        <v>797.72590000000002</v>
      </c>
      <c r="E24" s="24">
        <f t="shared" si="4"/>
        <v>-0.49999999998817701</v>
      </c>
      <c r="F24" s="25">
        <f t="shared" si="5"/>
        <v>-3.5999999998921299</v>
      </c>
      <c r="G24" s="26">
        <f t="shared" si="6"/>
        <v>-2.27272727267353E-2</v>
      </c>
      <c r="H24" s="6">
        <v>6.5514000000000001</v>
      </c>
      <c r="I24" s="35">
        <f t="shared" si="1"/>
        <v>798.35770000000002</v>
      </c>
      <c r="J24" s="24">
        <f t="shared" si="7"/>
        <v>9.9999999974897905E-2</v>
      </c>
      <c r="K24" s="25">
        <f t="shared" si="8"/>
        <v>-2.8000000000929499</v>
      </c>
      <c r="L24" s="26">
        <f t="shared" si="9"/>
        <v>4.5454545443135404E-3</v>
      </c>
      <c r="M24" s="6">
        <v>5.7391000000000103</v>
      </c>
      <c r="N24" s="35">
        <f t="shared" si="2"/>
        <v>797.54539999999997</v>
      </c>
      <c r="O24" s="24">
        <f t="shared" si="10"/>
        <v>-0.30000000003838101</v>
      </c>
      <c r="P24" s="25">
        <f t="shared" si="11"/>
        <v>-3.5000000000309202</v>
      </c>
      <c r="Q24" s="26">
        <f t="shared" si="12"/>
        <v>-1.36363636381082E-2</v>
      </c>
      <c r="R24" s="41"/>
      <c r="S24" s="21">
        <f t="shared" si="3"/>
        <v>44960</v>
      </c>
      <c r="T24" s="42">
        <v>8.7840999999999791</v>
      </c>
      <c r="U24" s="43">
        <f t="shared" si="13"/>
        <v>-0.20000000000130999</v>
      </c>
      <c r="V24" s="44">
        <f t="shared" si="14"/>
        <v>-3.70000000002157</v>
      </c>
      <c r="W24" s="45">
        <f t="shared" si="15"/>
        <v>9.0909090909686505E-3</v>
      </c>
      <c r="X24" s="29">
        <v>12.340299999999999</v>
      </c>
      <c r="Y24" s="43">
        <f t="shared" si="16"/>
        <v>-0.10000000000154299</v>
      </c>
      <c r="Z24" s="44">
        <f t="shared" si="17"/>
        <v>-2.2000000000002</v>
      </c>
      <c r="AA24" s="45">
        <f t="shared" si="18"/>
        <v>-4.5454545455247001E-3</v>
      </c>
      <c r="AB24" s="49">
        <v>8.8812000000000104</v>
      </c>
      <c r="AC24" s="43">
        <f t="shared" si="19"/>
        <v>-0.29999999999041899</v>
      </c>
      <c r="AD24" s="44">
        <f t="shared" si="20"/>
        <v>-3.59999999998983</v>
      </c>
      <c r="AE24" s="45">
        <f t="shared" si="21"/>
        <v>-1.36363636359281E-2</v>
      </c>
      <c r="AF24" s="50">
        <v>80604</v>
      </c>
      <c r="AG24" s="58">
        <f t="shared" si="22"/>
        <v>39</v>
      </c>
      <c r="AH24" s="59"/>
      <c r="AI24" s="60"/>
      <c r="AJ24" s="52"/>
      <c r="AK24" s="52"/>
      <c r="AL24" s="52"/>
      <c r="AM24" s="52"/>
    </row>
    <row r="25" spans="1:48">
      <c r="A25" s="21">
        <v>44962</v>
      </c>
      <c r="B25" s="22">
        <v>791.80629999999996</v>
      </c>
      <c r="C25" s="27">
        <v>5.9194000000000102</v>
      </c>
      <c r="D25" s="23">
        <f t="shared" si="0"/>
        <v>797.72569999999996</v>
      </c>
      <c r="E25" s="24">
        <f t="shared" si="4"/>
        <v>-0.20000000006348301</v>
      </c>
      <c r="F25" s="25">
        <f t="shared" si="5"/>
        <v>-3.7999999999556202</v>
      </c>
      <c r="G25" s="26">
        <f t="shared" si="6"/>
        <v>-0.100000000031741</v>
      </c>
      <c r="H25" s="6">
        <v>6.5509000000000102</v>
      </c>
      <c r="I25" s="35">
        <f t="shared" si="1"/>
        <v>798.35720000000003</v>
      </c>
      <c r="J25" s="24">
        <f t="shared" si="7"/>
        <v>-0.49999999998817701</v>
      </c>
      <c r="K25" s="25">
        <f t="shared" si="8"/>
        <v>-3.30000000008113</v>
      </c>
      <c r="L25" s="26">
        <f t="shared" si="9"/>
        <v>-0.24999999999408801</v>
      </c>
      <c r="M25" s="6">
        <v>5.7389000000000099</v>
      </c>
      <c r="N25" s="35">
        <f t="shared" si="2"/>
        <v>797.54520000000002</v>
      </c>
      <c r="O25" s="24">
        <f t="shared" si="10"/>
        <v>-0.199999999949796</v>
      </c>
      <c r="P25" s="25">
        <f t="shared" si="11"/>
        <v>-3.69999999998072</v>
      </c>
      <c r="Q25" s="26">
        <f t="shared" si="12"/>
        <v>-9.9999999974897905E-2</v>
      </c>
      <c r="R25" s="41"/>
      <c r="S25" s="21">
        <f t="shared" si="3"/>
        <v>44962</v>
      </c>
      <c r="T25" s="42">
        <v>8.7842000000000002</v>
      </c>
      <c r="U25" s="43">
        <f t="shared" si="13"/>
        <v>0.100000000021083</v>
      </c>
      <c r="V25" s="44">
        <f t="shared" si="14"/>
        <v>-3.6000000000004899</v>
      </c>
      <c r="W25" s="45">
        <f t="shared" si="15"/>
        <v>-5.0000000010541598E-2</v>
      </c>
      <c r="X25" s="29">
        <v>12.3405</v>
      </c>
      <c r="Y25" s="43">
        <f t="shared" si="16"/>
        <v>0.20000000000130999</v>
      </c>
      <c r="Z25" s="44">
        <f t="shared" si="17"/>
        <v>-1.99999999999889</v>
      </c>
      <c r="AA25" s="45">
        <f t="shared" si="18"/>
        <v>0.100000000000655</v>
      </c>
      <c r="AB25" s="49">
        <v>8.8810000000000109</v>
      </c>
      <c r="AC25" s="43">
        <f t="shared" si="19"/>
        <v>-0.19999999999953399</v>
      </c>
      <c r="AD25" s="44">
        <f t="shared" si="20"/>
        <v>-3.7999999999893701</v>
      </c>
      <c r="AE25" s="45">
        <f t="shared" si="21"/>
        <v>-9.99999999997669E-2</v>
      </c>
      <c r="AF25" s="50">
        <v>80606</v>
      </c>
      <c r="AG25" s="58">
        <f t="shared" si="22"/>
        <v>41</v>
      </c>
      <c r="AH25" s="61"/>
      <c r="AI25" s="60"/>
      <c r="AJ25" s="52"/>
      <c r="AK25" s="52"/>
      <c r="AL25" s="52"/>
      <c r="AM25" s="52"/>
    </row>
    <row r="26" spans="1:48">
      <c r="A26" s="21">
        <v>44965</v>
      </c>
      <c r="B26" s="22">
        <v>791.80629999999996</v>
      </c>
      <c r="C26" s="27">
        <v>5.9195000000000002</v>
      </c>
      <c r="D26" s="23">
        <f t="shared" si="0"/>
        <v>797.72580000000005</v>
      </c>
      <c r="E26" s="24">
        <f t="shared" si="4"/>
        <v>9.9999999974897905E-2</v>
      </c>
      <c r="F26" s="25">
        <f t="shared" si="5"/>
        <v>-3.69999999998072</v>
      </c>
      <c r="G26" s="26">
        <f t="shared" si="6"/>
        <v>3.3333333324965998E-2</v>
      </c>
      <c r="H26" s="6">
        <v>6.5507000000000097</v>
      </c>
      <c r="I26" s="35">
        <f t="shared" si="1"/>
        <v>798.35699999999997</v>
      </c>
      <c r="J26" s="24">
        <f t="shared" si="7"/>
        <v>-0.199999999949796</v>
      </c>
      <c r="K26" s="25">
        <f t="shared" si="8"/>
        <v>-3.5000000000309202</v>
      </c>
      <c r="L26" s="26">
        <f t="shared" si="9"/>
        <v>-6.6666666649931997E-2</v>
      </c>
      <c r="M26" s="6">
        <v>5.7387000000000103</v>
      </c>
      <c r="N26" s="35">
        <f t="shared" si="2"/>
        <v>797.54499999999996</v>
      </c>
      <c r="O26" s="24">
        <f t="shared" si="10"/>
        <v>-0.20000000006348301</v>
      </c>
      <c r="P26" s="25">
        <f t="shared" si="11"/>
        <v>-3.9000000000442001</v>
      </c>
      <c r="Q26" s="26">
        <f t="shared" si="12"/>
        <v>-6.66666666878276E-2</v>
      </c>
      <c r="R26" s="41"/>
      <c r="S26" s="21">
        <f t="shared" si="3"/>
        <v>44965</v>
      </c>
      <c r="T26" s="42">
        <v>8.7837999999999994</v>
      </c>
      <c r="U26" s="43">
        <f t="shared" si="13"/>
        <v>-0.40000000000084401</v>
      </c>
      <c r="V26" s="44">
        <f t="shared" si="14"/>
        <v>-4.0000000000013403</v>
      </c>
      <c r="W26" s="45">
        <f t="shared" si="15"/>
        <v>0.133333333333615</v>
      </c>
      <c r="X26" s="29">
        <v>12.340299999999999</v>
      </c>
      <c r="Y26" s="43">
        <f t="shared" si="16"/>
        <v>-0.20000000000130999</v>
      </c>
      <c r="Z26" s="44">
        <f t="shared" si="17"/>
        <v>-2.2000000000002</v>
      </c>
      <c r="AA26" s="45">
        <f t="shared" si="18"/>
        <v>-6.66666666671034E-2</v>
      </c>
      <c r="AB26" s="49">
        <v>8.8806999999999992</v>
      </c>
      <c r="AC26" s="43">
        <f t="shared" si="19"/>
        <v>-0.30000000001173499</v>
      </c>
      <c r="AD26" s="44">
        <f t="shared" si="20"/>
        <v>-4.1000000000011001</v>
      </c>
      <c r="AE26" s="45">
        <f t="shared" si="21"/>
        <v>-0.100000000003912</v>
      </c>
      <c r="AF26" s="50">
        <v>80608</v>
      </c>
      <c r="AG26" s="58">
        <f t="shared" si="22"/>
        <v>43</v>
      </c>
      <c r="AH26" s="59"/>
      <c r="AI26" s="60"/>
      <c r="AJ26" s="61"/>
      <c r="AK26" s="62"/>
      <c r="AL26" s="60"/>
      <c r="AM26" s="64"/>
    </row>
    <row r="27" spans="1:48">
      <c r="A27" s="21">
        <v>44967</v>
      </c>
      <c r="B27" s="22">
        <v>791.80629999999996</v>
      </c>
      <c r="C27" s="27">
        <v>5.9190000000000103</v>
      </c>
      <c r="D27" s="23">
        <f t="shared" si="0"/>
        <v>797.72529999999995</v>
      </c>
      <c r="E27" s="24">
        <f t="shared" si="4"/>
        <v>-0.49999999998817701</v>
      </c>
      <c r="F27" s="25">
        <f t="shared" si="5"/>
        <v>-4.1999999999688997</v>
      </c>
      <c r="G27" s="26">
        <f t="shared" si="6"/>
        <v>-0.24999999999408801</v>
      </c>
      <c r="H27" s="6">
        <v>6.5507999999999997</v>
      </c>
      <c r="I27" s="35">
        <f t="shared" si="1"/>
        <v>798.35709999999995</v>
      </c>
      <c r="J27" s="24">
        <f t="shared" si="7"/>
        <v>9.9999999974897905E-2</v>
      </c>
      <c r="K27" s="25">
        <f t="shared" si="8"/>
        <v>-3.40000000005602</v>
      </c>
      <c r="L27" s="26">
        <f t="shared" si="9"/>
        <v>4.9999999987449001E-2</v>
      </c>
      <c r="M27" s="6">
        <v>5.7385999999999999</v>
      </c>
      <c r="N27" s="35">
        <f t="shared" si="2"/>
        <v>797.54489999999998</v>
      </c>
      <c r="O27" s="24">
        <f t="shared" si="10"/>
        <v>-9.9999999974897905E-2</v>
      </c>
      <c r="P27" s="25">
        <f t="shared" si="11"/>
        <v>-4.0000000000191003</v>
      </c>
      <c r="Q27" s="26">
        <f t="shared" si="12"/>
        <v>-4.9999999987449001E-2</v>
      </c>
      <c r="R27" s="41"/>
      <c r="S27" s="21">
        <f t="shared" si="3"/>
        <v>44967</v>
      </c>
      <c r="T27" s="42">
        <v>8.7834000000000003</v>
      </c>
      <c r="U27" s="43">
        <f t="shared" si="13"/>
        <v>-0.39999999999906799</v>
      </c>
      <c r="V27" s="44">
        <f t="shared" si="14"/>
        <v>-4.4000000000004</v>
      </c>
      <c r="W27" s="45">
        <f t="shared" si="15"/>
        <v>0.19999999999953399</v>
      </c>
      <c r="X27" s="29">
        <v>12.3405</v>
      </c>
      <c r="Y27" s="43">
        <f t="shared" si="16"/>
        <v>0.20000000000130999</v>
      </c>
      <c r="Z27" s="44">
        <f t="shared" si="17"/>
        <v>-1.99999999999889</v>
      </c>
      <c r="AA27" s="45">
        <f t="shared" si="18"/>
        <v>0.100000000000655</v>
      </c>
      <c r="AB27" s="49">
        <v>8.8802000000000003</v>
      </c>
      <c r="AC27" s="43">
        <f t="shared" si="19"/>
        <v>-0.49999999999883499</v>
      </c>
      <c r="AD27" s="44">
        <f t="shared" si="20"/>
        <v>-4.5999999999999401</v>
      </c>
      <c r="AE27" s="45">
        <f t="shared" si="21"/>
        <v>-0.24999999999941699</v>
      </c>
      <c r="AF27" s="50">
        <v>80610</v>
      </c>
      <c r="AG27" s="58">
        <f t="shared" si="22"/>
        <v>45</v>
      </c>
      <c r="AH27" s="59"/>
      <c r="AI27" s="60"/>
      <c r="AJ27" s="61"/>
      <c r="AK27" s="62"/>
      <c r="AL27" s="60"/>
      <c r="AM27" s="64"/>
    </row>
    <row r="28" spans="1:48">
      <c r="A28" s="21">
        <v>44972</v>
      </c>
      <c r="B28" s="22">
        <v>791.80629999999996</v>
      </c>
      <c r="C28" s="27">
        <v>5.9188000000000098</v>
      </c>
      <c r="D28" s="23">
        <f t="shared" si="0"/>
        <v>797.7251</v>
      </c>
      <c r="E28" s="24">
        <f t="shared" si="4"/>
        <v>-0.199999999949796</v>
      </c>
      <c r="F28" s="25">
        <f t="shared" si="5"/>
        <v>-4.3999999999186903</v>
      </c>
      <c r="G28" s="26">
        <f t="shared" si="6"/>
        <v>-3.9999999989959199E-2</v>
      </c>
      <c r="H28" s="6">
        <v>6.5503000000000098</v>
      </c>
      <c r="I28" s="35">
        <f t="shared" si="1"/>
        <v>798.35659999999996</v>
      </c>
      <c r="J28" s="24">
        <f t="shared" si="7"/>
        <v>-0.49999999998817701</v>
      </c>
      <c r="K28" s="25">
        <f t="shared" si="8"/>
        <v>-3.9000000000442001</v>
      </c>
      <c r="L28" s="26">
        <f t="shared" si="9"/>
        <v>-9.99999999976353E-2</v>
      </c>
      <c r="M28" s="6">
        <v>5.7383000000000104</v>
      </c>
      <c r="N28" s="35">
        <f t="shared" si="2"/>
        <v>797.54459999999995</v>
      </c>
      <c r="O28" s="24">
        <f t="shared" si="10"/>
        <v>-0.30000000003838101</v>
      </c>
      <c r="P28" s="25">
        <f t="shared" si="11"/>
        <v>-4.3000000000574801</v>
      </c>
      <c r="Q28" s="26">
        <f t="shared" si="12"/>
        <v>-6.0000000007676101E-2</v>
      </c>
      <c r="R28" s="41"/>
      <c r="S28" s="21">
        <f t="shared" si="3"/>
        <v>44972</v>
      </c>
      <c r="T28" s="42">
        <v>8.7835000000000001</v>
      </c>
      <c r="U28" s="43">
        <f t="shared" si="13"/>
        <v>9.99999999997669E-2</v>
      </c>
      <c r="V28" s="44">
        <f t="shared" si="14"/>
        <v>-4.3000000000006402</v>
      </c>
      <c r="W28" s="45">
        <f t="shared" si="15"/>
        <v>-1.9999999999953399E-2</v>
      </c>
      <c r="X28" s="29">
        <v>12.3406</v>
      </c>
      <c r="Y28" s="43">
        <f t="shared" si="16"/>
        <v>9.99999999997669E-2</v>
      </c>
      <c r="Z28" s="44">
        <f t="shared" si="17"/>
        <v>-1.8999999999991199</v>
      </c>
      <c r="AA28" s="45">
        <f t="shared" si="18"/>
        <v>1.9999999999953399E-2</v>
      </c>
      <c r="AB28" s="49">
        <v>8.8803000000000001</v>
      </c>
      <c r="AC28" s="43">
        <f t="shared" si="19"/>
        <v>9.99999999997669E-2</v>
      </c>
      <c r="AD28" s="44">
        <f t="shared" si="20"/>
        <v>-4.5000000000001696</v>
      </c>
      <c r="AE28" s="45">
        <f t="shared" si="21"/>
        <v>1.9999999999953399E-2</v>
      </c>
      <c r="AF28" s="50">
        <v>80612</v>
      </c>
      <c r="AG28" s="58">
        <f t="shared" si="22"/>
        <v>47</v>
      </c>
      <c r="AH28" s="61"/>
      <c r="AI28" s="60"/>
      <c r="AJ28" s="61"/>
      <c r="AK28" s="62"/>
      <c r="AL28" s="60"/>
      <c r="AM28" s="64"/>
    </row>
    <row r="29" spans="1:48">
      <c r="A29" s="21">
        <v>44977</v>
      </c>
      <c r="B29" s="22">
        <v>791.80629999999996</v>
      </c>
      <c r="C29" s="27">
        <v>5.9189999999999996</v>
      </c>
      <c r="D29" s="23">
        <f t="shared" si="0"/>
        <v>797.72529999999995</v>
      </c>
      <c r="E29" s="24">
        <f t="shared" si="4"/>
        <v>0.199999999949796</v>
      </c>
      <c r="F29" s="25">
        <f t="shared" si="5"/>
        <v>-4.1999999999688997</v>
      </c>
      <c r="G29" s="26">
        <f t="shared" si="6"/>
        <v>3.9999999989959199E-2</v>
      </c>
      <c r="H29" s="6">
        <v>6.5505000000000004</v>
      </c>
      <c r="I29" s="35">
        <f t="shared" si="1"/>
        <v>798.35680000000002</v>
      </c>
      <c r="J29" s="24">
        <f t="shared" si="7"/>
        <v>0.20000000006348301</v>
      </c>
      <c r="K29" s="25">
        <f t="shared" si="8"/>
        <v>-3.69999999998072</v>
      </c>
      <c r="L29" s="26">
        <f t="shared" si="9"/>
        <v>4.0000000012696497E-2</v>
      </c>
      <c r="M29" s="6">
        <v>5.7384000000000004</v>
      </c>
      <c r="N29" s="35">
        <f t="shared" si="2"/>
        <v>797.54470000000003</v>
      </c>
      <c r="O29" s="24">
        <f t="shared" si="10"/>
        <v>9.9999999974897905E-2</v>
      </c>
      <c r="P29" s="25">
        <f t="shared" si="11"/>
        <v>-4.2000000000825803</v>
      </c>
      <c r="Q29" s="26">
        <f t="shared" si="12"/>
        <v>1.99999999949796E-2</v>
      </c>
      <c r="R29" s="41"/>
      <c r="S29" s="21">
        <f t="shared" si="3"/>
        <v>44977</v>
      </c>
      <c r="T29" s="42">
        <v>8.7835999999999999</v>
      </c>
      <c r="U29" s="43">
        <f t="shared" si="13"/>
        <v>9.99999999997669E-2</v>
      </c>
      <c r="V29" s="44">
        <f t="shared" si="14"/>
        <v>-4.2000000000008697</v>
      </c>
      <c r="W29" s="45">
        <f t="shared" si="15"/>
        <v>-1.9999999999953399E-2</v>
      </c>
      <c r="X29" s="29">
        <v>12.340299999999999</v>
      </c>
      <c r="Y29" s="43">
        <f t="shared" si="16"/>
        <v>-0.30000000000107702</v>
      </c>
      <c r="Z29" s="44">
        <f t="shared" si="17"/>
        <v>-2.2000000000002</v>
      </c>
      <c r="AA29" s="45">
        <f t="shared" si="18"/>
        <v>-6.0000000000215402E-2</v>
      </c>
      <c r="AB29" s="49">
        <v>8.8801000000000005</v>
      </c>
      <c r="AC29" s="43">
        <f t="shared" si="19"/>
        <v>-0.19999999999953399</v>
      </c>
      <c r="AD29" s="44">
        <f t="shared" si="20"/>
        <v>-4.6999999999997</v>
      </c>
      <c r="AE29" s="45">
        <f t="shared" si="21"/>
        <v>-3.9999999999906798E-2</v>
      </c>
      <c r="AF29" s="50">
        <v>80614</v>
      </c>
      <c r="AG29" s="58">
        <f t="shared" si="22"/>
        <v>49</v>
      </c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F29-F6</f>
        <v>-4.1999999999688997</v>
      </c>
      <c r="F30" s="33">
        <f>K29-K6</f>
        <v>-3.69999999998072</v>
      </c>
      <c r="G30" s="33">
        <f>P29-P6</f>
        <v>-4.2000000000825803</v>
      </c>
      <c r="H30" s="33">
        <f>F29</f>
        <v>-4.1999999999688997</v>
      </c>
      <c r="I30" s="66">
        <f>K29</f>
        <v>-3.69999999998072</v>
      </c>
      <c r="J30" s="65">
        <f>P29</f>
        <v>-4.2000000000825803</v>
      </c>
      <c r="K30" s="33">
        <f>(P29-P6)/60</f>
        <v>-7.0000000001376406E-2</v>
      </c>
      <c r="L30" s="26"/>
      <c r="N30" s="35"/>
      <c r="O30" s="24"/>
      <c r="P30" s="25"/>
      <c r="Q30" s="26"/>
      <c r="R30" s="41"/>
      <c r="S30" s="21"/>
      <c r="T30" s="42"/>
      <c r="U30" s="65">
        <f>V29-V6</f>
        <v>-4.2000000000008697</v>
      </c>
      <c r="V30" s="33">
        <f>Z29-Z6</f>
        <v>-2.2000000000002</v>
      </c>
      <c r="W30" s="33">
        <f>AD29-AD6</f>
        <v>-4.6999999999997</v>
      </c>
      <c r="X30" s="33">
        <f>V29</f>
        <v>-4.2000000000008697</v>
      </c>
      <c r="Y30" s="65">
        <f>Z29</f>
        <v>-2.2000000000002</v>
      </c>
      <c r="Z30" s="33">
        <f>AD29</f>
        <v>-4.6999999999997</v>
      </c>
      <c r="AA30" s="33">
        <f>(AD29-AD6)/60</f>
        <v>-7.8333333333328398E-2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O28" workbookViewId="0">
      <selection activeCell="U31" sqref="U31:AA31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80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44933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44933</v>
      </c>
      <c r="B6" s="22">
        <v>791.80629999999996</v>
      </c>
      <c r="C6" s="27">
        <v>5.7845000000000004</v>
      </c>
      <c r="D6" s="23">
        <f t="shared" ref="D6:D30" si="0">C6+B6</f>
        <v>797.59079999999994</v>
      </c>
      <c r="E6" s="24">
        <v>0</v>
      </c>
      <c r="F6" s="25">
        <v>0</v>
      </c>
      <c r="G6" s="26">
        <v>0</v>
      </c>
      <c r="H6" s="6">
        <v>6.8212999999999999</v>
      </c>
      <c r="I6" s="35">
        <f t="shared" ref="I6:I30" si="1">H6+B6</f>
        <v>798.62760000000003</v>
      </c>
      <c r="J6" s="24">
        <v>0</v>
      </c>
      <c r="K6" s="25">
        <v>0</v>
      </c>
      <c r="L6" s="26">
        <v>0</v>
      </c>
      <c r="M6" s="6">
        <v>5.8964999999999996</v>
      </c>
      <c r="N6" s="35">
        <f t="shared" ref="N6:N30" si="2">M6+B6</f>
        <v>797.70280000000002</v>
      </c>
      <c r="O6" s="24">
        <v>0</v>
      </c>
      <c r="P6" s="25">
        <v>0</v>
      </c>
      <c r="Q6" s="26">
        <v>0</v>
      </c>
      <c r="R6" s="41"/>
      <c r="S6" s="21">
        <f t="shared" ref="S6:S25" si="3">A6</f>
        <v>44933</v>
      </c>
      <c r="T6" s="42">
        <v>10.312099999999999</v>
      </c>
      <c r="U6" s="43">
        <v>0</v>
      </c>
      <c r="V6" s="44">
        <v>0</v>
      </c>
      <c r="W6" s="45">
        <f>U6/(S6-S11)</f>
        <v>0</v>
      </c>
      <c r="X6" s="29">
        <v>12.013400000000001</v>
      </c>
      <c r="Y6" s="43">
        <v>0</v>
      </c>
      <c r="Z6" s="44">
        <v>0</v>
      </c>
      <c r="AA6" s="45">
        <v>0</v>
      </c>
      <c r="AB6" s="49">
        <v>8.1023999999999994</v>
      </c>
      <c r="AC6" s="43">
        <v>0</v>
      </c>
      <c r="AD6" s="44">
        <v>0</v>
      </c>
      <c r="AE6" s="45">
        <v>0</v>
      </c>
      <c r="AF6" s="50">
        <v>80596</v>
      </c>
      <c r="AG6" s="58">
        <f>AF6-80592</f>
        <v>4</v>
      </c>
      <c r="AH6" s="59"/>
      <c r="AI6" s="60"/>
      <c r="AJ6" s="61"/>
      <c r="AK6" s="62"/>
      <c r="AL6" s="52"/>
      <c r="AM6" s="52"/>
    </row>
    <row r="7" spans="1:48">
      <c r="A7" s="21">
        <v>44934</v>
      </c>
      <c r="B7" s="22">
        <v>791.80629999999996</v>
      </c>
      <c r="C7" s="27">
        <v>5.7847999999999997</v>
      </c>
      <c r="D7" s="23">
        <f t="shared" si="0"/>
        <v>797.59109999999998</v>
      </c>
      <c r="E7" s="24">
        <f t="shared" ref="E7:E25" si="4">(D7-D6)*1000</f>
        <v>0.30000000003838101</v>
      </c>
      <c r="F7" s="25">
        <f t="shared" ref="F7:F25" si="5">F6+E7</f>
        <v>0.30000000003838101</v>
      </c>
      <c r="G7" s="26">
        <f t="shared" ref="G7:G25" si="6">E7/(A7-A6)</f>
        <v>0.30000000003838101</v>
      </c>
      <c r="H7" s="6">
        <v>6.8211000000000004</v>
      </c>
      <c r="I7" s="35">
        <f t="shared" si="1"/>
        <v>798.62739999999997</v>
      </c>
      <c r="J7" s="24">
        <f t="shared" ref="J7:J25" si="7">(I7-I6)*1000</f>
        <v>-0.199999999949796</v>
      </c>
      <c r="K7" s="25">
        <f t="shared" ref="K7:K25" si="8">K6+J7</f>
        <v>-0.199999999949796</v>
      </c>
      <c r="L7" s="26">
        <f t="shared" ref="L7:L25" si="9">J7/(A7-A6)</f>
        <v>-0.199999999949796</v>
      </c>
      <c r="M7" s="6">
        <v>5.8963999999999999</v>
      </c>
      <c r="N7" s="35">
        <f t="shared" si="2"/>
        <v>797.70270000000005</v>
      </c>
      <c r="O7" s="24">
        <f t="shared" ref="O7:O25" si="10">(N7-N6)*1000</f>
        <v>-9.9999999974897905E-2</v>
      </c>
      <c r="P7" s="25">
        <f t="shared" ref="P7:P25" si="11">P6+O7</f>
        <v>-9.9999999974897905E-2</v>
      </c>
      <c r="Q7" s="26">
        <f t="shared" ref="Q7:Q25" si="12">O7/(A7-A6)</f>
        <v>-9.9999999974897905E-2</v>
      </c>
      <c r="R7" s="41"/>
      <c r="S7" s="21">
        <f t="shared" si="3"/>
        <v>44934</v>
      </c>
      <c r="T7" s="42">
        <v>10.3125</v>
      </c>
      <c r="U7" s="43">
        <f t="shared" ref="U7:U25" si="13">(T7-T6)*1000</f>
        <v>0.40000000000084401</v>
      </c>
      <c r="V7" s="44">
        <f t="shared" ref="V7:V25" si="14">V6+U7</f>
        <v>0.40000000000084401</v>
      </c>
      <c r="W7" s="45">
        <f t="shared" ref="W7:W25" si="15">U7/(S6-S7)</f>
        <v>-0.40000000000084401</v>
      </c>
      <c r="X7" s="29">
        <v>12.013199999999999</v>
      </c>
      <c r="Y7" s="43">
        <f t="shared" ref="Y7:Y25" si="16">(X7-X6)*1000</f>
        <v>-0.20000000000130999</v>
      </c>
      <c r="Z7" s="44">
        <f t="shared" ref="Z7:Z25" si="17">Z6+Y7</f>
        <v>-0.20000000000130999</v>
      </c>
      <c r="AA7" s="45">
        <f t="shared" ref="AA7:AA25" si="18">Y7/(S7-S6)</f>
        <v>-0.20000000000130999</v>
      </c>
      <c r="AB7" s="49">
        <v>8.1024999999999991</v>
      </c>
      <c r="AC7" s="43">
        <f t="shared" ref="AC7:AC25" si="19">(AB7-AB6)*1000</f>
        <v>9.99999999997669E-2</v>
      </c>
      <c r="AD7" s="44">
        <f t="shared" ref="AD7:AD25" si="20">AD6+AC7</f>
        <v>9.99999999997669E-2</v>
      </c>
      <c r="AE7" s="45">
        <f t="shared" ref="AE7:AE25" si="21">AC7/(S7-S6)</f>
        <v>9.99999999997669E-2</v>
      </c>
      <c r="AF7" s="50">
        <v>80599</v>
      </c>
      <c r="AG7" s="58">
        <f t="shared" ref="AG7:AG30" si="22">AF7-80592</f>
        <v>7</v>
      </c>
      <c r="AH7" s="59"/>
      <c r="AI7" s="60"/>
      <c r="AJ7" s="61"/>
      <c r="AK7" s="62"/>
      <c r="AL7" s="52"/>
      <c r="AM7" s="52"/>
    </row>
    <row r="8" spans="1:48">
      <c r="A8" s="21">
        <v>44935</v>
      </c>
      <c r="B8" s="22">
        <v>791.80629999999996</v>
      </c>
      <c r="C8" s="27">
        <v>5.7846000000000002</v>
      </c>
      <c r="D8" s="23">
        <f t="shared" si="0"/>
        <v>797.59090000000003</v>
      </c>
      <c r="E8" s="24">
        <f t="shared" si="4"/>
        <v>-0.20000000006348301</v>
      </c>
      <c r="F8" s="25">
        <f t="shared" si="5"/>
        <v>9.9999999974897905E-2</v>
      </c>
      <c r="G8" s="26">
        <f t="shared" si="6"/>
        <v>-0.20000000006348301</v>
      </c>
      <c r="H8" s="6">
        <v>6.8209</v>
      </c>
      <c r="I8" s="35">
        <f t="shared" si="1"/>
        <v>798.62720000000002</v>
      </c>
      <c r="J8" s="24">
        <f t="shared" si="7"/>
        <v>-0.199999999949796</v>
      </c>
      <c r="K8" s="25">
        <f t="shared" si="8"/>
        <v>-0.39999999989959201</v>
      </c>
      <c r="L8" s="26">
        <f t="shared" si="9"/>
        <v>-0.199999999949796</v>
      </c>
      <c r="M8" s="6">
        <v>5.8966000000000003</v>
      </c>
      <c r="N8" s="35">
        <f t="shared" si="2"/>
        <v>797.7029</v>
      </c>
      <c r="O8" s="24">
        <f t="shared" si="10"/>
        <v>0.20000000006348301</v>
      </c>
      <c r="P8" s="25">
        <f t="shared" si="11"/>
        <v>0.10000000008858501</v>
      </c>
      <c r="Q8" s="26">
        <f t="shared" si="12"/>
        <v>0.20000000006348301</v>
      </c>
      <c r="R8" s="41"/>
      <c r="S8" s="21">
        <f t="shared" si="3"/>
        <v>44935</v>
      </c>
      <c r="T8" s="42">
        <v>10.3123</v>
      </c>
      <c r="U8" s="43">
        <f t="shared" si="13"/>
        <v>-0.19999999999953399</v>
      </c>
      <c r="V8" s="44">
        <f t="shared" si="14"/>
        <v>0.20000000000130999</v>
      </c>
      <c r="W8" s="45">
        <f t="shared" si="15"/>
        <v>0.19999999999953399</v>
      </c>
      <c r="X8" s="29">
        <v>12.0131</v>
      </c>
      <c r="Y8" s="43">
        <f t="shared" si="16"/>
        <v>-9.99999999997669E-2</v>
      </c>
      <c r="Z8" s="44">
        <f t="shared" si="17"/>
        <v>-0.30000000000107702</v>
      </c>
      <c r="AA8" s="45">
        <f t="shared" si="18"/>
        <v>-9.99999999997669E-2</v>
      </c>
      <c r="AB8" s="49">
        <v>8.1022999999999996</v>
      </c>
      <c r="AC8" s="43">
        <f t="shared" si="19"/>
        <v>-0.19999999999953399</v>
      </c>
      <c r="AD8" s="44">
        <f t="shared" si="20"/>
        <v>-9.99999999997669E-2</v>
      </c>
      <c r="AE8" s="45">
        <f t="shared" si="21"/>
        <v>-0.19999999999953399</v>
      </c>
      <c r="AF8" s="50">
        <v>80602</v>
      </c>
      <c r="AG8" s="58">
        <f t="shared" si="22"/>
        <v>10</v>
      </c>
      <c r="AH8" s="59"/>
      <c r="AI8" s="60"/>
      <c r="AJ8" s="61"/>
      <c r="AK8" s="62"/>
      <c r="AL8" s="52"/>
      <c r="AM8" s="52"/>
    </row>
    <row r="9" spans="1:48">
      <c r="A9" s="21">
        <v>44936</v>
      </c>
      <c r="B9" s="22">
        <v>791.80629999999996</v>
      </c>
      <c r="C9" s="27">
        <v>5.7843</v>
      </c>
      <c r="D9" s="23">
        <f t="shared" si="0"/>
        <v>797.59059999999999</v>
      </c>
      <c r="E9" s="24">
        <f t="shared" si="4"/>
        <v>-0.29999999992469401</v>
      </c>
      <c r="F9" s="25">
        <f t="shared" si="5"/>
        <v>-0.199999999949796</v>
      </c>
      <c r="G9" s="26">
        <f t="shared" si="6"/>
        <v>-0.29999999992469401</v>
      </c>
      <c r="H9" s="6">
        <v>6.8209999999999997</v>
      </c>
      <c r="I9" s="35">
        <f t="shared" si="1"/>
        <v>798.62729999999999</v>
      </c>
      <c r="J9" s="24">
        <f t="shared" si="7"/>
        <v>9.9999999974897905E-2</v>
      </c>
      <c r="K9" s="25">
        <f t="shared" si="8"/>
        <v>-0.29999999992469401</v>
      </c>
      <c r="L9" s="26">
        <f t="shared" si="9"/>
        <v>9.9999999974897905E-2</v>
      </c>
      <c r="M9" s="6">
        <v>5.8962000000000003</v>
      </c>
      <c r="N9" s="35">
        <f t="shared" si="2"/>
        <v>797.70249999999999</v>
      </c>
      <c r="O9" s="24">
        <f t="shared" si="10"/>
        <v>-0.40000000001327901</v>
      </c>
      <c r="P9" s="25">
        <f t="shared" si="11"/>
        <v>-0.29999999992469401</v>
      </c>
      <c r="Q9" s="26">
        <f t="shared" si="12"/>
        <v>-0.40000000001327901</v>
      </c>
      <c r="R9" s="41"/>
      <c r="S9" s="21">
        <f t="shared" si="3"/>
        <v>44936</v>
      </c>
      <c r="T9" s="42">
        <v>10.312099999999999</v>
      </c>
      <c r="U9" s="43">
        <f t="shared" si="13"/>
        <v>-0.20000000000130999</v>
      </c>
      <c r="V9" s="44">
        <f t="shared" si="14"/>
        <v>0</v>
      </c>
      <c r="W9" s="45">
        <f t="shared" si="15"/>
        <v>0.20000000000130999</v>
      </c>
      <c r="X9" s="29">
        <v>12.0128</v>
      </c>
      <c r="Y9" s="43">
        <f t="shared" si="16"/>
        <v>-0.29999999999930099</v>
      </c>
      <c r="Z9" s="44">
        <f t="shared" si="17"/>
        <v>-0.60000000000037801</v>
      </c>
      <c r="AA9" s="45">
        <f t="shared" si="18"/>
        <v>-0.29999999999930099</v>
      </c>
      <c r="AB9" s="49">
        <v>8.1021000000000001</v>
      </c>
      <c r="AC9" s="43">
        <f t="shared" si="19"/>
        <v>-0.19999999999953399</v>
      </c>
      <c r="AD9" s="44">
        <f t="shared" si="20"/>
        <v>-0.29999999999930099</v>
      </c>
      <c r="AE9" s="45">
        <f t="shared" si="21"/>
        <v>-0.19999999999953399</v>
      </c>
      <c r="AF9" s="50">
        <v>80605</v>
      </c>
      <c r="AG9" s="58">
        <f t="shared" si="22"/>
        <v>13</v>
      </c>
      <c r="AH9" s="61"/>
      <c r="AI9" s="60"/>
      <c r="AJ9"/>
      <c r="AK9"/>
      <c r="AL9"/>
      <c r="AM9"/>
    </row>
    <row r="10" spans="1:48">
      <c r="A10" s="21">
        <v>44937</v>
      </c>
      <c r="B10" s="22">
        <v>791.80629999999996</v>
      </c>
      <c r="C10" s="27">
        <v>5.7842000000000002</v>
      </c>
      <c r="D10" s="23">
        <f t="shared" si="0"/>
        <v>797.59050000000002</v>
      </c>
      <c r="E10" s="24">
        <f t="shared" si="4"/>
        <v>-9.9999999974897905E-2</v>
      </c>
      <c r="F10" s="25">
        <f t="shared" si="5"/>
        <v>-0.29999999992469401</v>
      </c>
      <c r="G10" s="26">
        <f t="shared" si="6"/>
        <v>-9.9999999974897905E-2</v>
      </c>
      <c r="H10" s="6">
        <v>6.8205</v>
      </c>
      <c r="I10" s="35">
        <f t="shared" si="1"/>
        <v>798.6268</v>
      </c>
      <c r="J10" s="24">
        <f t="shared" si="7"/>
        <v>-0.49999999998817701</v>
      </c>
      <c r="K10" s="25">
        <f t="shared" si="8"/>
        <v>-0.79999999991286996</v>
      </c>
      <c r="L10" s="26">
        <f t="shared" si="9"/>
        <v>-0.49999999998817701</v>
      </c>
      <c r="M10" s="6">
        <v>5.8960999999999997</v>
      </c>
      <c r="N10" s="35">
        <f t="shared" si="2"/>
        <v>797.70240000000001</v>
      </c>
      <c r="O10" s="24">
        <f t="shared" si="10"/>
        <v>-9.9999999974897905E-2</v>
      </c>
      <c r="P10" s="25">
        <f t="shared" si="11"/>
        <v>-0.39999999989959201</v>
      </c>
      <c r="Q10" s="26">
        <f t="shared" si="12"/>
        <v>-9.9999999974897905E-2</v>
      </c>
      <c r="R10" s="41"/>
      <c r="S10" s="21">
        <f t="shared" si="3"/>
        <v>44937</v>
      </c>
      <c r="T10" s="42">
        <v>10.3118</v>
      </c>
      <c r="U10" s="43">
        <f t="shared" si="13"/>
        <v>-0.29999999999930099</v>
      </c>
      <c r="V10" s="44">
        <f t="shared" si="14"/>
        <v>-0.29999999999930099</v>
      </c>
      <c r="W10" s="45">
        <f t="shared" si="15"/>
        <v>0.29999999999930099</v>
      </c>
      <c r="X10" s="29">
        <v>12.012600000000001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8.1021999999999998</v>
      </c>
      <c r="AC10" s="43">
        <f t="shared" si="19"/>
        <v>9.99999999997669E-2</v>
      </c>
      <c r="AD10" s="44">
        <f t="shared" si="20"/>
        <v>-0.19999999999953399</v>
      </c>
      <c r="AE10" s="45">
        <f t="shared" si="21"/>
        <v>9.99999999997669E-2</v>
      </c>
      <c r="AF10" s="50">
        <v>80608</v>
      </c>
      <c r="AG10" s="58">
        <f t="shared" si="22"/>
        <v>16</v>
      </c>
      <c r="AH10" s="59"/>
      <c r="AI10" s="60"/>
      <c r="AJ10" s="61"/>
      <c r="AK10" s="62"/>
      <c r="AL10" s="52"/>
      <c r="AM10" s="52"/>
    </row>
    <row r="11" spans="1:48">
      <c r="A11" s="21">
        <v>44938</v>
      </c>
      <c r="B11" s="22">
        <v>791.80629999999996</v>
      </c>
      <c r="C11" s="27">
        <v>5.7840999999999996</v>
      </c>
      <c r="D11" s="23">
        <f t="shared" si="0"/>
        <v>797.59040000000005</v>
      </c>
      <c r="E11" s="24">
        <f t="shared" si="4"/>
        <v>-0.10000000008858501</v>
      </c>
      <c r="F11" s="25">
        <f t="shared" si="5"/>
        <v>-0.40000000001327901</v>
      </c>
      <c r="G11" s="26">
        <f t="shared" si="6"/>
        <v>-0.10000000008858501</v>
      </c>
      <c r="H11" s="6">
        <v>6.8202999999999996</v>
      </c>
      <c r="I11" s="35">
        <f t="shared" si="1"/>
        <v>798.62660000000005</v>
      </c>
      <c r="J11" s="24">
        <f t="shared" si="7"/>
        <v>-0.20000000006348301</v>
      </c>
      <c r="K11" s="25">
        <f t="shared" si="8"/>
        <v>-0.99999999997635303</v>
      </c>
      <c r="L11" s="26">
        <f t="shared" si="9"/>
        <v>-0.20000000006348301</v>
      </c>
      <c r="M11" s="6">
        <v>5.8962000000000003</v>
      </c>
      <c r="N11" s="35">
        <f t="shared" si="2"/>
        <v>797.70249999999999</v>
      </c>
      <c r="O11" s="24">
        <f t="shared" si="10"/>
        <v>9.9999999974897905E-2</v>
      </c>
      <c r="P11" s="25">
        <f t="shared" si="11"/>
        <v>-0.29999999992469401</v>
      </c>
      <c r="Q11" s="26">
        <f t="shared" si="12"/>
        <v>9.9999999974897905E-2</v>
      </c>
      <c r="R11" s="41"/>
      <c r="S11" s="21">
        <f t="shared" si="3"/>
        <v>44938</v>
      </c>
      <c r="T11" s="42">
        <v>10.3117</v>
      </c>
      <c r="U11" s="43">
        <f t="shared" si="13"/>
        <v>-9.99999999997669E-2</v>
      </c>
      <c r="V11" s="44">
        <f t="shared" si="14"/>
        <v>-0.39999999999906799</v>
      </c>
      <c r="W11" s="45">
        <f t="shared" si="15"/>
        <v>9.99999999997669E-2</v>
      </c>
      <c r="X11" s="29">
        <v>12.0124</v>
      </c>
      <c r="Y11" s="43">
        <f t="shared" si="16"/>
        <v>-0.20000000000130999</v>
      </c>
      <c r="Z11" s="44">
        <f t="shared" si="17"/>
        <v>-1.0000000000012199</v>
      </c>
      <c r="AA11" s="45">
        <f t="shared" si="18"/>
        <v>-0.20000000000130999</v>
      </c>
      <c r="AB11" s="49">
        <v>8.1016999999999992</v>
      </c>
      <c r="AC11" s="43">
        <f t="shared" si="19"/>
        <v>-0.50000000000061096</v>
      </c>
      <c r="AD11" s="44">
        <f t="shared" si="20"/>
        <v>-0.70000000000014495</v>
      </c>
      <c r="AE11" s="45">
        <f t="shared" si="21"/>
        <v>-0.50000000000061096</v>
      </c>
      <c r="AF11" s="50">
        <v>80611</v>
      </c>
      <c r="AG11" s="58">
        <f t="shared" si="22"/>
        <v>19</v>
      </c>
      <c r="AH11" s="61"/>
      <c r="AI11" s="60"/>
      <c r="AJ11"/>
      <c r="AK11"/>
      <c r="AL11"/>
      <c r="AM11"/>
    </row>
    <row r="12" spans="1:48">
      <c r="A12" s="21">
        <v>44960</v>
      </c>
      <c r="B12" s="22">
        <v>791.80629999999996</v>
      </c>
      <c r="C12" s="27">
        <v>5.7838000000000003</v>
      </c>
      <c r="D12" s="23">
        <f t="shared" si="0"/>
        <v>797.59010000000001</v>
      </c>
      <c r="E12" s="24">
        <f t="shared" si="4"/>
        <v>-0.29999999992469401</v>
      </c>
      <c r="F12" s="25">
        <f t="shared" si="5"/>
        <v>-0.69999999993797202</v>
      </c>
      <c r="G12" s="26">
        <f t="shared" si="6"/>
        <v>-1.36363636329406E-2</v>
      </c>
      <c r="H12" s="6">
        <v>6.8201999999999998</v>
      </c>
      <c r="I12" s="35">
        <f t="shared" si="1"/>
        <v>798.62649999999996</v>
      </c>
      <c r="J12" s="24">
        <f t="shared" si="7"/>
        <v>-9.9999999974897905E-2</v>
      </c>
      <c r="K12" s="25">
        <f t="shared" si="8"/>
        <v>-1.09999999995125</v>
      </c>
      <c r="L12" s="26">
        <f t="shared" si="9"/>
        <v>-4.5454545443135404E-3</v>
      </c>
      <c r="M12" s="6">
        <v>5.8959000000000001</v>
      </c>
      <c r="N12" s="35">
        <f t="shared" si="2"/>
        <v>797.70219999999995</v>
      </c>
      <c r="O12" s="24">
        <f t="shared" si="10"/>
        <v>-0.30000000003838101</v>
      </c>
      <c r="P12" s="25">
        <f t="shared" si="11"/>
        <v>-0.59999999996307496</v>
      </c>
      <c r="Q12" s="26">
        <f t="shared" si="12"/>
        <v>-1.36363636381082E-2</v>
      </c>
      <c r="R12" s="41"/>
      <c r="S12" s="21">
        <f t="shared" si="3"/>
        <v>44960</v>
      </c>
      <c r="T12" s="42">
        <v>10.311500000000001</v>
      </c>
      <c r="U12" s="43">
        <f t="shared" si="13"/>
        <v>-0.19999999999953399</v>
      </c>
      <c r="V12" s="44">
        <f t="shared" si="14"/>
        <v>-0.59999999999860198</v>
      </c>
      <c r="W12" s="45">
        <f t="shared" si="15"/>
        <v>9.0909090908879008E-3</v>
      </c>
      <c r="X12" s="29">
        <v>12.012499999999999</v>
      </c>
      <c r="Y12" s="43">
        <f t="shared" si="16"/>
        <v>9.99999999997669E-2</v>
      </c>
      <c r="Z12" s="44">
        <f t="shared" si="17"/>
        <v>-0.90000000000145497</v>
      </c>
      <c r="AA12" s="45">
        <f t="shared" si="18"/>
        <v>4.5454545454439504E-3</v>
      </c>
      <c r="AB12" s="49">
        <v>8.1014999999999997</v>
      </c>
      <c r="AC12" s="43">
        <f t="shared" si="19"/>
        <v>-0.19999999999953399</v>
      </c>
      <c r="AD12" s="44">
        <f t="shared" si="20"/>
        <v>-0.89999999999967895</v>
      </c>
      <c r="AE12" s="45">
        <f t="shared" si="21"/>
        <v>-9.0909090908879008E-3</v>
      </c>
      <c r="AF12" s="50">
        <v>80614</v>
      </c>
      <c r="AG12" s="58">
        <f t="shared" si="22"/>
        <v>22</v>
      </c>
      <c r="AH12" s="59"/>
      <c r="AI12" s="60"/>
      <c r="AJ12"/>
      <c r="AK12"/>
      <c r="AL12"/>
      <c r="AM12"/>
    </row>
    <row r="13" spans="1:48">
      <c r="A13" s="21">
        <v>44961</v>
      </c>
      <c r="B13" s="22">
        <v>791.80629999999996</v>
      </c>
      <c r="C13" s="27">
        <v>5.7835999999999999</v>
      </c>
      <c r="D13" s="23">
        <f t="shared" si="0"/>
        <v>797.58989999999994</v>
      </c>
      <c r="E13" s="24">
        <f t="shared" si="4"/>
        <v>-0.20000000006348301</v>
      </c>
      <c r="F13" s="25">
        <f t="shared" si="5"/>
        <v>-0.90000000000145497</v>
      </c>
      <c r="G13" s="26">
        <f t="shared" si="6"/>
        <v>-0.20000000006348301</v>
      </c>
      <c r="H13" s="6">
        <v>6.8198999999999996</v>
      </c>
      <c r="I13" s="35">
        <f t="shared" si="1"/>
        <v>798.62620000000004</v>
      </c>
      <c r="J13" s="24">
        <f t="shared" si="7"/>
        <v>-0.30000000003838101</v>
      </c>
      <c r="K13" s="25">
        <f t="shared" si="8"/>
        <v>-1.39999999998963</v>
      </c>
      <c r="L13" s="26">
        <f t="shared" si="9"/>
        <v>-0.30000000003838101</v>
      </c>
      <c r="M13" s="6">
        <v>5.8958000000000004</v>
      </c>
      <c r="N13" s="35">
        <f t="shared" si="2"/>
        <v>797.70209999999997</v>
      </c>
      <c r="O13" s="24">
        <f t="shared" si="10"/>
        <v>-9.9999999974897905E-2</v>
      </c>
      <c r="P13" s="25">
        <f t="shared" si="11"/>
        <v>-0.69999999993797202</v>
      </c>
      <c r="Q13" s="26">
        <f t="shared" si="12"/>
        <v>-9.9999999974897905E-2</v>
      </c>
      <c r="R13" s="41"/>
      <c r="S13" s="21">
        <f t="shared" si="3"/>
        <v>44961</v>
      </c>
      <c r="T13" s="42">
        <v>10.311400000000001</v>
      </c>
      <c r="U13" s="43">
        <f t="shared" si="13"/>
        <v>-9.99999999997669E-2</v>
      </c>
      <c r="V13" s="44">
        <f t="shared" si="14"/>
        <v>-0.69999999999836904</v>
      </c>
      <c r="W13" s="45">
        <f t="shared" si="15"/>
        <v>9.99999999997669E-2</v>
      </c>
      <c r="X13" s="29">
        <v>12.012</v>
      </c>
      <c r="Y13" s="43">
        <f t="shared" si="16"/>
        <v>-0.49999999999883499</v>
      </c>
      <c r="Z13" s="44">
        <f t="shared" si="17"/>
        <v>-1.4000000000002899</v>
      </c>
      <c r="AA13" s="45">
        <f t="shared" si="18"/>
        <v>-0.49999999999883499</v>
      </c>
      <c r="AB13" s="49">
        <v>8.1013999999999999</v>
      </c>
      <c r="AC13" s="43">
        <f t="shared" si="19"/>
        <v>-9.99999999997669E-2</v>
      </c>
      <c r="AD13" s="44">
        <f t="shared" si="20"/>
        <v>-0.999999999999446</v>
      </c>
      <c r="AE13" s="45">
        <f t="shared" si="21"/>
        <v>-9.99999999997669E-2</v>
      </c>
      <c r="AF13" s="50">
        <v>80617</v>
      </c>
      <c r="AG13" s="58">
        <f t="shared" si="22"/>
        <v>25</v>
      </c>
      <c r="AH13" s="61"/>
      <c r="AI13" s="60"/>
      <c r="AJ13"/>
      <c r="AK13"/>
      <c r="AL13"/>
      <c r="AM13"/>
    </row>
    <row r="14" spans="1:48">
      <c r="A14" s="21">
        <v>44962</v>
      </c>
      <c r="B14" s="22">
        <v>791.80629999999996</v>
      </c>
      <c r="C14" s="27">
        <v>5.7834000000000003</v>
      </c>
      <c r="D14" s="23">
        <f t="shared" si="0"/>
        <v>797.58969999999999</v>
      </c>
      <c r="E14" s="24">
        <f t="shared" si="4"/>
        <v>-0.199999999949796</v>
      </c>
      <c r="F14" s="25">
        <f t="shared" si="5"/>
        <v>-1.09999999995125</v>
      </c>
      <c r="G14" s="26">
        <f t="shared" si="6"/>
        <v>-0.199999999949796</v>
      </c>
      <c r="H14" s="6">
        <v>6.8197000000000001</v>
      </c>
      <c r="I14" s="35">
        <f t="shared" si="1"/>
        <v>798.62599999999998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5.8956999999999997</v>
      </c>
      <c r="N14" s="35">
        <f t="shared" si="2"/>
        <v>797.702</v>
      </c>
      <c r="O14" s="24">
        <f t="shared" si="10"/>
        <v>-9.9999999974897905E-2</v>
      </c>
      <c r="P14" s="25">
        <f t="shared" si="11"/>
        <v>-0.79999999991286996</v>
      </c>
      <c r="Q14" s="26">
        <f t="shared" si="12"/>
        <v>-9.9999999974897905E-2</v>
      </c>
      <c r="R14" s="41"/>
      <c r="S14" s="21">
        <f t="shared" si="3"/>
        <v>44962</v>
      </c>
      <c r="T14" s="42">
        <v>10.3111</v>
      </c>
      <c r="U14" s="43">
        <f t="shared" si="13"/>
        <v>-0.30000000000107702</v>
      </c>
      <c r="V14" s="44">
        <f t="shared" si="14"/>
        <v>-0.999999999999446</v>
      </c>
      <c r="W14" s="45">
        <f t="shared" si="15"/>
        <v>0.30000000000107702</v>
      </c>
      <c r="X14" s="29">
        <v>12.011799999999999</v>
      </c>
      <c r="Y14" s="43">
        <f t="shared" si="16"/>
        <v>-0.20000000000130999</v>
      </c>
      <c r="Z14" s="44">
        <f t="shared" si="17"/>
        <v>-1.6000000000015999</v>
      </c>
      <c r="AA14" s="45">
        <f t="shared" si="18"/>
        <v>-0.20000000000130999</v>
      </c>
      <c r="AB14" s="49">
        <v>8.1011000000000006</v>
      </c>
      <c r="AC14" s="43">
        <f t="shared" si="19"/>
        <v>-0.29999999999930099</v>
      </c>
      <c r="AD14" s="44">
        <f t="shared" si="20"/>
        <v>-1.2999999999987499</v>
      </c>
      <c r="AE14" s="45">
        <f t="shared" si="21"/>
        <v>-0.29999999999930099</v>
      </c>
      <c r="AF14" s="50">
        <v>80620</v>
      </c>
      <c r="AG14" s="58">
        <f t="shared" si="22"/>
        <v>28</v>
      </c>
      <c r="AH14" s="59"/>
      <c r="AI14" s="60"/>
      <c r="AJ14"/>
      <c r="AK14"/>
      <c r="AL14"/>
      <c r="AM14"/>
    </row>
    <row r="15" spans="1:48">
      <c r="A15" s="21">
        <v>44963</v>
      </c>
      <c r="B15" s="22">
        <v>791.80629999999996</v>
      </c>
      <c r="C15" s="27">
        <v>5.7835000000000001</v>
      </c>
      <c r="D15" s="23">
        <f t="shared" si="0"/>
        <v>797.58979999999997</v>
      </c>
      <c r="E15" s="24">
        <f t="shared" si="4"/>
        <v>9.9999999974897905E-2</v>
      </c>
      <c r="F15" s="25">
        <f t="shared" si="5"/>
        <v>-0.99999999997635303</v>
      </c>
      <c r="G15" s="26">
        <f t="shared" si="6"/>
        <v>9.9999999974897905E-2</v>
      </c>
      <c r="H15" s="6">
        <v>6.8197999999999999</v>
      </c>
      <c r="I15" s="35">
        <f t="shared" si="1"/>
        <v>798.62609999999995</v>
      </c>
      <c r="J15" s="24">
        <f t="shared" si="7"/>
        <v>9.9999999974897905E-2</v>
      </c>
      <c r="K15" s="25">
        <f t="shared" si="8"/>
        <v>-1.4999999999645299</v>
      </c>
      <c r="L15" s="26">
        <f t="shared" si="9"/>
        <v>9.9999999974897905E-2</v>
      </c>
      <c r="M15" s="6">
        <v>5.8959999999999999</v>
      </c>
      <c r="N15" s="35">
        <f t="shared" si="2"/>
        <v>797.70230000000004</v>
      </c>
      <c r="O15" s="24">
        <f t="shared" si="10"/>
        <v>0.29999999992469401</v>
      </c>
      <c r="P15" s="25">
        <f t="shared" si="11"/>
        <v>-0.49999999998817701</v>
      </c>
      <c r="Q15" s="26">
        <f t="shared" si="12"/>
        <v>0.29999999992469401</v>
      </c>
      <c r="R15" s="41"/>
      <c r="S15" s="21">
        <f t="shared" si="3"/>
        <v>44963</v>
      </c>
      <c r="T15" s="42">
        <v>10.3109</v>
      </c>
      <c r="U15" s="43">
        <f t="shared" si="13"/>
        <v>-0.19999999999953399</v>
      </c>
      <c r="V15" s="44">
        <f t="shared" si="14"/>
        <v>-1.1999999999989801</v>
      </c>
      <c r="W15" s="45">
        <f t="shared" si="15"/>
        <v>0.19999999999953399</v>
      </c>
      <c r="X15" s="29">
        <v>12.011699999999999</v>
      </c>
      <c r="Y15" s="43">
        <f t="shared" si="16"/>
        <v>-9.99999999997669E-2</v>
      </c>
      <c r="Z15" s="44">
        <f t="shared" si="17"/>
        <v>-1.70000000000137</v>
      </c>
      <c r="AA15" s="45">
        <f t="shared" si="18"/>
        <v>-9.99999999997669E-2</v>
      </c>
      <c r="AB15" s="49">
        <v>8.1008999999999993</v>
      </c>
      <c r="AC15" s="43">
        <f t="shared" si="19"/>
        <v>-0.20000000000130999</v>
      </c>
      <c r="AD15" s="44">
        <f t="shared" si="20"/>
        <v>-1.50000000000006</v>
      </c>
      <c r="AE15" s="45">
        <f t="shared" si="21"/>
        <v>-0.20000000000130999</v>
      </c>
      <c r="AF15" s="50">
        <v>80623</v>
      </c>
      <c r="AG15" s="58">
        <f t="shared" si="22"/>
        <v>31</v>
      </c>
      <c r="AH15" s="61"/>
      <c r="AI15" s="60"/>
      <c r="AJ15"/>
      <c r="AK15"/>
      <c r="AL15"/>
      <c r="AM15"/>
    </row>
    <row r="16" spans="1:48">
      <c r="A16" s="21">
        <v>44964</v>
      </c>
      <c r="B16" s="22">
        <v>791.80629999999996</v>
      </c>
      <c r="C16" s="27">
        <v>5.7830000000000004</v>
      </c>
      <c r="D16" s="23">
        <f t="shared" si="0"/>
        <v>797.58929999999998</v>
      </c>
      <c r="E16" s="24">
        <f t="shared" si="4"/>
        <v>-0.49999999998817701</v>
      </c>
      <c r="F16" s="25">
        <f t="shared" si="5"/>
        <v>-1.4999999999645299</v>
      </c>
      <c r="G16" s="26">
        <f t="shared" si="6"/>
        <v>-0.49999999998817701</v>
      </c>
      <c r="H16" s="6">
        <v>6.8193000000000001</v>
      </c>
      <c r="I16" s="35">
        <f t="shared" si="1"/>
        <v>798.62559999999996</v>
      </c>
      <c r="J16" s="24">
        <f t="shared" si="7"/>
        <v>-0.49999999998817701</v>
      </c>
      <c r="K16" s="25">
        <f t="shared" si="8"/>
        <v>-1.9999999999527101</v>
      </c>
      <c r="L16" s="26">
        <f t="shared" si="9"/>
        <v>-0.49999999998817701</v>
      </c>
      <c r="M16" s="6">
        <v>5.8955000000000002</v>
      </c>
      <c r="N16" s="35">
        <f t="shared" si="2"/>
        <v>797.70180000000005</v>
      </c>
      <c r="O16" s="24">
        <f t="shared" si="10"/>
        <v>-0.49999999998817701</v>
      </c>
      <c r="P16" s="25">
        <f t="shared" si="11"/>
        <v>-0.99999999997635303</v>
      </c>
      <c r="Q16" s="26">
        <f t="shared" si="12"/>
        <v>-0.49999999998817701</v>
      </c>
      <c r="R16" s="41"/>
      <c r="S16" s="21">
        <f t="shared" si="3"/>
        <v>44964</v>
      </c>
      <c r="T16" s="42">
        <v>10.311</v>
      </c>
      <c r="U16" s="43">
        <f t="shared" si="13"/>
        <v>9.99999999997669E-2</v>
      </c>
      <c r="V16" s="44">
        <f t="shared" si="14"/>
        <v>-1.0999999999992101</v>
      </c>
      <c r="W16" s="45">
        <f t="shared" si="15"/>
        <v>-9.99999999997669E-2</v>
      </c>
      <c r="X16" s="29">
        <v>12.0114</v>
      </c>
      <c r="Y16" s="43">
        <f t="shared" si="16"/>
        <v>-0.29999999999930099</v>
      </c>
      <c r="Z16" s="44">
        <f t="shared" si="17"/>
        <v>-2.0000000000006701</v>
      </c>
      <c r="AA16" s="45">
        <f t="shared" si="18"/>
        <v>-0.29999999999930099</v>
      </c>
      <c r="AB16" s="49">
        <v>8.1010000000000009</v>
      </c>
      <c r="AC16" s="43">
        <f t="shared" si="19"/>
        <v>0.10000000000154299</v>
      </c>
      <c r="AD16" s="44">
        <f t="shared" si="20"/>
        <v>-1.39999999999851</v>
      </c>
      <c r="AE16" s="45">
        <f t="shared" si="21"/>
        <v>0.10000000000154299</v>
      </c>
      <c r="AF16" s="50">
        <v>80626</v>
      </c>
      <c r="AG16" s="58">
        <f t="shared" si="22"/>
        <v>34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44965</v>
      </c>
      <c r="B17" s="22">
        <v>791.80629999999996</v>
      </c>
      <c r="C17" s="27">
        <v>5.7827999999999999</v>
      </c>
      <c r="D17" s="23">
        <f t="shared" si="0"/>
        <v>797.58910000000003</v>
      </c>
      <c r="E17" s="24">
        <f t="shared" si="4"/>
        <v>-0.20000000006348301</v>
      </c>
      <c r="F17" s="25">
        <f t="shared" si="5"/>
        <v>-1.70000000002801</v>
      </c>
      <c r="G17" s="26">
        <f t="shared" si="6"/>
        <v>-0.20000000006348301</v>
      </c>
      <c r="H17" s="6">
        <v>6.8191000000000104</v>
      </c>
      <c r="I17" s="35">
        <f t="shared" si="1"/>
        <v>798.62540000000001</v>
      </c>
      <c r="J17" s="24">
        <f t="shared" si="7"/>
        <v>-0.199999999949796</v>
      </c>
      <c r="K17" s="25">
        <f t="shared" si="8"/>
        <v>-2.1999999999024999</v>
      </c>
      <c r="L17" s="26">
        <f t="shared" si="9"/>
        <v>-0.199999999949796</v>
      </c>
      <c r="M17" s="6">
        <v>5.8954000000000004</v>
      </c>
      <c r="N17" s="35">
        <f t="shared" si="2"/>
        <v>797.70169999999996</v>
      </c>
      <c r="O17" s="24">
        <f t="shared" si="10"/>
        <v>-9.9999999974897905E-2</v>
      </c>
      <c r="P17" s="25">
        <f t="shared" si="11"/>
        <v>-1.09999999995125</v>
      </c>
      <c r="Q17" s="26">
        <f t="shared" si="12"/>
        <v>-9.9999999974897905E-2</v>
      </c>
      <c r="R17" s="41"/>
      <c r="S17" s="21">
        <f t="shared" si="3"/>
        <v>44965</v>
      </c>
      <c r="T17" s="42">
        <v>10.310499999999999</v>
      </c>
      <c r="U17" s="43">
        <f t="shared" si="13"/>
        <v>-0.50000000000061096</v>
      </c>
      <c r="V17" s="44">
        <f t="shared" si="14"/>
        <v>-1.59999999999982</v>
      </c>
      <c r="W17" s="45">
        <f t="shared" si="15"/>
        <v>0.50000000000061096</v>
      </c>
      <c r="X17" s="29">
        <v>12.011200000000001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8.1005000000000003</v>
      </c>
      <c r="AC17" s="43">
        <f t="shared" si="19"/>
        <v>-0.50000000000061096</v>
      </c>
      <c r="AD17" s="44">
        <f t="shared" si="20"/>
        <v>-1.8999999999991199</v>
      </c>
      <c r="AE17" s="45">
        <f t="shared" si="21"/>
        <v>-0.50000000000061096</v>
      </c>
      <c r="AF17" s="50">
        <v>80629</v>
      </c>
      <c r="AG17" s="58">
        <f t="shared" si="22"/>
        <v>37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44966</v>
      </c>
      <c r="B18" s="22">
        <v>791.80629999999996</v>
      </c>
      <c r="C18" s="27">
        <v>5.7826000000000004</v>
      </c>
      <c r="D18" s="23">
        <f t="shared" si="0"/>
        <v>797.58889999999997</v>
      </c>
      <c r="E18" s="24">
        <f t="shared" si="4"/>
        <v>-0.199999999949796</v>
      </c>
      <c r="F18" s="25">
        <f t="shared" si="5"/>
        <v>-1.8999999999778101</v>
      </c>
      <c r="G18" s="26">
        <f t="shared" si="6"/>
        <v>-0.199999999949796</v>
      </c>
      <c r="H18" s="6">
        <v>6.81890000000001</v>
      </c>
      <c r="I18" s="35">
        <f t="shared" si="1"/>
        <v>798.62519999999995</v>
      </c>
      <c r="J18" s="24">
        <f t="shared" si="7"/>
        <v>-0.20000000006348301</v>
      </c>
      <c r="K18" s="25">
        <f t="shared" si="8"/>
        <v>-2.39999999996598</v>
      </c>
      <c r="L18" s="26">
        <f t="shared" si="9"/>
        <v>-0.20000000006348301</v>
      </c>
      <c r="M18" s="6">
        <v>5.8952999999999998</v>
      </c>
      <c r="N18" s="35">
        <f t="shared" si="2"/>
        <v>797.70159999999998</v>
      </c>
      <c r="O18" s="24">
        <f t="shared" si="10"/>
        <v>-9.9999999974897905E-2</v>
      </c>
      <c r="P18" s="25">
        <f t="shared" si="11"/>
        <v>-1.1999999999261499</v>
      </c>
      <c r="Q18" s="26">
        <f t="shared" si="12"/>
        <v>-9.9999999974897905E-2</v>
      </c>
      <c r="R18" s="41"/>
      <c r="S18" s="21">
        <f t="shared" si="3"/>
        <v>44966</v>
      </c>
      <c r="T18" s="42">
        <v>10.3103</v>
      </c>
      <c r="U18" s="43">
        <f t="shared" si="13"/>
        <v>-0.19999999999953399</v>
      </c>
      <c r="V18" s="44">
        <f t="shared" si="14"/>
        <v>-1.7999999999993599</v>
      </c>
      <c r="W18" s="45">
        <f t="shared" si="15"/>
        <v>0.19999999999953399</v>
      </c>
      <c r="X18" s="29">
        <v>12.0113</v>
      </c>
      <c r="Y18" s="43">
        <f t="shared" si="16"/>
        <v>9.99999999997669E-2</v>
      </c>
      <c r="Z18" s="44">
        <f t="shared" si="17"/>
        <v>-2.10000000000043</v>
      </c>
      <c r="AA18" s="45">
        <f t="shared" si="18"/>
        <v>9.99999999997669E-2</v>
      </c>
      <c r="AB18" s="49">
        <v>8.1003000000000007</v>
      </c>
      <c r="AC18" s="43">
        <f t="shared" si="19"/>
        <v>-0.19999999999953399</v>
      </c>
      <c r="AD18" s="44">
        <f t="shared" si="20"/>
        <v>-2.0999999999986598</v>
      </c>
      <c r="AE18" s="45">
        <f t="shared" si="21"/>
        <v>-0.19999999999953399</v>
      </c>
      <c r="AF18" s="50">
        <v>80632</v>
      </c>
      <c r="AG18" s="58">
        <f t="shared" si="22"/>
        <v>40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44967</v>
      </c>
      <c r="B19" s="22">
        <v>791.80629999999996</v>
      </c>
      <c r="C19" s="27">
        <v>5.7824999999999998</v>
      </c>
      <c r="D19" s="23">
        <f t="shared" si="0"/>
        <v>797.58879999999999</v>
      </c>
      <c r="E19" s="24">
        <f t="shared" si="4"/>
        <v>-9.9999999974897905E-2</v>
      </c>
      <c r="F19" s="25">
        <f t="shared" si="5"/>
        <v>-1.9999999999527101</v>
      </c>
      <c r="G19" s="26">
        <f t="shared" si="6"/>
        <v>-9.9999999974897905E-2</v>
      </c>
      <c r="H19" s="6">
        <v>6.8185000000000002</v>
      </c>
      <c r="I19" s="35">
        <f t="shared" si="1"/>
        <v>798.62480000000005</v>
      </c>
      <c r="J19" s="24">
        <f t="shared" si="7"/>
        <v>-0.40000000001327901</v>
      </c>
      <c r="K19" s="25">
        <f t="shared" si="8"/>
        <v>-2.79999999997926</v>
      </c>
      <c r="L19" s="26">
        <f t="shared" si="9"/>
        <v>-0.40000000001327901</v>
      </c>
      <c r="M19" s="6">
        <v>5.8958000000000004</v>
      </c>
      <c r="N19" s="35">
        <f t="shared" si="2"/>
        <v>797.70209999999997</v>
      </c>
      <c r="O19" s="24">
        <f t="shared" si="10"/>
        <v>0.49999999998817701</v>
      </c>
      <c r="P19" s="25">
        <f t="shared" si="11"/>
        <v>-0.69999999993797202</v>
      </c>
      <c r="Q19" s="26">
        <f t="shared" si="12"/>
        <v>0.49999999998817701</v>
      </c>
      <c r="R19" s="41"/>
      <c r="S19" s="21">
        <f t="shared" si="3"/>
        <v>44967</v>
      </c>
      <c r="T19" s="42">
        <v>10.310600000000001</v>
      </c>
      <c r="U19" s="43">
        <f t="shared" si="13"/>
        <v>0.30000000000107702</v>
      </c>
      <c r="V19" s="44">
        <f t="shared" si="14"/>
        <v>-1.49999999999828</v>
      </c>
      <c r="W19" s="45">
        <f t="shared" si="15"/>
        <v>-0.30000000000107702</v>
      </c>
      <c r="X19" s="29">
        <v>12.0108</v>
      </c>
      <c r="Y19" s="43">
        <f t="shared" si="16"/>
        <v>-0.50000000000061096</v>
      </c>
      <c r="Z19" s="44">
        <f t="shared" si="17"/>
        <v>-2.6000000000010499</v>
      </c>
      <c r="AA19" s="45">
        <f t="shared" si="18"/>
        <v>-0.50000000000061096</v>
      </c>
      <c r="AB19" s="49">
        <v>8.1001999999999992</v>
      </c>
      <c r="AC19" s="43">
        <f t="shared" si="19"/>
        <v>-0.10000000000154299</v>
      </c>
      <c r="AD19" s="44">
        <f t="shared" si="20"/>
        <v>-2.2000000000002</v>
      </c>
      <c r="AE19" s="45">
        <f t="shared" si="21"/>
        <v>-0.10000000000154299</v>
      </c>
      <c r="AF19" s="50">
        <v>80635</v>
      </c>
      <c r="AG19" s="58">
        <f t="shared" si="22"/>
        <v>43</v>
      </c>
      <c r="AH19" s="61"/>
      <c r="AI19" s="60"/>
      <c r="AJ19"/>
      <c r="AK19"/>
      <c r="AL19"/>
      <c r="AM19"/>
    </row>
    <row r="20" spans="1:48">
      <c r="A20" s="21">
        <v>44968</v>
      </c>
      <c r="B20" s="22">
        <v>791.80629999999996</v>
      </c>
      <c r="C20" s="27">
        <v>5.7822000000000102</v>
      </c>
      <c r="D20" s="23">
        <f t="shared" si="0"/>
        <v>797.58849999999995</v>
      </c>
      <c r="E20" s="24">
        <f t="shared" si="4"/>
        <v>-0.30000000003838101</v>
      </c>
      <c r="F20" s="25">
        <f t="shared" si="5"/>
        <v>-2.2999999999910901</v>
      </c>
      <c r="G20" s="26">
        <f t="shared" si="6"/>
        <v>-0.30000000003838101</v>
      </c>
      <c r="H20" s="6">
        <v>6.81850000000001</v>
      </c>
      <c r="I20" s="35">
        <f t="shared" si="1"/>
        <v>798.62480000000005</v>
      </c>
      <c r="J20" s="24">
        <f t="shared" si="7"/>
        <v>0</v>
      </c>
      <c r="K20" s="25">
        <f t="shared" si="8"/>
        <v>-2.79999999997926</v>
      </c>
      <c r="L20" s="26">
        <f t="shared" si="9"/>
        <v>0</v>
      </c>
      <c r="M20" s="6">
        <v>5.8951000000000002</v>
      </c>
      <c r="N20" s="35">
        <f t="shared" si="2"/>
        <v>797.70140000000004</v>
      </c>
      <c r="O20" s="24">
        <f t="shared" si="10"/>
        <v>-0.70000000005165897</v>
      </c>
      <c r="P20" s="25">
        <f t="shared" si="11"/>
        <v>-1.39999999998963</v>
      </c>
      <c r="Q20" s="26">
        <f t="shared" si="12"/>
        <v>-0.70000000005165897</v>
      </c>
      <c r="R20" s="41"/>
      <c r="S20" s="21">
        <f t="shared" si="3"/>
        <v>44968</v>
      </c>
      <c r="T20" s="42">
        <v>10.309900000000001</v>
      </c>
      <c r="U20" s="43">
        <f t="shared" si="13"/>
        <v>-0.70000000000014495</v>
      </c>
      <c r="V20" s="44">
        <f t="shared" si="14"/>
        <v>-2.1999999999984299</v>
      </c>
      <c r="W20" s="45">
        <f t="shared" si="15"/>
        <v>0.70000000000014495</v>
      </c>
      <c r="X20" s="29">
        <v>12.0106</v>
      </c>
      <c r="Y20" s="43">
        <f t="shared" si="16"/>
        <v>-0.19999999999953399</v>
      </c>
      <c r="Z20" s="44">
        <f t="shared" si="17"/>
        <v>-2.8000000000005798</v>
      </c>
      <c r="AA20" s="45">
        <f t="shared" si="18"/>
        <v>-0.19999999999953399</v>
      </c>
      <c r="AB20" s="49">
        <v>8.0999000000000105</v>
      </c>
      <c r="AC20" s="43">
        <f t="shared" si="19"/>
        <v>-0.29999999998864302</v>
      </c>
      <c r="AD20" s="44">
        <f t="shared" si="20"/>
        <v>-2.49999999998884</v>
      </c>
      <c r="AE20" s="45">
        <f t="shared" si="21"/>
        <v>-0.29999999998864302</v>
      </c>
      <c r="AF20" s="50">
        <v>80638</v>
      </c>
      <c r="AG20" s="58">
        <f t="shared" si="22"/>
        <v>46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44970</v>
      </c>
      <c r="B21" s="22">
        <v>791.80629999999996</v>
      </c>
      <c r="C21" s="27">
        <v>5.7820000000000098</v>
      </c>
      <c r="D21" s="23">
        <f t="shared" si="0"/>
        <v>797.5883</v>
      </c>
      <c r="E21" s="24">
        <f t="shared" si="4"/>
        <v>-0.199999999949796</v>
      </c>
      <c r="F21" s="25">
        <f t="shared" si="5"/>
        <v>-2.4999999999408802</v>
      </c>
      <c r="G21" s="26">
        <f t="shared" si="6"/>
        <v>-9.9999999974897905E-2</v>
      </c>
      <c r="H21" s="6">
        <v>6.8183000000000096</v>
      </c>
      <c r="I21" s="35">
        <f t="shared" si="1"/>
        <v>798.62459999999999</v>
      </c>
      <c r="J21" s="24">
        <f t="shared" si="7"/>
        <v>-0.199999999949796</v>
      </c>
      <c r="K21" s="25">
        <f t="shared" si="8"/>
        <v>-2.9999999999290599</v>
      </c>
      <c r="L21" s="26">
        <f t="shared" si="9"/>
        <v>-9.9999999974897905E-2</v>
      </c>
      <c r="M21" s="6">
        <v>5.8949999999999996</v>
      </c>
      <c r="N21" s="35">
        <f t="shared" si="2"/>
        <v>797.70129999999995</v>
      </c>
      <c r="O21" s="24">
        <f t="shared" si="10"/>
        <v>-9.9999999974897905E-2</v>
      </c>
      <c r="P21" s="25">
        <f t="shared" si="11"/>
        <v>-1.4999999999645299</v>
      </c>
      <c r="Q21" s="26">
        <f t="shared" si="12"/>
        <v>-4.9999999987449001E-2</v>
      </c>
      <c r="R21" s="41"/>
      <c r="S21" s="21">
        <f t="shared" si="3"/>
        <v>44970</v>
      </c>
      <c r="T21" s="42">
        <v>10.309699999999999</v>
      </c>
      <c r="U21" s="43">
        <f t="shared" si="13"/>
        <v>-0.20000000000130999</v>
      </c>
      <c r="V21" s="44">
        <f t="shared" si="14"/>
        <v>-2.3999999999997401</v>
      </c>
      <c r="W21" s="45">
        <f t="shared" si="15"/>
        <v>0.100000000000655</v>
      </c>
      <c r="X21" s="29">
        <v>12.010400000000001</v>
      </c>
      <c r="Y21" s="43">
        <f t="shared" si="16"/>
        <v>-0.19999999999953399</v>
      </c>
      <c r="Z21" s="44">
        <f t="shared" si="17"/>
        <v>-3.0000000000001101</v>
      </c>
      <c r="AA21" s="45">
        <f t="shared" si="18"/>
        <v>-9.99999999997669E-2</v>
      </c>
      <c r="AB21" s="49">
        <v>8.0997000000000092</v>
      </c>
      <c r="AC21" s="43">
        <f t="shared" si="19"/>
        <v>-0.20000000000130999</v>
      </c>
      <c r="AD21" s="44">
        <f t="shared" si="20"/>
        <v>-2.6999999999901498</v>
      </c>
      <c r="AE21" s="45">
        <f t="shared" si="21"/>
        <v>-0.100000000000655</v>
      </c>
      <c r="AF21" s="50">
        <v>80641</v>
      </c>
      <c r="AG21" s="58">
        <f t="shared" si="22"/>
        <v>49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44972</v>
      </c>
      <c r="B22" s="22">
        <v>791.80629999999996</v>
      </c>
      <c r="C22" s="27">
        <v>5.7820999999999998</v>
      </c>
      <c r="D22" s="23">
        <f t="shared" si="0"/>
        <v>797.58839999999998</v>
      </c>
      <c r="E22" s="24">
        <f t="shared" si="4"/>
        <v>9.9999999974897905E-2</v>
      </c>
      <c r="F22" s="25">
        <f t="shared" si="5"/>
        <v>-2.39999999996598</v>
      </c>
      <c r="G22" s="26">
        <f t="shared" si="6"/>
        <v>4.9999999987449001E-2</v>
      </c>
      <c r="H22" s="6">
        <v>6.81810000000001</v>
      </c>
      <c r="I22" s="35">
        <f t="shared" si="1"/>
        <v>798.62440000000004</v>
      </c>
      <c r="J22" s="24">
        <f t="shared" si="7"/>
        <v>-0.20000000006348301</v>
      </c>
      <c r="K22" s="25">
        <f t="shared" si="8"/>
        <v>-3.1999999999925399</v>
      </c>
      <c r="L22" s="26">
        <f t="shared" si="9"/>
        <v>-0.100000000031741</v>
      </c>
      <c r="M22" s="6">
        <v>5.8948999999999998</v>
      </c>
      <c r="N22" s="35">
        <f t="shared" si="2"/>
        <v>797.70119999999997</v>
      </c>
      <c r="O22" s="24">
        <f t="shared" si="10"/>
        <v>-9.9999999974897905E-2</v>
      </c>
      <c r="P22" s="25">
        <f t="shared" si="11"/>
        <v>-1.5999999999394301</v>
      </c>
      <c r="Q22" s="26">
        <f t="shared" si="12"/>
        <v>-4.9999999987449001E-2</v>
      </c>
      <c r="R22" s="41"/>
      <c r="S22" s="21">
        <f t="shared" si="3"/>
        <v>44972</v>
      </c>
      <c r="T22" s="42">
        <v>10.3096</v>
      </c>
      <c r="U22" s="43">
        <f t="shared" si="13"/>
        <v>-9.99999999997669E-2</v>
      </c>
      <c r="V22" s="44">
        <f t="shared" si="14"/>
        <v>-2.4999999999995</v>
      </c>
      <c r="W22" s="45">
        <f t="shared" si="15"/>
        <v>4.9999999999883499E-2</v>
      </c>
      <c r="X22" s="29">
        <v>12.0105</v>
      </c>
      <c r="Y22" s="43">
        <f t="shared" si="16"/>
        <v>9.99999999997669E-2</v>
      </c>
      <c r="Z22" s="44">
        <f t="shared" si="17"/>
        <v>-2.9000000000003499</v>
      </c>
      <c r="AA22" s="45">
        <f t="shared" si="18"/>
        <v>4.9999999999883499E-2</v>
      </c>
      <c r="AB22" s="49">
        <v>8.0996000000000006</v>
      </c>
      <c r="AC22" s="43">
        <f t="shared" si="19"/>
        <v>-0.100000000008649</v>
      </c>
      <c r="AD22" s="44">
        <f t="shared" si="20"/>
        <v>-2.7999999999987999</v>
      </c>
      <c r="AE22" s="45">
        <f t="shared" si="21"/>
        <v>-5.0000000004324398E-2</v>
      </c>
      <c r="AF22" s="50">
        <v>80644</v>
      </c>
      <c r="AG22" s="58">
        <f t="shared" si="22"/>
        <v>52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44974</v>
      </c>
      <c r="B23" s="22">
        <v>791.80629999999996</v>
      </c>
      <c r="C23" s="27">
        <v>5.7816000000000098</v>
      </c>
      <c r="D23" s="23">
        <f t="shared" si="0"/>
        <v>797.58789999999999</v>
      </c>
      <c r="E23" s="24">
        <f t="shared" si="4"/>
        <v>-0.49999999998817701</v>
      </c>
      <c r="F23" s="25">
        <f t="shared" si="5"/>
        <v>-2.8999999999541601</v>
      </c>
      <c r="G23" s="26">
        <f t="shared" si="6"/>
        <v>-0.24999999999408801</v>
      </c>
      <c r="H23" s="6">
        <v>6.8182</v>
      </c>
      <c r="I23" s="35">
        <f t="shared" si="1"/>
        <v>798.62450000000001</v>
      </c>
      <c r="J23" s="24">
        <f t="shared" si="7"/>
        <v>0.10000000008858501</v>
      </c>
      <c r="K23" s="25">
        <f t="shared" si="8"/>
        <v>-3.09999999990396</v>
      </c>
      <c r="L23" s="26">
        <f t="shared" si="9"/>
        <v>5.0000000044292399E-2</v>
      </c>
      <c r="M23" s="6">
        <v>5.8944999999999999</v>
      </c>
      <c r="N23" s="35">
        <f t="shared" si="2"/>
        <v>797.70079999999996</v>
      </c>
      <c r="O23" s="24">
        <f t="shared" si="10"/>
        <v>-0.40000000001327901</v>
      </c>
      <c r="P23" s="25">
        <f t="shared" si="11"/>
        <v>-1.9999999999527101</v>
      </c>
      <c r="Q23" s="26">
        <f t="shared" si="12"/>
        <v>-0.20000000000663901</v>
      </c>
      <c r="R23" s="41"/>
      <c r="S23" s="21">
        <f t="shared" si="3"/>
        <v>44974</v>
      </c>
      <c r="T23" s="42">
        <v>10.3093</v>
      </c>
      <c r="U23" s="43">
        <f t="shared" si="13"/>
        <v>-0.29999999999930099</v>
      </c>
      <c r="V23" s="44">
        <f t="shared" si="14"/>
        <v>-2.7999999999987999</v>
      </c>
      <c r="W23" s="45">
        <f t="shared" si="15"/>
        <v>0.14999999999965</v>
      </c>
      <c r="X23" s="29">
        <v>12.01</v>
      </c>
      <c r="Y23" s="43">
        <f t="shared" si="16"/>
        <v>-0.50000000000061096</v>
      </c>
      <c r="Z23" s="44">
        <f t="shared" si="17"/>
        <v>-3.40000000000096</v>
      </c>
      <c r="AA23" s="45">
        <f t="shared" si="18"/>
        <v>-0.25000000000030598</v>
      </c>
      <c r="AB23" s="49">
        <v>8.0993000000000102</v>
      </c>
      <c r="AC23" s="43">
        <f t="shared" si="19"/>
        <v>-0.29999999999041899</v>
      </c>
      <c r="AD23" s="44">
        <f t="shared" si="20"/>
        <v>-3.0999999999892198</v>
      </c>
      <c r="AE23" s="45">
        <f t="shared" si="21"/>
        <v>-0.14999999999520999</v>
      </c>
      <c r="AF23" s="50">
        <v>80647</v>
      </c>
      <c r="AG23" s="58">
        <f t="shared" si="22"/>
        <v>55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44977</v>
      </c>
      <c r="B24" s="22">
        <v>791.80629999999996</v>
      </c>
      <c r="C24" s="27">
        <v>5.7814000000000103</v>
      </c>
      <c r="D24" s="23">
        <f t="shared" si="0"/>
        <v>797.58770000000004</v>
      </c>
      <c r="E24" s="24">
        <f t="shared" si="4"/>
        <v>-0.20000000006348301</v>
      </c>
      <c r="F24" s="25">
        <f t="shared" si="5"/>
        <v>-3.1000000000176402</v>
      </c>
      <c r="G24" s="26">
        <f t="shared" si="6"/>
        <v>-6.66666666878276E-2</v>
      </c>
      <c r="H24" s="6">
        <v>6.8179999999999996</v>
      </c>
      <c r="I24" s="35">
        <f t="shared" si="1"/>
        <v>798.62429999999995</v>
      </c>
      <c r="J24" s="24">
        <f t="shared" si="7"/>
        <v>-0.20000000006348301</v>
      </c>
      <c r="K24" s="25">
        <f t="shared" si="8"/>
        <v>-3.2999999999674401</v>
      </c>
      <c r="L24" s="26">
        <f t="shared" si="9"/>
        <v>-6.66666666878276E-2</v>
      </c>
      <c r="M24" s="6">
        <v>5.8943000000000003</v>
      </c>
      <c r="N24" s="35">
        <f t="shared" si="2"/>
        <v>797.70060000000001</v>
      </c>
      <c r="O24" s="24">
        <f t="shared" si="10"/>
        <v>-0.199999999949796</v>
      </c>
      <c r="P24" s="25">
        <f t="shared" si="11"/>
        <v>-2.1999999999024999</v>
      </c>
      <c r="Q24" s="26">
        <f t="shared" si="12"/>
        <v>-6.6666666649931997E-2</v>
      </c>
      <c r="R24" s="41"/>
      <c r="S24" s="21">
        <f t="shared" si="3"/>
        <v>44977</v>
      </c>
      <c r="T24" s="42">
        <v>10.309100000000001</v>
      </c>
      <c r="U24" s="43">
        <f t="shared" si="13"/>
        <v>-0.19999999999953399</v>
      </c>
      <c r="V24" s="44">
        <f t="shared" si="14"/>
        <v>-2.99999999999834</v>
      </c>
      <c r="W24" s="45">
        <f t="shared" si="15"/>
        <v>6.6666666666511304E-2</v>
      </c>
      <c r="X24" s="29">
        <v>12.0101</v>
      </c>
      <c r="Y24" s="43">
        <f t="shared" si="16"/>
        <v>9.99999999997669E-2</v>
      </c>
      <c r="Z24" s="44">
        <f t="shared" si="17"/>
        <v>-3.30000000000119</v>
      </c>
      <c r="AA24" s="45">
        <f t="shared" si="18"/>
        <v>3.3333333333255603E-2</v>
      </c>
      <c r="AB24" s="49">
        <v>8.0995000000000008</v>
      </c>
      <c r="AC24" s="43">
        <f t="shared" si="19"/>
        <v>0.19999999999065199</v>
      </c>
      <c r="AD24" s="44">
        <f t="shared" si="20"/>
        <v>-2.8999999999985699</v>
      </c>
      <c r="AE24" s="45">
        <f t="shared" si="21"/>
        <v>6.66666666635507E-2</v>
      </c>
      <c r="AF24" s="50">
        <v>80650</v>
      </c>
      <c r="AG24" s="58">
        <f t="shared" si="22"/>
        <v>58</v>
      </c>
      <c r="AH24" s="59"/>
      <c r="AI24" s="60"/>
      <c r="AJ24" s="52"/>
      <c r="AK24" s="52"/>
      <c r="AL24" s="52"/>
      <c r="AM24" s="52"/>
    </row>
    <row r="25" spans="1:48">
      <c r="A25" s="21">
        <v>44979</v>
      </c>
      <c r="B25" s="22">
        <v>791.80629999999996</v>
      </c>
      <c r="C25" s="27">
        <v>5.7812000000000099</v>
      </c>
      <c r="D25" s="23">
        <f t="shared" si="0"/>
        <v>797.58749999999998</v>
      </c>
      <c r="E25" s="24">
        <f t="shared" si="4"/>
        <v>-0.199999999949796</v>
      </c>
      <c r="F25" s="25">
        <f t="shared" si="5"/>
        <v>-3.2999999999674401</v>
      </c>
      <c r="G25" s="26">
        <f t="shared" si="6"/>
        <v>-9.9999999974897905E-2</v>
      </c>
      <c r="H25" s="6">
        <v>6.8178000000000001</v>
      </c>
      <c r="I25" s="35">
        <f t="shared" si="1"/>
        <v>798.6241</v>
      </c>
      <c r="J25" s="24">
        <f t="shared" si="7"/>
        <v>-0.199999999949796</v>
      </c>
      <c r="K25" s="25">
        <f t="shared" si="8"/>
        <v>-3.49999999991724</v>
      </c>
      <c r="L25" s="26">
        <f t="shared" si="9"/>
        <v>-9.9999999974897905E-2</v>
      </c>
      <c r="M25" s="6">
        <v>5.8940999999999999</v>
      </c>
      <c r="N25" s="35">
        <f t="shared" si="2"/>
        <v>797.70039999999995</v>
      </c>
      <c r="O25" s="24">
        <f t="shared" si="10"/>
        <v>-0.20000000006348301</v>
      </c>
      <c r="P25" s="25">
        <f t="shared" si="11"/>
        <v>-2.39999999996598</v>
      </c>
      <c r="Q25" s="26">
        <f t="shared" si="12"/>
        <v>-0.100000000031741</v>
      </c>
      <c r="R25" s="41"/>
      <c r="S25" s="21">
        <f t="shared" si="3"/>
        <v>44979</v>
      </c>
      <c r="T25" s="42">
        <v>10.3089</v>
      </c>
      <c r="U25" s="43">
        <f t="shared" si="13"/>
        <v>-0.20000000000130999</v>
      </c>
      <c r="V25" s="44">
        <f t="shared" si="14"/>
        <v>-3.1999999999996498</v>
      </c>
      <c r="W25" s="45">
        <f t="shared" si="15"/>
        <v>0.100000000000655</v>
      </c>
      <c r="X25" s="29">
        <v>12.010199999999999</v>
      </c>
      <c r="Y25" s="43">
        <f t="shared" si="16"/>
        <v>9.99999999997669E-2</v>
      </c>
      <c r="Z25" s="44">
        <f t="shared" si="17"/>
        <v>-3.2000000000014199</v>
      </c>
      <c r="AA25" s="45">
        <f t="shared" si="18"/>
        <v>4.9999999999883499E-2</v>
      </c>
      <c r="AB25" s="49">
        <v>8.0996999999999897</v>
      </c>
      <c r="AC25" s="43">
        <f t="shared" si="19"/>
        <v>0.19999999998887599</v>
      </c>
      <c r="AD25" s="44">
        <f t="shared" si="20"/>
        <v>-2.7000000000096902</v>
      </c>
      <c r="AE25" s="45">
        <f t="shared" si="21"/>
        <v>9.9999999994437899E-2</v>
      </c>
      <c r="AF25" s="50">
        <v>80653</v>
      </c>
      <c r="AG25" s="58">
        <f t="shared" si="22"/>
        <v>61</v>
      </c>
      <c r="AH25" s="61"/>
      <c r="AI25" s="60"/>
      <c r="AJ25"/>
      <c r="AK25"/>
      <c r="AL25"/>
      <c r="AM25"/>
    </row>
    <row r="26" spans="1:48">
      <c r="A26" s="21">
        <v>44981</v>
      </c>
      <c r="B26" s="22">
        <v>791.80629999999996</v>
      </c>
      <c r="C26" s="27">
        <v>5.7812999999999999</v>
      </c>
      <c r="D26" s="23">
        <f t="shared" si="0"/>
        <v>797.58759999999995</v>
      </c>
      <c r="E26" s="24">
        <f t="shared" ref="E26:E30" si="23">(D26-D25)*1000</f>
        <v>9.9999999974897905E-2</v>
      </c>
      <c r="F26" s="25">
        <f t="shared" ref="F26:F30" si="24">F25+E26</f>
        <v>-3.1999999999925399</v>
      </c>
      <c r="G26" s="26">
        <f t="shared" ref="G26:G30" si="25">E26/(A26-A25)</f>
        <v>4.9999999987449001E-2</v>
      </c>
      <c r="H26" s="6">
        <v>6.8175999999999997</v>
      </c>
      <c r="I26" s="35">
        <f t="shared" si="1"/>
        <v>798.62390000000005</v>
      </c>
      <c r="J26" s="24">
        <f t="shared" ref="J26:J30" si="26">(I26-I25)*1000</f>
        <v>-0.20000000006348301</v>
      </c>
      <c r="K26" s="25">
        <f t="shared" ref="K26:K30" si="27">K25+J26</f>
        <v>-3.69999999998072</v>
      </c>
      <c r="L26" s="26">
        <f t="shared" ref="L26:L30" si="28">J26/(A26-A25)</f>
        <v>-0.100000000031741</v>
      </c>
      <c r="M26" s="6">
        <v>5.8944000000000001</v>
      </c>
      <c r="N26" s="35">
        <f t="shared" si="2"/>
        <v>797.70069999999998</v>
      </c>
      <c r="O26" s="24">
        <f t="shared" ref="O26:O30" si="29">(N26-N25)*1000</f>
        <v>0.30000000003838101</v>
      </c>
      <c r="P26" s="25">
        <f t="shared" ref="P26:P30" si="30">P25+O26</f>
        <v>-2.0999999999275998</v>
      </c>
      <c r="Q26" s="26">
        <f t="shared" ref="Q26:Q30" si="31">O26/(A26-A25)</f>
        <v>0.15000000001919001</v>
      </c>
      <c r="R26" s="41"/>
      <c r="S26" s="21">
        <f t="shared" ref="S26:S30" si="32">A26</f>
        <v>44981</v>
      </c>
      <c r="T26" s="42">
        <v>10.3085</v>
      </c>
      <c r="U26" s="43">
        <f t="shared" ref="U26:U30" si="33">(T26-T25)*1000</f>
        <v>-0.39999999999906799</v>
      </c>
      <c r="V26" s="44">
        <f t="shared" ref="V26:V30" si="34">V25+U26</f>
        <v>-3.5999999999987198</v>
      </c>
      <c r="W26" s="45">
        <f t="shared" ref="W26:W30" si="35">U26/(S25-S26)</f>
        <v>0.19999999999953399</v>
      </c>
      <c r="X26" s="29">
        <v>12.010400000000001</v>
      </c>
      <c r="Y26" s="43">
        <f t="shared" ref="Y26:Y30" si="36">(X26-X25)*1000</f>
        <v>0.20000000000130999</v>
      </c>
      <c r="Z26" s="44">
        <f t="shared" ref="Z26:Z30" si="37">Z25+Y26</f>
        <v>-3.0000000000001101</v>
      </c>
      <c r="AA26" s="45">
        <f t="shared" ref="AA26:AA30" si="38">Y26/(S26-S25)</f>
        <v>0.100000000000655</v>
      </c>
      <c r="AB26" s="49">
        <v>8.0993999999999993</v>
      </c>
      <c r="AC26" s="43">
        <f t="shared" ref="AC26:AC30" si="39">(AB26-AB25)*1000</f>
        <v>-0.29999999999041899</v>
      </c>
      <c r="AD26" s="44">
        <f t="shared" ref="AD26:AD30" si="40">AD25+AC26</f>
        <v>-3.0000000000001101</v>
      </c>
      <c r="AE26" s="45">
        <f t="shared" ref="AE26:AE30" si="41">AC26/(S26-S25)</f>
        <v>-0.14999999999520999</v>
      </c>
      <c r="AF26" s="50">
        <v>80653</v>
      </c>
      <c r="AG26" s="58">
        <f t="shared" si="22"/>
        <v>61</v>
      </c>
      <c r="AH26" s="61"/>
      <c r="AI26" s="60"/>
      <c r="AJ26"/>
      <c r="AK26"/>
      <c r="AL26"/>
      <c r="AM26"/>
    </row>
    <row r="27" spans="1:48">
      <c r="A27" s="21">
        <v>44983</v>
      </c>
      <c r="B27" s="22">
        <v>791.80629999999996</v>
      </c>
      <c r="C27" s="27">
        <v>5.7810000000000104</v>
      </c>
      <c r="D27" s="23">
        <f t="shared" si="0"/>
        <v>797.58730000000003</v>
      </c>
      <c r="E27" s="24">
        <f t="shared" si="23"/>
        <v>-0.29999999992469401</v>
      </c>
      <c r="F27" s="25">
        <f t="shared" si="24"/>
        <v>-3.49999999991724</v>
      </c>
      <c r="G27" s="26">
        <f t="shared" si="25"/>
        <v>-0.149999999962347</v>
      </c>
      <c r="H27" s="6">
        <v>6.8175999999999997</v>
      </c>
      <c r="I27" s="35">
        <f t="shared" si="1"/>
        <v>798.62390000000005</v>
      </c>
      <c r="J27" s="24">
        <f t="shared" si="26"/>
        <v>0</v>
      </c>
      <c r="K27" s="25">
        <f t="shared" si="27"/>
        <v>-3.69999999998072</v>
      </c>
      <c r="L27" s="26">
        <f t="shared" si="28"/>
        <v>0</v>
      </c>
      <c r="M27" s="6">
        <v>5.8939000000000004</v>
      </c>
      <c r="N27" s="35">
        <f t="shared" si="2"/>
        <v>797.7002</v>
      </c>
      <c r="O27" s="24">
        <f t="shared" si="29"/>
        <v>-0.49999999998817701</v>
      </c>
      <c r="P27" s="25">
        <f t="shared" si="30"/>
        <v>-2.5999999999157799</v>
      </c>
      <c r="Q27" s="26">
        <f t="shared" si="31"/>
        <v>-0.24999999999408801</v>
      </c>
      <c r="R27" s="41"/>
      <c r="S27" s="21">
        <f t="shared" si="32"/>
        <v>44983</v>
      </c>
      <c r="T27" s="42">
        <v>10.3087</v>
      </c>
      <c r="U27" s="43">
        <f t="shared" si="33"/>
        <v>0.19999999999953399</v>
      </c>
      <c r="V27" s="44">
        <f t="shared" si="34"/>
        <v>-3.3999999999991801</v>
      </c>
      <c r="W27" s="45">
        <f t="shared" si="35"/>
        <v>-9.99999999997669E-2</v>
      </c>
      <c r="X27" s="29">
        <v>12.010300000000001</v>
      </c>
      <c r="Y27" s="43">
        <f t="shared" si="36"/>
        <v>-9.99999999997669E-2</v>
      </c>
      <c r="Z27" s="44">
        <f t="shared" si="37"/>
        <v>-3.0999999999998802</v>
      </c>
      <c r="AA27" s="45">
        <f t="shared" si="38"/>
        <v>-4.9999999999883499E-2</v>
      </c>
      <c r="AB27" s="49">
        <v>8.0998999999999803</v>
      </c>
      <c r="AC27" s="43">
        <f t="shared" si="39"/>
        <v>0.49999999998107097</v>
      </c>
      <c r="AD27" s="44">
        <f t="shared" si="40"/>
        <v>-2.5000000000190399</v>
      </c>
      <c r="AE27" s="45">
        <f t="shared" si="41"/>
        <v>0.24999999999053599</v>
      </c>
      <c r="AF27" s="50">
        <v>80656</v>
      </c>
      <c r="AG27" s="58">
        <f t="shared" si="22"/>
        <v>64</v>
      </c>
      <c r="AH27" s="59"/>
      <c r="AI27" s="60"/>
      <c r="AJ27" s="61"/>
      <c r="AK27" s="62"/>
      <c r="AL27" s="60"/>
      <c r="AM27" s="64"/>
    </row>
    <row r="28" spans="1:48">
      <c r="A28" s="21">
        <v>44985</v>
      </c>
      <c r="B28" s="22">
        <v>791.80629999999996</v>
      </c>
      <c r="C28" s="27">
        <v>5.7807000000000004</v>
      </c>
      <c r="D28" s="23">
        <f t="shared" si="0"/>
        <v>797.58699999999999</v>
      </c>
      <c r="E28" s="24">
        <f t="shared" si="23"/>
        <v>-0.30000000003838101</v>
      </c>
      <c r="F28" s="25">
        <f t="shared" si="24"/>
        <v>-3.7999999999556202</v>
      </c>
      <c r="G28" s="26">
        <f t="shared" si="25"/>
        <v>-0.15000000001919001</v>
      </c>
      <c r="H28" s="6">
        <v>6.8173000000000004</v>
      </c>
      <c r="I28" s="35">
        <f t="shared" si="1"/>
        <v>798.62360000000001</v>
      </c>
      <c r="J28" s="24">
        <f t="shared" si="26"/>
        <v>-0.29999999992469401</v>
      </c>
      <c r="K28" s="25">
        <f t="shared" si="27"/>
        <v>-3.9999999999054099</v>
      </c>
      <c r="L28" s="26">
        <f t="shared" si="28"/>
        <v>-0.149999999962347</v>
      </c>
      <c r="M28" s="6">
        <v>5.8936000000000002</v>
      </c>
      <c r="N28" s="35">
        <f t="shared" si="2"/>
        <v>797.69989999999996</v>
      </c>
      <c r="O28" s="24">
        <f t="shared" si="29"/>
        <v>-0.30000000003838101</v>
      </c>
      <c r="P28" s="25">
        <f t="shared" si="30"/>
        <v>-2.8999999999541601</v>
      </c>
      <c r="Q28" s="26">
        <f t="shared" si="31"/>
        <v>-0.15000000001919001</v>
      </c>
      <c r="R28" s="41"/>
      <c r="S28" s="21">
        <f t="shared" si="32"/>
        <v>44985</v>
      </c>
      <c r="T28" s="42">
        <v>10.3086</v>
      </c>
      <c r="U28" s="43">
        <f t="shared" si="33"/>
        <v>-9.99999999997669E-2</v>
      </c>
      <c r="V28" s="44">
        <f t="shared" si="34"/>
        <v>-3.4999999999989502</v>
      </c>
      <c r="W28" s="45">
        <f t="shared" si="35"/>
        <v>4.9999999999883499E-2</v>
      </c>
      <c r="X28" s="29">
        <v>12.0101</v>
      </c>
      <c r="Y28" s="43">
        <f t="shared" si="36"/>
        <v>-0.20000000000130999</v>
      </c>
      <c r="Z28" s="44">
        <f t="shared" si="37"/>
        <v>-3.30000000000119</v>
      </c>
      <c r="AA28" s="45">
        <f t="shared" si="38"/>
        <v>-0.100000000000655</v>
      </c>
      <c r="AB28" s="49">
        <v>8.0998000000000001</v>
      </c>
      <c r="AC28" s="43">
        <f t="shared" si="39"/>
        <v>-9.9999999980227003E-2</v>
      </c>
      <c r="AD28" s="44">
        <f t="shared" si="40"/>
        <v>-2.59999999999927</v>
      </c>
      <c r="AE28" s="45">
        <f t="shared" si="41"/>
        <v>-4.9999999990113501E-2</v>
      </c>
      <c r="AF28" s="50">
        <v>80656</v>
      </c>
      <c r="AG28" s="58">
        <f t="shared" si="22"/>
        <v>64</v>
      </c>
      <c r="AH28" s="59"/>
      <c r="AI28" s="60"/>
      <c r="AJ28" s="61"/>
      <c r="AK28" s="62"/>
      <c r="AL28" s="60"/>
      <c r="AM28" s="64"/>
    </row>
    <row r="29" spans="1:48">
      <c r="A29" s="21">
        <v>44986</v>
      </c>
      <c r="B29" s="22">
        <v>791.80629999999996</v>
      </c>
      <c r="C29" s="27">
        <v>5.7808000000000099</v>
      </c>
      <c r="D29" s="23">
        <f t="shared" si="0"/>
        <v>797.58709999999996</v>
      </c>
      <c r="E29" s="24">
        <f t="shared" si="23"/>
        <v>9.9999999974897905E-2</v>
      </c>
      <c r="F29" s="25">
        <f t="shared" si="24"/>
        <v>-3.69999999998072</v>
      </c>
      <c r="G29" s="26">
        <f t="shared" si="25"/>
        <v>9.9999999974897905E-2</v>
      </c>
      <c r="H29" s="6">
        <v>6.8174000000000001</v>
      </c>
      <c r="I29" s="35">
        <f t="shared" si="1"/>
        <v>798.62369999999999</v>
      </c>
      <c r="J29" s="24">
        <f t="shared" si="26"/>
        <v>9.9999999974897905E-2</v>
      </c>
      <c r="K29" s="25">
        <f t="shared" si="27"/>
        <v>-3.8999999999305102</v>
      </c>
      <c r="L29" s="26">
        <f t="shared" si="28"/>
        <v>9.9999999974897905E-2</v>
      </c>
      <c r="M29" s="6">
        <v>5.8936999999999999</v>
      </c>
      <c r="N29" s="35">
        <f t="shared" si="2"/>
        <v>797.7</v>
      </c>
      <c r="O29" s="24">
        <f t="shared" si="29"/>
        <v>9.9999999974897905E-2</v>
      </c>
      <c r="P29" s="25">
        <f t="shared" si="30"/>
        <v>-2.79999999997926</v>
      </c>
      <c r="Q29" s="26">
        <f t="shared" si="31"/>
        <v>9.9999999974897905E-2</v>
      </c>
      <c r="R29" s="41"/>
      <c r="S29" s="21">
        <f t="shared" si="32"/>
        <v>44986</v>
      </c>
      <c r="T29" s="42">
        <v>10.3085</v>
      </c>
      <c r="U29" s="43">
        <f t="shared" si="33"/>
        <v>-9.99999999997669E-2</v>
      </c>
      <c r="V29" s="44">
        <f t="shared" si="34"/>
        <v>-3.5999999999987198</v>
      </c>
      <c r="W29" s="45">
        <f t="shared" si="35"/>
        <v>9.99999999997669E-2</v>
      </c>
      <c r="X29" s="29">
        <v>12.010400000000001</v>
      </c>
      <c r="Y29" s="43">
        <f t="shared" si="36"/>
        <v>0.30000000000107702</v>
      </c>
      <c r="Z29" s="44">
        <f t="shared" si="37"/>
        <v>-3.0000000000001101</v>
      </c>
      <c r="AA29" s="45">
        <f t="shared" si="38"/>
        <v>0.30000000000107702</v>
      </c>
      <c r="AB29" s="49">
        <v>8.1000999999999692</v>
      </c>
      <c r="AC29" s="43">
        <f t="shared" si="39"/>
        <v>0.29999999996910298</v>
      </c>
      <c r="AD29" s="44">
        <f t="shared" si="40"/>
        <v>-2.3000000000301699</v>
      </c>
      <c r="AE29" s="45">
        <f t="shared" si="41"/>
        <v>0.29999999996910298</v>
      </c>
      <c r="AF29" s="50">
        <v>80659</v>
      </c>
      <c r="AG29" s="58">
        <f t="shared" si="22"/>
        <v>67</v>
      </c>
      <c r="AH29" s="61"/>
      <c r="AI29" s="60"/>
      <c r="AJ29" s="61"/>
      <c r="AK29" s="62"/>
      <c r="AL29" s="60"/>
      <c r="AM29" s="64"/>
    </row>
    <row r="30" spans="1:48">
      <c r="A30" s="21">
        <v>44989</v>
      </c>
      <c r="B30" s="22">
        <v>791.80629999999996</v>
      </c>
      <c r="C30" s="27">
        <v>5.7806000000000104</v>
      </c>
      <c r="D30" s="23">
        <f t="shared" si="0"/>
        <v>797.58690000000001</v>
      </c>
      <c r="E30" s="24">
        <f t="shared" si="23"/>
        <v>-0.199999999949796</v>
      </c>
      <c r="F30" s="25">
        <f t="shared" si="24"/>
        <v>-3.8999999999305102</v>
      </c>
      <c r="G30" s="26">
        <f t="shared" si="25"/>
        <v>-6.6666666649931997E-2</v>
      </c>
      <c r="H30" s="6">
        <v>6.8171999999999997</v>
      </c>
      <c r="I30" s="35">
        <f t="shared" si="1"/>
        <v>798.62350000000004</v>
      </c>
      <c r="J30" s="24">
        <f t="shared" si="26"/>
        <v>-0.20000000006348301</v>
      </c>
      <c r="K30" s="25">
        <f t="shared" si="27"/>
        <v>-4.099999999994</v>
      </c>
      <c r="L30" s="26">
        <f t="shared" si="28"/>
        <v>-6.66666666878276E-2</v>
      </c>
      <c r="M30" s="6">
        <v>5.8935000000000004</v>
      </c>
      <c r="N30" s="35">
        <f t="shared" si="2"/>
        <v>797.69979999999998</v>
      </c>
      <c r="O30" s="24">
        <f t="shared" si="29"/>
        <v>-0.199999999949796</v>
      </c>
      <c r="P30" s="25">
        <f t="shared" si="30"/>
        <v>-2.9999999999290599</v>
      </c>
      <c r="Q30" s="26">
        <f t="shared" si="31"/>
        <v>-6.6666666649931997E-2</v>
      </c>
      <c r="R30" s="41"/>
      <c r="S30" s="21">
        <f t="shared" si="32"/>
        <v>44989</v>
      </c>
      <c r="T30" s="42">
        <v>10.308299999999999</v>
      </c>
      <c r="U30" s="43">
        <f t="shared" si="33"/>
        <v>-0.20000000000130999</v>
      </c>
      <c r="V30" s="44">
        <f t="shared" si="34"/>
        <v>-3.80000000000003</v>
      </c>
      <c r="W30" s="45">
        <f t="shared" si="35"/>
        <v>6.66666666671034E-2</v>
      </c>
      <c r="X30" s="29">
        <v>12.0105</v>
      </c>
      <c r="Y30" s="43">
        <f t="shared" si="36"/>
        <v>9.99999999997669E-2</v>
      </c>
      <c r="Z30" s="44">
        <f t="shared" si="37"/>
        <v>-2.9000000000003499</v>
      </c>
      <c r="AA30" s="45">
        <f t="shared" si="38"/>
        <v>3.3333333333255603E-2</v>
      </c>
      <c r="AB30" s="49">
        <v>8.1002999999999599</v>
      </c>
      <c r="AC30" s="43">
        <f t="shared" si="39"/>
        <v>0.19999999999065199</v>
      </c>
      <c r="AD30" s="44">
        <f t="shared" si="40"/>
        <v>-2.1000000000395098</v>
      </c>
      <c r="AE30" s="45">
        <f t="shared" si="41"/>
        <v>6.66666666635507E-2</v>
      </c>
      <c r="AF30" s="50">
        <v>80662</v>
      </c>
      <c r="AG30" s="58">
        <f t="shared" si="22"/>
        <v>70</v>
      </c>
      <c r="AH30" s="59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65">
        <f>F30-F24</f>
        <v>-0.79999999991286996</v>
      </c>
      <c r="F31" s="33">
        <f>K30-K24</f>
        <v>-0.80000000002655702</v>
      </c>
      <c r="G31" s="33">
        <f>P30-P24</f>
        <v>-0.80000000002655702</v>
      </c>
      <c r="H31" s="33">
        <f>F30</f>
        <v>-3.8999999999305102</v>
      </c>
      <c r="I31" s="66">
        <f>K30</f>
        <v>-4.099999999994</v>
      </c>
      <c r="J31" s="65">
        <f>P30</f>
        <v>-2.9999999999290599</v>
      </c>
      <c r="K31" s="33">
        <f>(P30-P24)/14</f>
        <v>-5.7142857144754103E-2</v>
      </c>
      <c r="L31" s="26"/>
      <c r="N31" s="35"/>
      <c r="O31" s="24"/>
      <c r="P31" s="25"/>
      <c r="Q31" s="26"/>
      <c r="R31" s="41"/>
      <c r="S31" s="21"/>
      <c r="T31" s="42"/>
      <c r="U31" s="65">
        <f>V30-V24</f>
        <v>-0.80000000000168803</v>
      </c>
      <c r="V31" s="33">
        <f>Z30-Z24</f>
        <v>0.40000000000084401</v>
      </c>
      <c r="W31" s="33">
        <f>AD30-AD24</f>
        <v>0.79999999995905602</v>
      </c>
      <c r="X31" s="33">
        <f>V30</f>
        <v>-3.80000000000003</v>
      </c>
      <c r="Y31" s="65">
        <f>Z30</f>
        <v>-2.9000000000003499</v>
      </c>
      <c r="Z31" s="33">
        <f>AD30</f>
        <v>-2.1000000000395098</v>
      </c>
      <c r="AA31" s="33">
        <f>(AD30-AD24)/14</f>
        <v>5.7142857139932501E-2</v>
      </c>
      <c r="AB31" s="49"/>
      <c r="AC31" s="43"/>
      <c r="AD31" s="44"/>
      <c r="AE31" s="45"/>
      <c r="AF31" s="50"/>
      <c r="AG31" s="58"/>
      <c r="AH31" s="61"/>
      <c r="AI31" s="60"/>
      <c r="AJ31"/>
      <c r="AK31"/>
      <c r="AL31"/>
      <c r="AM31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>
        <v>3</v>
      </c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6"/>
  <sheetViews>
    <sheetView topLeftCell="P28" workbookViewId="0">
      <selection activeCell="P31" sqref="A31:XFD31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81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44960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44960</v>
      </c>
      <c r="B6" s="22">
        <v>791.80629999999996</v>
      </c>
      <c r="C6" s="27">
        <v>7.1351000000000004</v>
      </c>
      <c r="D6" s="23">
        <f t="shared" ref="D6:D21" si="0">C6+B6</f>
        <v>798.94140000000004</v>
      </c>
      <c r="E6" s="24">
        <v>0</v>
      </c>
      <c r="F6" s="25">
        <v>0</v>
      </c>
      <c r="G6" s="26">
        <v>0</v>
      </c>
      <c r="H6" s="6">
        <v>7.3338999999999999</v>
      </c>
      <c r="I6" s="35">
        <f t="shared" ref="I6:I21" si="1">H6+B6</f>
        <v>799.14020000000005</v>
      </c>
      <c r="J6" s="24">
        <v>0</v>
      </c>
      <c r="K6" s="25">
        <v>0</v>
      </c>
      <c r="L6" s="26">
        <v>0</v>
      </c>
      <c r="M6" s="6">
        <v>5.9606000000000003</v>
      </c>
      <c r="N6" s="35">
        <f t="shared" ref="N6:N21" si="2">M6+B6</f>
        <v>797.76689999999996</v>
      </c>
      <c r="O6" s="24">
        <v>0</v>
      </c>
      <c r="P6" s="25">
        <v>0</v>
      </c>
      <c r="Q6" s="26">
        <v>0</v>
      </c>
      <c r="R6" s="41"/>
      <c r="S6" s="21">
        <f t="shared" ref="S6:S21" si="3">A6</f>
        <v>44960</v>
      </c>
      <c r="T6" s="42">
        <v>10.312099999999999</v>
      </c>
      <c r="U6" s="43">
        <v>0</v>
      </c>
      <c r="V6" s="44">
        <v>0</v>
      </c>
      <c r="W6" s="45">
        <f>U6/(S6-S11)</f>
        <v>0</v>
      </c>
      <c r="X6" s="6">
        <v>15.2349</v>
      </c>
      <c r="Y6" s="43">
        <v>0</v>
      </c>
      <c r="Z6" s="44">
        <v>0</v>
      </c>
      <c r="AA6" s="45">
        <v>0</v>
      </c>
      <c r="AB6" s="49">
        <v>10.1495</v>
      </c>
      <c r="AC6" s="43">
        <v>0</v>
      </c>
      <c r="AD6" s="44">
        <v>0</v>
      </c>
      <c r="AE6" s="45">
        <v>0</v>
      </c>
      <c r="AF6" s="50">
        <v>80625</v>
      </c>
      <c r="AG6" s="58">
        <f>AF6-80620</f>
        <v>5</v>
      </c>
      <c r="AH6" s="59"/>
      <c r="AI6" s="60"/>
      <c r="AJ6" s="61"/>
      <c r="AK6" s="62"/>
      <c r="AL6" s="52"/>
      <c r="AM6" s="52"/>
    </row>
    <row r="7" spans="1:48">
      <c r="A7" s="21">
        <v>44961</v>
      </c>
      <c r="B7" s="22">
        <v>791.80629999999996</v>
      </c>
      <c r="C7" s="27">
        <v>7.1355000000000004</v>
      </c>
      <c r="D7" s="23">
        <f t="shared" si="0"/>
        <v>798.94179999999994</v>
      </c>
      <c r="E7" s="24">
        <f t="shared" ref="E7:E21" si="4">(D7-D6)*1000</f>
        <v>0.40000000001327901</v>
      </c>
      <c r="F7" s="25">
        <f t="shared" ref="F7:F21" si="5">F6+E7</f>
        <v>0.40000000001327901</v>
      </c>
      <c r="G7" s="26">
        <f t="shared" ref="G7:G21" si="6">E7/(A7-A6)</f>
        <v>0.40000000001327901</v>
      </c>
      <c r="H7" s="6">
        <v>7.3337000000000003</v>
      </c>
      <c r="I7" s="35">
        <f t="shared" si="1"/>
        <v>799.14</v>
      </c>
      <c r="J7" s="24">
        <f t="shared" ref="J7:J21" si="7">(I7-I6)*1000</f>
        <v>-0.199999999949796</v>
      </c>
      <c r="K7" s="25">
        <f t="shared" ref="K7:K21" si="8">K6+J7</f>
        <v>-0.199999999949796</v>
      </c>
      <c r="L7" s="26">
        <f t="shared" ref="L7:L21" si="9">J7/(A7-A6)</f>
        <v>-0.199999999949796</v>
      </c>
      <c r="M7" s="6">
        <v>5.9603000000000002</v>
      </c>
      <c r="N7" s="35">
        <f t="shared" si="2"/>
        <v>797.76660000000004</v>
      </c>
      <c r="O7" s="24">
        <f t="shared" ref="O7:O21" si="10">(N7-N6)*1000</f>
        <v>-0.30000000003838101</v>
      </c>
      <c r="P7" s="25">
        <f t="shared" ref="P7:P21" si="11">P6+O7</f>
        <v>-0.30000000003838101</v>
      </c>
      <c r="Q7" s="26">
        <f t="shared" ref="Q7:Q21" si="12">O7/(A7-A6)</f>
        <v>-0.30000000003838101</v>
      </c>
      <c r="R7" s="41"/>
      <c r="S7" s="21">
        <f t="shared" si="3"/>
        <v>44961</v>
      </c>
      <c r="T7" s="42">
        <v>10.3125</v>
      </c>
      <c r="U7" s="43">
        <f t="shared" ref="U7:U21" si="13">(T7-T6)*1000</f>
        <v>0.40000000000084401</v>
      </c>
      <c r="V7" s="44">
        <f t="shared" ref="V7:V21" si="14">V6+U7</f>
        <v>0.40000000000084401</v>
      </c>
      <c r="W7" s="45">
        <f t="shared" ref="W7:W21" si="15">U7/(S6-S7)</f>
        <v>-0.40000000000084401</v>
      </c>
      <c r="X7" s="6">
        <v>15.2347</v>
      </c>
      <c r="Y7" s="43">
        <f t="shared" ref="Y7:Y21" si="16">(X7-X6)*1000</f>
        <v>-0.19999999999953399</v>
      </c>
      <c r="Z7" s="44">
        <f t="shared" ref="Z7:Z21" si="17">Z6+Y7</f>
        <v>-0.19999999999953399</v>
      </c>
      <c r="AA7" s="45">
        <f t="shared" ref="AA7:AA21" si="18">Y7/(S7-S6)</f>
        <v>-0.19999999999953399</v>
      </c>
      <c r="AB7" s="49">
        <v>10.1496</v>
      </c>
      <c r="AC7" s="43">
        <f t="shared" ref="AC7:AC21" si="19">(AB7-AB6)*1000</f>
        <v>9.99999999997669E-2</v>
      </c>
      <c r="AD7" s="44">
        <f t="shared" ref="AD7:AD21" si="20">AD6+AC7</f>
        <v>9.99999999997669E-2</v>
      </c>
      <c r="AE7" s="45">
        <f t="shared" ref="AE7:AE21" si="21">AC7/(S7-S6)</f>
        <v>9.99999999997669E-2</v>
      </c>
      <c r="AF7" s="50">
        <v>80628</v>
      </c>
      <c r="AG7" s="58">
        <f t="shared" ref="AG7:AG21" si="22">AF7-80620</f>
        <v>8</v>
      </c>
      <c r="AH7" s="59"/>
      <c r="AI7" s="60"/>
      <c r="AJ7" s="61"/>
      <c r="AK7" s="62"/>
      <c r="AL7" s="52"/>
      <c r="AM7" s="52"/>
    </row>
    <row r="8" spans="1:48">
      <c r="A8" s="21">
        <v>44962</v>
      </c>
      <c r="B8" s="22">
        <v>791.80629999999996</v>
      </c>
      <c r="C8" s="27">
        <v>7.1349999999999998</v>
      </c>
      <c r="D8" s="23">
        <f t="shared" si="0"/>
        <v>798.94129999999996</v>
      </c>
      <c r="E8" s="24">
        <f t="shared" si="4"/>
        <v>-0.49999999998817701</v>
      </c>
      <c r="F8" s="25">
        <f t="shared" si="5"/>
        <v>-9.9999999974897905E-2</v>
      </c>
      <c r="G8" s="26">
        <f t="shared" si="6"/>
        <v>-0.49999999998817701</v>
      </c>
      <c r="H8" s="6">
        <v>7.3335999999999997</v>
      </c>
      <c r="I8" s="35">
        <f t="shared" si="1"/>
        <v>799.13990000000001</v>
      </c>
      <c r="J8" s="24">
        <f t="shared" si="7"/>
        <v>-9.9999999974897905E-2</v>
      </c>
      <c r="K8" s="25">
        <f t="shared" si="8"/>
        <v>-0.29999999992469401</v>
      </c>
      <c r="L8" s="26">
        <f t="shared" si="9"/>
        <v>-9.9999999974897905E-2</v>
      </c>
      <c r="M8" s="6">
        <v>5.9602000000000004</v>
      </c>
      <c r="N8" s="35">
        <f t="shared" si="2"/>
        <v>797.76649999999995</v>
      </c>
      <c r="O8" s="24">
        <f t="shared" si="10"/>
        <v>-9.9999999974897905E-2</v>
      </c>
      <c r="P8" s="25">
        <f t="shared" si="11"/>
        <v>-0.40000000001327901</v>
      </c>
      <c r="Q8" s="26">
        <f t="shared" si="12"/>
        <v>-9.9999999974897905E-2</v>
      </c>
      <c r="R8" s="41"/>
      <c r="S8" s="21">
        <f t="shared" si="3"/>
        <v>44962</v>
      </c>
      <c r="T8" s="42">
        <v>10.3123</v>
      </c>
      <c r="U8" s="43">
        <f t="shared" si="13"/>
        <v>-0.19999999999953399</v>
      </c>
      <c r="V8" s="44">
        <f t="shared" si="14"/>
        <v>0.20000000000130999</v>
      </c>
      <c r="W8" s="45">
        <f t="shared" si="15"/>
        <v>0.19999999999953399</v>
      </c>
      <c r="X8" s="6">
        <v>15.2346</v>
      </c>
      <c r="Y8" s="43">
        <f t="shared" si="16"/>
        <v>-9.99999999997669E-2</v>
      </c>
      <c r="Z8" s="44">
        <f t="shared" si="17"/>
        <v>-0.29999999999930099</v>
      </c>
      <c r="AA8" s="45">
        <f t="shared" si="18"/>
        <v>-9.99999999997669E-2</v>
      </c>
      <c r="AB8" s="49">
        <v>10.1494</v>
      </c>
      <c r="AC8" s="43">
        <f t="shared" si="19"/>
        <v>-0.19999999999953399</v>
      </c>
      <c r="AD8" s="44">
        <f t="shared" si="20"/>
        <v>-9.99999999997669E-2</v>
      </c>
      <c r="AE8" s="45">
        <f t="shared" si="21"/>
        <v>-0.19999999999953399</v>
      </c>
      <c r="AF8" s="50">
        <v>80631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44963</v>
      </c>
      <c r="B9" s="22">
        <v>791.80629999999996</v>
      </c>
      <c r="C9" s="27">
        <v>7.1351000000000004</v>
      </c>
      <c r="D9" s="23">
        <f t="shared" si="0"/>
        <v>798.94140000000004</v>
      </c>
      <c r="E9" s="24">
        <f t="shared" si="4"/>
        <v>9.9999999974897905E-2</v>
      </c>
      <c r="F9" s="25">
        <f t="shared" si="5"/>
        <v>0</v>
      </c>
      <c r="G9" s="26">
        <f t="shared" si="6"/>
        <v>9.9999999974897905E-2</v>
      </c>
      <c r="H9" s="6">
        <v>7.3333000000000004</v>
      </c>
      <c r="I9" s="35">
        <f t="shared" si="1"/>
        <v>799.13959999999997</v>
      </c>
      <c r="J9" s="24">
        <f t="shared" si="7"/>
        <v>-0.30000000003838101</v>
      </c>
      <c r="K9" s="25">
        <f t="shared" si="8"/>
        <v>-0.59999999996307496</v>
      </c>
      <c r="L9" s="26">
        <f t="shared" si="9"/>
        <v>-0.30000000003838101</v>
      </c>
      <c r="M9" s="6">
        <v>5.9599000000000002</v>
      </c>
      <c r="N9" s="35">
        <f t="shared" si="2"/>
        <v>797.76620000000003</v>
      </c>
      <c r="O9" s="24">
        <f t="shared" si="10"/>
        <v>-0.30000000003838101</v>
      </c>
      <c r="P9" s="25">
        <f t="shared" si="11"/>
        <v>-0.70000000005165897</v>
      </c>
      <c r="Q9" s="26">
        <f t="shared" si="12"/>
        <v>-0.30000000003838101</v>
      </c>
      <c r="R9" s="41"/>
      <c r="S9" s="21">
        <f t="shared" si="3"/>
        <v>44963</v>
      </c>
      <c r="T9" s="42">
        <v>10.312099999999999</v>
      </c>
      <c r="U9" s="43">
        <f t="shared" si="13"/>
        <v>-0.20000000000130999</v>
      </c>
      <c r="V9" s="44">
        <f t="shared" si="14"/>
        <v>0</v>
      </c>
      <c r="W9" s="45">
        <f t="shared" si="15"/>
        <v>0.20000000000130999</v>
      </c>
      <c r="X9" s="6">
        <v>15.234299999999999</v>
      </c>
      <c r="Y9" s="43">
        <f t="shared" si="16"/>
        <v>-0.30000000000107702</v>
      </c>
      <c r="Z9" s="44">
        <f t="shared" si="17"/>
        <v>-0.60000000000037801</v>
      </c>
      <c r="AA9" s="45">
        <f t="shared" si="18"/>
        <v>-0.30000000000107702</v>
      </c>
      <c r="AB9" s="49">
        <v>10.1492</v>
      </c>
      <c r="AC9" s="43">
        <f t="shared" si="19"/>
        <v>-0.19999999999953399</v>
      </c>
      <c r="AD9" s="44">
        <f t="shared" si="20"/>
        <v>-0.29999999999930099</v>
      </c>
      <c r="AE9" s="45">
        <f t="shared" si="21"/>
        <v>-0.19999999999953399</v>
      </c>
      <c r="AF9" s="50">
        <v>80634</v>
      </c>
      <c r="AG9" s="58">
        <f t="shared" si="22"/>
        <v>14</v>
      </c>
      <c r="AH9" s="61"/>
      <c r="AI9" s="60"/>
      <c r="AJ9"/>
      <c r="AK9"/>
      <c r="AL9"/>
      <c r="AM9"/>
    </row>
    <row r="10" spans="1:48">
      <c r="A10" s="21">
        <v>44964</v>
      </c>
      <c r="B10" s="22">
        <v>791.80629999999996</v>
      </c>
      <c r="C10" s="27">
        <v>7.1345999999999998</v>
      </c>
      <c r="D10" s="23">
        <f t="shared" si="0"/>
        <v>798.94090000000006</v>
      </c>
      <c r="E10" s="24">
        <f t="shared" si="4"/>
        <v>-0.49999999998817701</v>
      </c>
      <c r="F10" s="25">
        <f t="shared" si="5"/>
        <v>-0.49999999998817701</v>
      </c>
      <c r="G10" s="26">
        <f t="shared" si="6"/>
        <v>-0.49999999998817701</v>
      </c>
      <c r="H10" s="6">
        <v>7.3331</v>
      </c>
      <c r="I10" s="35">
        <f t="shared" si="1"/>
        <v>799.13940000000002</v>
      </c>
      <c r="J10" s="24">
        <f t="shared" si="7"/>
        <v>-0.20000000006348301</v>
      </c>
      <c r="K10" s="25">
        <f t="shared" si="8"/>
        <v>-0.80000000002655702</v>
      </c>
      <c r="L10" s="26">
        <f t="shared" si="9"/>
        <v>-0.20000000006348301</v>
      </c>
      <c r="M10" s="6">
        <v>5.9596999999999998</v>
      </c>
      <c r="N10" s="35">
        <f t="shared" si="2"/>
        <v>797.76599999999996</v>
      </c>
      <c r="O10" s="24">
        <f t="shared" si="10"/>
        <v>-0.199999999949796</v>
      </c>
      <c r="P10" s="25">
        <f t="shared" si="11"/>
        <v>-0.90000000000145497</v>
      </c>
      <c r="Q10" s="26">
        <f t="shared" si="12"/>
        <v>-0.199999999949796</v>
      </c>
      <c r="R10" s="41"/>
      <c r="S10" s="21">
        <f t="shared" si="3"/>
        <v>44964</v>
      </c>
      <c r="T10" s="42">
        <v>10.3118</v>
      </c>
      <c r="U10" s="43">
        <f t="shared" si="13"/>
        <v>-0.29999999999930099</v>
      </c>
      <c r="V10" s="44">
        <f t="shared" si="14"/>
        <v>-0.29999999999930099</v>
      </c>
      <c r="W10" s="45">
        <f t="shared" si="15"/>
        <v>0.29999999999930099</v>
      </c>
      <c r="X10" s="6">
        <v>15.2341</v>
      </c>
      <c r="Y10" s="43">
        <f t="shared" si="16"/>
        <v>-0.19999999999953399</v>
      </c>
      <c r="Z10" s="44">
        <f t="shared" si="17"/>
        <v>-0.799999999999912</v>
      </c>
      <c r="AA10" s="45">
        <f t="shared" si="18"/>
        <v>-0.19999999999953399</v>
      </c>
      <c r="AB10" s="49">
        <v>10.149100000000001</v>
      </c>
      <c r="AC10" s="43">
        <f t="shared" si="19"/>
        <v>-9.99999999997669E-2</v>
      </c>
      <c r="AD10" s="44">
        <f t="shared" si="20"/>
        <v>-0.39999999999906799</v>
      </c>
      <c r="AE10" s="45">
        <f t="shared" si="21"/>
        <v>-9.99999999997669E-2</v>
      </c>
      <c r="AF10" s="50">
        <v>80637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44965</v>
      </c>
      <c r="B11" s="22">
        <v>791.80629999999996</v>
      </c>
      <c r="C11" s="27">
        <v>7.1344000000000003</v>
      </c>
      <c r="D11" s="23">
        <f t="shared" si="0"/>
        <v>798.94069999999999</v>
      </c>
      <c r="E11" s="24">
        <f t="shared" si="4"/>
        <v>-0.199999999949796</v>
      </c>
      <c r="F11" s="25">
        <f t="shared" si="5"/>
        <v>-0.69999999993797202</v>
      </c>
      <c r="G11" s="26">
        <f t="shared" si="6"/>
        <v>-0.199999999949796</v>
      </c>
      <c r="H11" s="6">
        <v>7.3329000000000004</v>
      </c>
      <c r="I11" s="35">
        <f t="shared" si="1"/>
        <v>799.13919999999996</v>
      </c>
      <c r="J11" s="24">
        <f t="shared" si="7"/>
        <v>-0.199999999949796</v>
      </c>
      <c r="K11" s="25">
        <f t="shared" si="8"/>
        <v>-0.99999999997635303</v>
      </c>
      <c r="L11" s="26">
        <f t="shared" si="9"/>
        <v>-0.199999999949796</v>
      </c>
      <c r="M11" s="6">
        <v>5.9598000000000004</v>
      </c>
      <c r="N11" s="35">
        <f t="shared" si="2"/>
        <v>797.76610000000005</v>
      </c>
      <c r="O11" s="24">
        <f t="shared" si="10"/>
        <v>9.9999999974897905E-2</v>
      </c>
      <c r="P11" s="25">
        <f t="shared" si="11"/>
        <v>-0.80000000002655702</v>
      </c>
      <c r="Q11" s="26">
        <f t="shared" si="12"/>
        <v>9.9999999974897905E-2</v>
      </c>
      <c r="R11" s="41"/>
      <c r="S11" s="21">
        <f t="shared" si="3"/>
        <v>44965</v>
      </c>
      <c r="T11" s="42">
        <v>10.3117</v>
      </c>
      <c r="U11" s="43">
        <f t="shared" si="13"/>
        <v>-9.99999999997669E-2</v>
      </c>
      <c r="V11" s="44">
        <f t="shared" si="14"/>
        <v>-0.39999999999906799</v>
      </c>
      <c r="W11" s="45">
        <f t="shared" si="15"/>
        <v>9.99999999997669E-2</v>
      </c>
      <c r="X11" s="6">
        <v>15.2342</v>
      </c>
      <c r="Y11" s="43">
        <f t="shared" si="16"/>
        <v>9.99999999997669E-2</v>
      </c>
      <c r="Z11" s="44">
        <f t="shared" si="17"/>
        <v>-0.70000000000014495</v>
      </c>
      <c r="AA11" s="45">
        <f t="shared" si="18"/>
        <v>9.99999999997669E-2</v>
      </c>
      <c r="AB11" s="49">
        <v>10.1488</v>
      </c>
      <c r="AC11" s="43">
        <f t="shared" si="19"/>
        <v>-0.30000000000107702</v>
      </c>
      <c r="AD11" s="44">
        <f t="shared" si="20"/>
        <v>-0.70000000000014495</v>
      </c>
      <c r="AE11" s="45">
        <f t="shared" si="21"/>
        <v>-0.30000000000107702</v>
      </c>
      <c r="AF11" s="50">
        <v>80640</v>
      </c>
      <c r="AG11" s="58">
        <f t="shared" si="22"/>
        <v>20</v>
      </c>
      <c r="AH11" s="61"/>
      <c r="AI11" s="60"/>
      <c r="AJ11"/>
      <c r="AK11"/>
      <c r="AL11"/>
      <c r="AM11"/>
    </row>
    <row r="12" spans="1:48">
      <c r="A12" s="21">
        <v>44966</v>
      </c>
      <c r="B12" s="22">
        <v>791.80629999999996</v>
      </c>
      <c r="C12" s="27">
        <v>7.1341000000000001</v>
      </c>
      <c r="D12" s="23">
        <f t="shared" si="0"/>
        <v>798.94039999999995</v>
      </c>
      <c r="E12" s="24">
        <f t="shared" si="4"/>
        <v>-0.30000000003838101</v>
      </c>
      <c r="F12" s="25">
        <f t="shared" si="5"/>
        <v>-0.99999999997635303</v>
      </c>
      <c r="G12" s="26">
        <f t="shared" si="6"/>
        <v>-0.30000000003838101</v>
      </c>
      <c r="H12" s="6">
        <v>7.3327999999999998</v>
      </c>
      <c r="I12" s="35">
        <f t="shared" si="1"/>
        <v>799.13909999999998</v>
      </c>
      <c r="J12" s="24">
        <f t="shared" si="7"/>
        <v>-9.9999999974897905E-2</v>
      </c>
      <c r="K12" s="25">
        <f t="shared" si="8"/>
        <v>-1.09999999995125</v>
      </c>
      <c r="L12" s="26">
        <f t="shared" si="9"/>
        <v>-9.9999999974897905E-2</v>
      </c>
      <c r="M12" s="6">
        <v>5.9592999999999998</v>
      </c>
      <c r="N12" s="35">
        <f t="shared" si="2"/>
        <v>797.76559999999995</v>
      </c>
      <c r="O12" s="24">
        <f t="shared" si="10"/>
        <v>-0.49999999998817701</v>
      </c>
      <c r="P12" s="25">
        <f t="shared" si="11"/>
        <v>-1.30000000001473</v>
      </c>
      <c r="Q12" s="26">
        <f t="shared" si="12"/>
        <v>-0.49999999998817701</v>
      </c>
      <c r="R12" s="41"/>
      <c r="S12" s="21">
        <f t="shared" si="3"/>
        <v>44966</v>
      </c>
      <c r="T12" s="42">
        <v>10.311500000000001</v>
      </c>
      <c r="U12" s="43">
        <f t="shared" si="13"/>
        <v>-0.19999999999953399</v>
      </c>
      <c r="V12" s="44">
        <f t="shared" si="14"/>
        <v>-0.59999999999860198</v>
      </c>
      <c r="W12" s="45">
        <f t="shared" si="15"/>
        <v>0.19999999999953399</v>
      </c>
      <c r="X12" s="6">
        <v>15.233700000000001</v>
      </c>
      <c r="Y12" s="43">
        <f t="shared" si="16"/>
        <v>-0.49999999999883499</v>
      </c>
      <c r="Z12" s="44">
        <f t="shared" si="17"/>
        <v>-1.1999999999989801</v>
      </c>
      <c r="AA12" s="45">
        <f t="shared" si="18"/>
        <v>-0.49999999999883499</v>
      </c>
      <c r="AB12" s="49">
        <v>10.1486</v>
      </c>
      <c r="AC12" s="43">
        <f t="shared" si="19"/>
        <v>-0.19999999999953399</v>
      </c>
      <c r="AD12" s="44">
        <f t="shared" si="20"/>
        <v>-0.89999999999967895</v>
      </c>
      <c r="AE12" s="45">
        <f t="shared" si="21"/>
        <v>-0.19999999999953399</v>
      </c>
      <c r="AF12" s="50">
        <v>80643</v>
      </c>
      <c r="AG12" s="58">
        <f t="shared" si="22"/>
        <v>23</v>
      </c>
      <c r="AH12" s="59"/>
      <c r="AI12" s="60"/>
      <c r="AJ12"/>
      <c r="AK12"/>
      <c r="AL12"/>
      <c r="AM12"/>
    </row>
    <row r="13" spans="1:48">
      <c r="A13" s="21">
        <v>44967</v>
      </c>
      <c r="B13" s="22">
        <v>791.80629999999996</v>
      </c>
      <c r="C13" s="27">
        <v>7.1340000000000003</v>
      </c>
      <c r="D13" s="23">
        <f t="shared" si="0"/>
        <v>798.94029999999998</v>
      </c>
      <c r="E13" s="24">
        <f t="shared" si="4"/>
        <v>-9.9999999974897905E-2</v>
      </c>
      <c r="F13" s="25">
        <f t="shared" si="5"/>
        <v>-1.09999999995125</v>
      </c>
      <c r="G13" s="26">
        <f t="shared" si="6"/>
        <v>-9.9999999974897905E-2</v>
      </c>
      <c r="H13" s="6">
        <v>7.3324999999999996</v>
      </c>
      <c r="I13" s="35">
        <f t="shared" si="1"/>
        <v>799.13879999999995</v>
      </c>
      <c r="J13" s="24">
        <f t="shared" si="7"/>
        <v>-0.30000000003838101</v>
      </c>
      <c r="K13" s="25">
        <f t="shared" si="8"/>
        <v>-1.39999999998963</v>
      </c>
      <c r="L13" s="26">
        <f t="shared" si="9"/>
        <v>-0.30000000003838101</v>
      </c>
      <c r="M13" s="6">
        <v>5.9591000000000003</v>
      </c>
      <c r="N13" s="35">
        <f t="shared" si="2"/>
        <v>797.7654</v>
      </c>
      <c r="O13" s="24">
        <f t="shared" si="10"/>
        <v>-0.199999999949796</v>
      </c>
      <c r="P13" s="25">
        <f t="shared" si="11"/>
        <v>-1.4999999999645299</v>
      </c>
      <c r="Q13" s="26">
        <f t="shared" si="12"/>
        <v>-0.199999999949796</v>
      </c>
      <c r="R13" s="41"/>
      <c r="S13" s="21">
        <f t="shared" si="3"/>
        <v>44967</v>
      </c>
      <c r="T13" s="42">
        <v>10.311400000000001</v>
      </c>
      <c r="U13" s="43">
        <f t="shared" si="13"/>
        <v>-9.99999999997669E-2</v>
      </c>
      <c r="V13" s="44">
        <f t="shared" si="14"/>
        <v>-0.69999999999836904</v>
      </c>
      <c r="W13" s="45">
        <f t="shared" si="15"/>
        <v>9.99999999997669E-2</v>
      </c>
      <c r="X13" s="6">
        <v>15.233499999999999</v>
      </c>
      <c r="Y13" s="43">
        <f t="shared" si="16"/>
        <v>-0.20000000000130999</v>
      </c>
      <c r="Z13" s="44">
        <f t="shared" si="17"/>
        <v>-1.4000000000002899</v>
      </c>
      <c r="AA13" s="45">
        <f t="shared" si="18"/>
        <v>-0.20000000000130999</v>
      </c>
      <c r="AB13" s="49">
        <v>10.1485</v>
      </c>
      <c r="AC13" s="43">
        <f t="shared" si="19"/>
        <v>-9.99999999997669E-2</v>
      </c>
      <c r="AD13" s="44">
        <f t="shared" si="20"/>
        <v>-0.999999999999446</v>
      </c>
      <c r="AE13" s="45">
        <f t="shared" si="21"/>
        <v>-9.99999999997669E-2</v>
      </c>
      <c r="AF13" s="50">
        <v>80646</v>
      </c>
      <c r="AG13" s="58">
        <f t="shared" si="22"/>
        <v>26</v>
      </c>
      <c r="AH13" s="61"/>
      <c r="AI13" s="60"/>
      <c r="AJ13"/>
      <c r="AK13"/>
      <c r="AL13"/>
      <c r="AM13"/>
    </row>
    <row r="14" spans="1:48">
      <c r="A14" s="21">
        <v>44968</v>
      </c>
      <c r="B14" s="22">
        <v>791.80629999999996</v>
      </c>
      <c r="C14" s="27">
        <v>7.1337999999999999</v>
      </c>
      <c r="D14" s="23">
        <f t="shared" si="0"/>
        <v>798.94010000000003</v>
      </c>
      <c r="E14" s="24">
        <f t="shared" si="4"/>
        <v>-0.20000000006348301</v>
      </c>
      <c r="F14" s="25">
        <f t="shared" si="5"/>
        <v>-1.30000000001473</v>
      </c>
      <c r="G14" s="26">
        <f t="shared" si="6"/>
        <v>-0.20000000006348301</v>
      </c>
      <c r="H14" s="6">
        <v>7.3323</v>
      </c>
      <c r="I14" s="35">
        <f t="shared" si="1"/>
        <v>799.1386</v>
      </c>
      <c r="J14" s="24">
        <f t="shared" si="7"/>
        <v>-0.199999999949796</v>
      </c>
      <c r="K14" s="25">
        <f t="shared" si="8"/>
        <v>-1.5999999999394301</v>
      </c>
      <c r="L14" s="26">
        <f t="shared" si="9"/>
        <v>-0.199999999949796</v>
      </c>
      <c r="M14" s="6">
        <v>5.9592000000000001</v>
      </c>
      <c r="N14" s="35">
        <f t="shared" si="2"/>
        <v>797.76549999999997</v>
      </c>
      <c r="O14" s="24">
        <f t="shared" si="10"/>
        <v>9.9999999974897905E-2</v>
      </c>
      <c r="P14" s="25">
        <f t="shared" si="11"/>
        <v>-1.39999999998963</v>
      </c>
      <c r="Q14" s="26">
        <f t="shared" si="12"/>
        <v>9.9999999974897905E-2</v>
      </c>
      <c r="R14" s="41"/>
      <c r="S14" s="21">
        <f t="shared" si="3"/>
        <v>44968</v>
      </c>
      <c r="T14" s="42">
        <v>10.3111</v>
      </c>
      <c r="U14" s="43">
        <f t="shared" si="13"/>
        <v>-0.30000000000107702</v>
      </c>
      <c r="V14" s="44">
        <f t="shared" si="14"/>
        <v>-0.999999999999446</v>
      </c>
      <c r="W14" s="45">
        <f t="shared" si="15"/>
        <v>0.30000000000107702</v>
      </c>
      <c r="X14" s="6">
        <v>15.2334</v>
      </c>
      <c r="Y14" s="43">
        <f t="shared" si="16"/>
        <v>-9.99999999997669E-2</v>
      </c>
      <c r="Z14" s="44">
        <f t="shared" si="17"/>
        <v>-1.50000000000006</v>
      </c>
      <c r="AA14" s="45">
        <f t="shared" si="18"/>
        <v>-9.99999999997669E-2</v>
      </c>
      <c r="AB14" s="49">
        <v>10.148199999999999</v>
      </c>
      <c r="AC14" s="43">
        <f t="shared" si="19"/>
        <v>-0.30000000000107702</v>
      </c>
      <c r="AD14" s="44">
        <f t="shared" si="20"/>
        <v>-1.3000000000005201</v>
      </c>
      <c r="AE14" s="45">
        <f t="shared" si="21"/>
        <v>-0.30000000000107702</v>
      </c>
      <c r="AF14" s="50">
        <v>80649</v>
      </c>
      <c r="AG14" s="58">
        <f t="shared" si="22"/>
        <v>29</v>
      </c>
      <c r="AH14" s="59"/>
      <c r="AI14" s="60"/>
      <c r="AJ14"/>
      <c r="AK14"/>
      <c r="AL14"/>
      <c r="AM14"/>
    </row>
    <row r="15" spans="1:48">
      <c r="A15" s="21">
        <v>44969</v>
      </c>
      <c r="B15" s="22">
        <v>791.80629999999996</v>
      </c>
      <c r="C15" s="27">
        <v>7.1337999999999999</v>
      </c>
      <c r="D15" s="23">
        <f t="shared" si="0"/>
        <v>798.94010000000003</v>
      </c>
      <c r="E15" s="24">
        <f t="shared" si="4"/>
        <v>0</v>
      </c>
      <c r="F15" s="25">
        <f t="shared" si="5"/>
        <v>-1.30000000001473</v>
      </c>
      <c r="G15" s="26">
        <f t="shared" si="6"/>
        <v>0</v>
      </c>
      <c r="H15" s="6">
        <v>7.3320999999999996</v>
      </c>
      <c r="I15" s="35">
        <f t="shared" si="1"/>
        <v>799.13840000000005</v>
      </c>
      <c r="J15" s="24">
        <f t="shared" si="7"/>
        <v>-0.20000000006348301</v>
      </c>
      <c r="K15" s="25">
        <f t="shared" si="8"/>
        <v>-1.8000000000029099</v>
      </c>
      <c r="L15" s="26">
        <f t="shared" si="9"/>
        <v>-0.20000000006348301</v>
      </c>
      <c r="M15" s="6">
        <v>5.9587000000000003</v>
      </c>
      <c r="N15" s="35">
        <f t="shared" si="2"/>
        <v>797.76499999999999</v>
      </c>
      <c r="O15" s="24">
        <f t="shared" si="10"/>
        <v>-0.49999999998817701</v>
      </c>
      <c r="P15" s="25">
        <f t="shared" si="11"/>
        <v>-1.8999999999778101</v>
      </c>
      <c r="Q15" s="26">
        <f t="shared" si="12"/>
        <v>-0.49999999998817701</v>
      </c>
      <c r="R15" s="41"/>
      <c r="S15" s="21">
        <f t="shared" si="3"/>
        <v>44969</v>
      </c>
      <c r="T15" s="42">
        <v>10.3109</v>
      </c>
      <c r="U15" s="43">
        <f t="shared" si="13"/>
        <v>-0.19999999999953399</v>
      </c>
      <c r="V15" s="44">
        <f t="shared" si="14"/>
        <v>-1.1999999999989801</v>
      </c>
      <c r="W15" s="45">
        <f t="shared" si="15"/>
        <v>0.19999999999953399</v>
      </c>
      <c r="X15" s="6">
        <v>15.2331</v>
      </c>
      <c r="Y15" s="43">
        <f t="shared" si="16"/>
        <v>-0.29999999999930099</v>
      </c>
      <c r="Z15" s="44">
        <f t="shared" si="17"/>
        <v>-1.7999999999993599</v>
      </c>
      <c r="AA15" s="45">
        <f t="shared" si="18"/>
        <v>-0.29999999999930099</v>
      </c>
      <c r="AB15" s="49">
        <v>10.148</v>
      </c>
      <c r="AC15" s="43">
        <f t="shared" si="19"/>
        <v>-0.19999999999953399</v>
      </c>
      <c r="AD15" s="44">
        <f t="shared" si="20"/>
        <v>-1.50000000000006</v>
      </c>
      <c r="AE15" s="45">
        <f t="shared" si="21"/>
        <v>-0.19999999999953399</v>
      </c>
      <c r="AF15" s="50">
        <v>80652</v>
      </c>
      <c r="AG15" s="58">
        <f t="shared" si="22"/>
        <v>32</v>
      </c>
      <c r="AH15" s="61"/>
      <c r="AI15" s="60"/>
      <c r="AJ15"/>
      <c r="AK15"/>
      <c r="AL15"/>
      <c r="AM15"/>
    </row>
    <row r="16" spans="1:48">
      <c r="A16" s="21">
        <v>44970</v>
      </c>
      <c r="B16" s="22">
        <v>791.80629999999996</v>
      </c>
      <c r="C16" s="27">
        <v>7.1334</v>
      </c>
      <c r="D16" s="23">
        <f t="shared" si="0"/>
        <v>798.93970000000002</v>
      </c>
      <c r="E16" s="24">
        <f t="shared" si="4"/>
        <v>-0.39999999989959201</v>
      </c>
      <c r="F16" s="25">
        <f t="shared" si="5"/>
        <v>-1.69999999991433</v>
      </c>
      <c r="G16" s="26">
        <f t="shared" si="6"/>
        <v>-0.39999999989959201</v>
      </c>
      <c r="H16" s="6">
        <v>7.3323999999999998</v>
      </c>
      <c r="I16" s="35">
        <f t="shared" si="1"/>
        <v>799.13869999999997</v>
      </c>
      <c r="J16" s="24">
        <f t="shared" si="7"/>
        <v>0.30000000003838101</v>
      </c>
      <c r="K16" s="25">
        <f t="shared" si="8"/>
        <v>-1.4999999999645299</v>
      </c>
      <c r="L16" s="26">
        <f t="shared" si="9"/>
        <v>0.30000000003838101</v>
      </c>
      <c r="M16" s="6">
        <v>5.9584999999999999</v>
      </c>
      <c r="N16" s="35">
        <f t="shared" si="2"/>
        <v>797.76480000000004</v>
      </c>
      <c r="O16" s="24">
        <f t="shared" si="10"/>
        <v>-0.20000000006348301</v>
      </c>
      <c r="P16" s="25">
        <f t="shared" si="11"/>
        <v>-2.1000000000412902</v>
      </c>
      <c r="Q16" s="26">
        <f t="shared" si="12"/>
        <v>-0.20000000006348301</v>
      </c>
      <c r="R16" s="41"/>
      <c r="S16" s="21">
        <f t="shared" si="3"/>
        <v>44970</v>
      </c>
      <c r="T16" s="42">
        <v>10.311</v>
      </c>
      <c r="U16" s="43">
        <f t="shared" si="13"/>
        <v>9.99999999997669E-2</v>
      </c>
      <c r="V16" s="44">
        <f t="shared" si="14"/>
        <v>-1.0999999999992101</v>
      </c>
      <c r="W16" s="45">
        <f t="shared" si="15"/>
        <v>-9.99999999997669E-2</v>
      </c>
      <c r="X16" s="6">
        <v>15.232900000000001</v>
      </c>
      <c r="Y16" s="43">
        <f t="shared" si="16"/>
        <v>-0.19999999999953399</v>
      </c>
      <c r="Z16" s="44">
        <f t="shared" si="17"/>
        <v>-1.99999999999889</v>
      </c>
      <c r="AA16" s="45">
        <f t="shared" si="18"/>
        <v>-0.19999999999953399</v>
      </c>
      <c r="AB16" s="49">
        <v>10.148099999999999</v>
      </c>
      <c r="AC16" s="43">
        <f t="shared" si="19"/>
        <v>9.99999999997669E-2</v>
      </c>
      <c r="AD16" s="44">
        <f t="shared" si="20"/>
        <v>-1.4000000000002899</v>
      </c>
      <c r="AE16" s="45">
        <f t="shared" si="21"/>
        <v>9.99999999997669E-2</v>
      </c>
      <c r="AF16" s="50">
        <v>80655</v>
      </c>
      <c r="AG16" s="58">
        <f t="shared" si="22"/>
        <v>35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44971</v>
      </c>
      <c r="B17" s="22">
        <v>791.80629999999996</v>
      </c>
      <c r="C17" s="27">
        <v>7.1332000000000004</v>
      </c>
      <c r="D17" s="23">
        <f t="shared" si="0"/>
        <v>798.93949999999995</v>
      </c>
      <c r="E17" s="24">
        <f t="shared" si="4"/>
        <v>-0.20000000006348301</v>
      </c>
      <c r="F17" s="25">
        <f t="shared" si="5"/>
        <v>-1.8999999999778101</v>
      </c>
      <c r="G17" s="26">
        <f t="shared" si="6"/>
        <v>-0.20000000006348301</v>
      </c>
      <c r="H17" s="6">
        <v>7.3316999999999997</v>
      </c>
      <c r="I17" s="35">
        <f t="shared" si="1"/>
        <v>799.13800000000003</v>
      </c>
      <c r="J17" s="24">
        <f t="shared" si="7"/>
        <v>-0.70000000005165897</v>
      </c>
      <c r="K17" s="25">
        <f t="shared" si="8"/>
        <v>-2.2000000000161899</v>
      </c>
      <c r="L17" s="26">
        <f t="shared" si="9"/>
        <v>-0.70000000005165897</v>
      </c>
      <c r="M17" s="6">
        <v>5.9583000000000004</v>
      </c>
      <c r="N17" s="35">
        <f t="shared" si="2"/>
        <v>797.76459999999997</v>
      </c>
      <c r="O17" s="24">
        <f t="shared" si="10"/>
        <v>-0.199999999949796</v>
      </c>
      <c r="P17" s="25">
        <f t="shared" si="11"/>
        <v>-2.2999999999910901</v>
      </c>
      <c r="Q17" s="26">
        <f t="shared" si="12"/>
        <v>-0.199999999949796</v>
      </c>
      <c r="R17" s="41"/>
      <c r="S17" s="21">
        <f t="shared" si="3"/>
        <v>44971</v>
      </c>
      <c r="T17" s="42">
        <v>10.310499999999999</v>
      </c>
      <c r="U17" s="43">
        <f t="shared" si="13"/>
        <v>-0.50000000000061096</v>
      </c>
      <c r="V17" s="44">
        <f t="shared" si="14"/>
        <v>-1.59999999999982</v>
      </c>
      <c r="W17" s="45">
        <f t="shared" si="15"/>
        <v>0.50000000000061096</v>
      </c>
      <c r="X17" s="6">
        <v>15.2326</v>
      </c>
      <c r="Y17" s="43">
        <f t="shared" si="16"/>
        <v>-0.30000000000107702</v>
      </c>
      <c r="Z17" s="44">
        <f t="shared" si="17"/>
        <v>-2.2999999999999701</v>
      </c>
      <c r="AA17" s="45">
        <f t="shared" si="18"/>
        <v>-0.30000000000107702</v>
      </c>
      <c r="AB17" s="49">
        <v>10.147600000000001</v>
      </c>
      <c r="AC17" s="43">
        <f t="shared" si="19"/>
        <v>-0.49999999999883499</v>
      </c>
      <c r="AD17" s="44">
        <f t="shared" si="20"/>
        <v>-1.8999999999991199</v>
      </c>
      <c r="AE17" s="45">
        <f t="shared" si="21"/>
        <v>-0.49999999999883499</v>
      </c>
      <c r="AF17" s="50">
        <v>80658</v>
      </c>
      <c r="AG17" s="58">
        <f t="shared" si="22"/>
        <v>38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44972</v>
      </c>
      <c r="B18" s="22">
        <v>791.80629999999996</v>
      </c>
      <c r="C18" s="27">
        <v>7.1330999999999998</v>
      </c>
      <c r="D18" s="23">
        <f t="shared" si="0"/>
        <v>798.93939999999998</v>
      </c>
      <c r="E18" s="24">
        <f t="shared" si="4"/>
        <v>-9.9999999974897905E-2</v>
      </c>
      <c r="F18" s="25">
        <f t="shared" si="5"/>
        <v>-1.9999999999527101</v>
      </c>
      <c r="G18" s="26">
        <f t="shared" si="6"/>
        <v>-9.9999999974897905E-2</v>
      </c>
      <c r="H18" s="6">
        <v>7.3315000000000001</v>
      </c>
      <c r="I18" s="35">
        <f t="shared" si="1"/>
        <v>799.13779999999997</v>
      </c>
      <c r="J18" s="24">
        <f t="shared" si="7"/>
        <v>-0.199999999949796</v>
      </c>
      <c r="K18" s="25">
        <f t="shared" si="8"/>
        <v>-2.39999999996598</v>
      </c>
      <c r="L18" s="26">
        <f t="shared" si="9"/>
        <v>-0.199999999949796</v>
      </c>
      <c r="M18" s="6">
        <v>5.9581999999999997</v>
      </c>
      <c r="N18" s="35">
        <f t="shared" si="2"/>
        <v>797.7645</v>
      </c>
      <c r="O18" s="24">
        <f t="shared" si="10"/>
        <v>-9.9999999974897905E-2</v>
      </c>
      <c r="P18" s="25">
        <f t="shared" si="11"/>
        <v>-2.39999999996598</v>
      </c>
      <c r="Q18" s="26">
        <f t="shared" si="12"/>
        <v>-9.9999999974897905E-2</v>
      </c>
      <c r="R18" s="41"/>
      <c r="S18" s="21">
        <f t="shared" si="3"/>
        <v>44972</v>
      </c>
      <c r="T18" s="42">
        <v>10.3103</v>
      </c>
      <c r="U18" s="43">
        <f t="shared" si="13"/>
        <v>-0.19999999999953399</v>
      </c>
      <c r="V18" s="44">
        <f t="shared" si="14"/>
        <v>-1.7999999999993599</v>
      </c>
      <c r="W18" s="45">
        <f t="shared" si="15"/>
        <v>0.19999999999953399</v>
      </c>
      <c r="X18" s="6">
        <v>15.2325</v>
      </c>
      <c r="Y18" s="43">
        <f t="shared" si="16"/>
        <v>-9.99999999997669E-2</v>
      </c>
      <c r="Z18" s="44">
        <f t="shared" si="17"/>
        <v>-2.3999999999997401</v>
      </c>
      <c r="AA18" s="45">
        <f t="shared" si="18"/>
        <v>-9.99999999997669E-2</v>
      </c>
      <c r="AB18" s="49">
        <v>10.147399999999999</v>
      </c>
      <c r="AC18" s="43">
        <f t="shared" si="19"/>
        <v>-0.20000000000130999</v>
      </c>
      <c r="AD18" s="44">
        <f t="shared" si="20"/>
        <v>-2.10000000000043</v>
      </c>
      <c r="AE18" s="45">
        <f t="shared" si="21"/>
        <v>-0.20000000000130999</v>
      </c>
      <c r="AF18" s="50">
        <v>80661</v>
      </c>
      <c r="AG18" s="58">
        <f t="shared" si="22"/>
        <v>41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44973</v>
      </c>
      <c r="B19" s="22">
        <v>791.80629999999996</v>
      </c>
      <c r="C19" s="27">
        <v>7.1327999999999996</v>
      </c>
      <c r="D19" s="23">
        <f t="shared" si="0"/>
        <v>798.93910000000005</v>
      </c>
      <c r="E19" s="24">
        <f t="shared" si="4"/>
        <v>-0.30000000003838101</v>
      </c>
      <c r="F19" s="25">
        <f t="shared" si="5"/>
        <v>-2.2999999999910901</v>
      </c>
      <c r="G19" s="26">
        <f t="shared" si="6"/>
        <v>-0.30000000003838101</v>
      </c>
      <c r="H19" s="6">
        <v>7.3312999999999997</v>
      </c>
      <c r="I19" s="35">
        <f t="shared" si="1"/>
        <v>799.13760000000002</v>
      </c>
      <c r="J19" s="24">
        <f t="shared" si="7"/>
        <v>-0.199999999949796</v>
      </c>
      <c r="K19" s="25">
        <f t="shared" si="8"/>
        <v>-2.5999999999157799</v>
      </c>
      <c r="L19" s="26">
        <f t="shared" si="9"/>
        <v>-0.199999999949796</v>
      </c>
      <c r="M19" s="6">
        <v>5.9579000000000004</v>
      </c>
      <c r="N19" s="35">
        <f t="shared" si="2"/>
        <v>797.76419999999996</v>
      </c>
      <c r="O19" s="24">
        <f t="shared" si="10"/>
        <v>-0.30000000003838101</v>
      </c>
      <c r="P19" s="25">
        <f t="shared" si="11"/>
        <v>-2.70000000000437</v>
      </c>
      <c r="Q19" s="26">
        <f t="shared" si="12"/>
        <v>-0.30000000003838101</v>
      </c>
      <c r="R19" s="41"/>
      <c r="S19" s="21">
        <f t="shared" si="3"/>
        <v>44973</v>
      </c>
      <c r="T19" s="42">
        <v>10.310600000000001</v>
      </c>
      <c r="U19" s="43">
        <f t="shared" si="13"/>
        <v>0.30000000000107702</v>
      </c>
      <c r="V19" s="44">
        <f t="shared" si="14"/>
        <v>-1.49999999999828</v>
      </c>
      <c r="W19" s="45">
        <f t="shared" si="15"/>
        <v>-0.30000000000107702</v>
      </c>
      <c r="X19" s="6">
        <v>15.2323</v>
      </c>
      <c r="Y19" s="43">
        <f t="shared" si="16"/>
        <v>-0.19999999999953399</v>
      </c>
      <c r="Z19" s="44">
        <f t="shared" si="17"/>
        <v>-2.59999999999927</v>
      </c>
      <c r="AA19" s="45">
        <f t="shared" si="18"/>
        <v>-0.19999999999953399</v>
      </c>
      <c r="AB19" s="49">
        <v>10.1472</v>
      </c>
      <c r="AC19" s="43">
        <f t="shared" si="19"/>
        <v>-0.19999999999953399</v>
      </c>
      <c r="AD19" s="44">
        <f t="shared" si="20"/>
        <v>-2.2999999999999701</v>
      </c>
      <c r="AE19" s="45">
        <f t="shared" si="21"/>
        <v>-0.19999999999953399</v>
      </c>
      <c r="AF19" s="50">
        <v>80664</v>
      </c>
      <c r="AG19" s="58">
        <f t="shared" si="22"/>
        <v>44</v>
      </c>
      <c r="AH19" s="61"/>
      <c r="AI19" s="60"/>
      <c r="AJ19"/>
      <c r="AK19"/>
      <c r="AL19"/>
      <c r="AM19"/>
    </row>
    <row r="20" spans="1:48">
      <c r="A20" s="21">
        <v>44974</v>
      </c>
      <c r="B20" s="22">
        <v>791.80629999999996</v>
      </c>
      <c r="C20" s="27">
        <v>7.1326000000000001</v>
      </c>
      <c r="D20" s="23">
        <f t="shared" si="0"/>
        <v>798.93889999999999</v>
      </c>
      <c r="E20" s="24">
        <f t="shared" si="4"/>
        <v>-0.199999999949796</v>
      </c>
      <c r="F20" s="25">
        <f t="shared" si="5"/>
        <v>-2.4999999999408802</v>
      </c>
      <c r="G20" s="26">
        <f t="shared" si="6"/>
        <v>-0.199999999949796</v>
      </c>
      <c r="H20" s="6">
        <v>7.3311999999999999</v>
      </c>
      <c r="I20" s="35">
        <f t="shared" si="1"/>
        <v>799.13750000000005</v>
      </c>
      <c r="J20" s="24">
        <f t="shared" si="7"/>
        <v>-0.10000000008858501</v>
      </c>
      <c r="K20" s="25">
        <f t="shared" si="8"/>
        <v>-2.70000000000437</v>
      </c>
      <c r="L20" s="26">
        <f t="shared" si="9"/>
        <v>-0.10000000008858501</v>
      </c>
      <c r="M20" s="6">
        <v>5.9577</v>
      </c>
      <c r="N20" s="35">
        <f t="shared" si="2"/>
        <v>797.76400000000001</v>
      </c>
      <c r="O20" s="24">
        <f t="shared" si="10"/>
        <v>-0.199999999949796</v>
      </c>
      <c r="P20" s="25">
        <f t="shared" si="11"/>
        <v>-2.8999999999541601</v>
      </c>
      <c r="Q20" s="26">
        <f t="shared" si="12"/>
        <v>-0.199999999949796</v>
      </c>
      <c r="R20" s="41"/>
      <c r="S20" s="21">
        <f t="shared" si="3"/>
        <v>44974</v>
      </c>
      <c r="T20" s="42">
        <v>10.309900000000001</v>
      </c>
      <c r="U20" s="43">
        <f t="shared" si="13"/>
        <v>-0.70000000000014495</v>
      </c>
      <c r="V20" s="44">
        <f t="shared" si="14"/>
        <v>-2.1999999999984299</v>
      </c>
      <c r="W20" s="45">
        <f t="shared" si="15"/>
        <v>0.70000000000014495</v>
      </c>
      <c r="X20" s="6">
        <v>15.2324</v>
      </c>
      <c r="Y20" s="43">
        <f t="shared" si="16"/>
        <v>9.99999999997669E-2</v>
      </c>
      <c r="Z20" s="44">
        <f t="shared" si="17"/>
        <v>-2.4999999999995</v>
      </c>
      <c r="AA20" s="45">
        <f t="shared" si="18"/>
        <v>9.99999999997669E-2</v>
      </c>
      <c r="AB20" s="49">
        <v>10.1471</v>
      </c>
      <c r="AC20" s="43">
        <f t="shared" si="19"/>
        <v>-9.99999999997669E-2</v>
      </c>
      <c r="AD20" s="44">
        <f t="shared" si="20"/>
        <v>-2.3999999999997401</v>
      </c>
      <c r="AE20" s="45">
        <f t="shared" si="21"/>
        <v>-9.99999999997669E-2</v>
      </c>
      <c r="AF20" s="50">
        <v>80667</v>
      </c>
      <c r="AG20" s="58">
        <f t="shared" si="22"/>
        <v>47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44976</v>
      </c>
      <c r="B21" s="22">
        <v>791.80629999999996</v>
      </c>
      <c r="C21" s="27">
        <v>7.1323999999999996</v>
      </c>
      <c r="D21" s="23">
        <f t="shared" si="0"/>
        <v>798.93870000000004</v>
      </c>
      <c r="E21" s="24">
        <f t="shared" si="4"/>
        <v>-0.20000000006348301</v>
      </c>
      <c r="F21" s="25">
        <f t="shared" si="5"/>
        <v>-2.70000000000437</v>
      </c>
      <c r="G21" s="26">
        <f t="shared" si="6"/>
        <v>-0.100000000031741</v>
      </c>
      <c r="H21" s="6">
        <v>7.3308999999999997</v>
      </c>
      <c r="I21" s="35">
        <f t="shared" si="1"/>
        <v>799.13720000000001</v>
      </c>
      <c r="J21" s="24">
        <f t="shared" si="7"/>
        <v>-0.29999999992469401</v>
      </c>
      <c r="K21" s="25">
        <f t="shared" si="8"/>
        <v>-2.9999999999290599</v>
      </c>
      <c r="L21" s="26">
        <f t="shared" si="9"/>
        <v>-0.149999999962347</v>
      </c>
      <c r="M21" s="6">
        <v>5.9574999999999996</v>
      </c>
      <c r="N21" s="35">
        <f t="shared" si="2"/>
        <v>797.76379999999995</v>
      </c>
      <c r="O21" s="24">
        <f t="shared" si="10"/>
        <v>-0.20000000006348301</v>
      </c>
      <c r="P21" s="25">
        <f t="shared" si="11"/>
        <v>-3.1000000000176402</v>
      </c>
      <c r="Q21" s="26">
        <f t="shared" si="12"/>
        <v>-0.100000000031741</v>
      </c>
      <c r="R21" s="41"/>
      <c r="S21" s="21">
        <f t="shared" si="3"/>
        <v>44976</v>
      </c>
      <c r="T21" s="42">
        <v>10.309699999999999</v>
      </c>
      <c r="U21" s="43">
        <f t="shared" si="13"/>
        <v>-0.20000000000130999</v>
      </c>
      <c r="V21" s="44">
        <f t="shared" si="14"/>
        <v>-2.3999999999997401</v>
      </c>
      <c r="W21" s="45">
        <f t="shared" si="15"/>
        <v>0.100000000000655</v>
      </c>
      <c r="X21" s="6">
        <v>15.2319</v>
      </c>
      <c r="Y21" s="43">
        <f t="shared" si="16"/>
        <v>-0.50000000000061096</v>
      </c>
      <c r="Z21" s="44">
        <f t="shared" si="17"/>
        <v>-3.0000000000001101</v>
      </c>
      <c r="AA21" s="45">
        <f t="shared" si="18"/>
        <v>-0.25000000000030598</v>
      </c>
      <c r="AB21" s="49">
        <v>10.146699999999999</v>
      </c>
      <c r="AC21" s="43">
        <f t="shared" si="19"/>
        <v>-0.40000000000084401</v>
      </c>
      <c r="AD21" s="44">
        <f t="shared" si="20"/>
        <v>-2.8000000000005798</v>
      </c>
      <c r="AE21" s="45">
        <f t="shared" si="21"/>
        <v>-0.20000000000042201</v>
      </c>
      <c r="AF21" s="50">
        <v>80670</v>
      </c>
      <c r="AG21" s="58">
        <f t="shared" si="22"/>
        <v>50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44978</v>
      </c>
      <c r="B22" s="22">
        <v>791.80629999999996</v>
      </c>
      <c r="C22" s="27">
        <v>7.1322000000000001</v>
      </c>
      <c r="D22" s="23">
        <f t="shared" ref="D22:D30" si="23">C22+B22</f>
        <v>798.93849999999998</v>
      </c>
      <c r="E22" s="24">
        <f t="shared" ref="E22:E24" si="24">(D22-D21)*1000</f>
        <v>-0.199999999949796</v>
      </c>
      <c r="F22" s="25">
        <f t="shared" ref="F22:F24" si="25">F21+E22</f>
        <v>-2.8999999999541601</v>
      </c>
      <c r="G22" s="26">
        <f t="shared" ref="G22:G24" si="26">E22/(A22-A21)</f>
        <v>-9.9999999974897905E-2</v>
      </c>
      <c r="H22" s="6">
        <v>7.3305999999999996</v>
      </c>
      <c r="I22" s="35">
        <f t="shared" ref="I22:I30" si="27">H22+B22</f>
        <v>799.13689999999997</v>
      </c>
      <c r="J22" s="24">
        <f t="shared" ref="J22:J24" si="28">(I22-I21)*1000</f>
        <v>-0.30000000003838101</v>
      </c>
      <c r="K22" s="25">
        <f t="shared" ref="K22:K24" si="29">K21+J22</f>
        <v>-3.2999999999674401</v>
      </c>
      <c r="L22" s="26">
        <f t="shared" ref="L22:L24" si="30">J22/(A22-A21)</f>
        <v>-0.15000000001919001</v>
      </c>
      <c r="M22" s="6">
        <v>5.9573</v>
      </c>
      <c r="N22" s="35">
        <f t="shared" ref="N22:N30" si="31">M22+B22</f>
        <v>797.7636</v>
      </c>
      <c r="O22" s="24">
        <f t="shared" ref="O22:O24" si="32">(N22-N21)*1000</f>
        <v>-0.199999999949796</v>
      </c>
      <c r="P22" s="25">
        <f t="shared" ref="P22:P24" si="33">P21+O22</f>
        <v>-3.2999999999674401</v>
      </c>
      <c r="Q22" s="26">
        <f t="shared" ref="Q22:Q24" si="34">O22/(A22-A21)</f>
        <v>-9.9999999974897905E-2</v>
      </c>
      <c r="R22" s="41"/>
      <c r="S22" s="21">
        <f t="shared" ref="S22:S30" si="35">A22</f>
        <v>44978</v>
      </c>
      <c r="T22" s="42">
        <v>10.309799999999999</v>
      </c>
      <c r="U22" s="43">
        <f t="shared" ref="U22:U24" si="36">(T22-T21)*1000</f>
        <v>9.99999999997669E-2</v>
      </c>
      <c r="V22" s="44">
        <f t="shared" ref="V22:V24" si="37">V21+U22</f>
        <v>-2.2999999999999701</v>
      </c>
      <c r="W22" s="45">
        <f t="shared" ref="W22:W24" si="38">U22/(S21-S22)</f>
        <v>-4.9999999999883499E-2</v>
      </c>
      <c r="X22" s="6">
        <v>15.231299999999999</v>
      </c>
      <c r="Y22" s="43">
        <f t="shared" ref="Y22:Y24" si="39">(X22-X21)*1000</f>
        <v>-0.60000000000037801</v>
      </c>
      <c r="Z22" s="44">
        <f t="shared" ref="Z22:Z24" si="40">Z21+Y22</f>
        <v>-3.6000000000004899</v>
      </c>
      <c r="AA22" s="45">
        <f t="shared" ref="AA22:AA24" si="41">Y22/(S22-S21)</f>
        <v>-0.300000000000189</v>
      </c>
      <c r="AB22" s="49">
        <v>10.1465</v>
      </c>
      <c r="AC22" s="43">
        <f t="shared" ref="AC22:AC24" si="42">(AB22-AB21)*1000</f>
        <v>-0.19999999999953399</v>
      </c>
      <c r="AD22" s="44">
        <f t="shared" ref="AD22:AD24" si="43">AD21+AC22</f>
        <v>-3.0000000000001101</v>
      </c>
      <c r="AE22" s="45">
        <f t="shared" ref="AE22:AE24" si="44">AC22/(S22-S21)</f>
        <v>-9.99999999997669E-2</v>
      </c>
      <c r="AF22" s="50">
        <v>80673</v>
      </c>
      <c r="AG22" s="58">
        <f t="shared" ref="AG22:AG30" si="45">AF22-80620</f>
        <v>53</v>
      </c>
      <c r="AH22" s="61"/>
      <c r="AI22" s="60"/>
      <c r="AJ22"/>
      <c r="AK22"/>
      <c r="AL22"/>
      <c r="AM22"/>
    </row>
    <row r="23" spans="1:48">
      <c r="A23" s="21">
        <v>44980</v>
      </c>
      <c r="B23" s="22">
        <v>791.80629999999996</v>
      </c>
      <c r="C23" s="27">
        <v>7.1319999999999997</v>
      </c>
      <c r="D23" s="23">
        <f t="shared" si="23"/>
        <v>798.93830000000003</v>
      </c>
      <c r="E23" s="24">
        <f t="shared" si="24"/>
        <v>-0.20000000006348301</v>
      </c>
      <c r="F23" s="25">
        <f t="shared" si="25"/>
        <v>-3.1000000000176402</v>
      </c>
      <c r="G23" s="26">
        <f t="shared" si="26"/>
        <v>-0.100000000031741</v>
      </c>
      <c r="H23" s="6">
        <v>7.3303000000000003</v>
      </c>
      <c r="I23" s="35">
        <f t="shared" si="27"/>
        <v>799.13660000000004</v>
      </c>
      <c r="J23" s="24">
        <f t="shared" si="28"/>
        <v>-0.30000000003838101</v>
      </c>
      <c r="K23" s="25">
        <f t="shared" si="29"/>
        <v>-3.6000000000058199</v>
      </c>
      <c r="L23" s="26">
        <f t="shared" si="30"/>
        <v>-0.15000000001919001</v>
      </c>
      <c r="M23" s="6">
        <v>5.9572000000000003</v>
      </c>
      <c r="N23" s="35">
        <f t="shared" si="31"/>
        <v>797.76350000000002</v>
      </c>
      <c r="O23" s="24">
        <f t="shared" si="32"/>
        <v>-9.9999999974897905E-2</v>
      </c>
      <c r="P23" s="25">
        <f t="shared" si="33"/>
        <v>-3.3999999999423398</v>
      </c>
      <c r="Q23" s="26">
        <f t="shared" si="34"/>
        <v>-4.9999999987449001E-2</v>
      </c>
      <c r="R23" s="41"/>
      <c r="S23" s="21">
        <f t="shared" si="35"/>
        <v>44980</v>
      </c>
      <c r="T23" s="42">
        <v>10.3093</v>
      </c>
      <c r="U23" s="43">
        <f t="shared" si="36"/>
        <v>-0.49999999999883499</v>
      </c>
      <c r="V23" s="44">
        <f t="shared" si="37"/>
        <v>-2.7999999999987999</v>
      </c>
      <c r="W23" s="45">
        <f t="shared" si="38"/>
        <v>0.24999999999941699</v>
      </c>
      <c r="X23" s="6">
        <v>15.2318</v>
      </c>
      <c r="Y23" s="43">
        <f t="shared" si="39"/>
        <v>0.50000000000061096</v>
      </c>
      <c r="Z23" s="44">
        <f t="shared" si="40"/>
        <v>-3.0999999999998802</v>
      </c>
      <c r="AA23" s="45">
        <f t="shared" si="41"/>
        <v>0.25000000000030598</v>
      </c>
      <c r="AB23" s="49">
        <v>10.1463</v>
      </c>
      <c r="AC23" s="43">
        <f t="shared" si="42"/>
        <v>-0.19999999999953399</v>
      </c>
      <c r="AD23" s="44">
        <f t="shared" si="43"/>
        <v>-3.1999999999996498</v>
      </c>
      <c r="AE23" s="45">
        <f t="shared" si="44"/>
        <v>-9.99999999997669E-2</v>
      </c>
      <c r="AF23" s="50">
        <v>80676</v>
      </c>
      <c r="AG23" s="58">
        <f t="shared" si="45"/>
        <v>56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44982</v>
      </c>
      <c r="B24" s="22">
        <v>791.80629999999996</v>
      </c>
      <c r="C24" s="27">
        <v>7.1315</v>
      </c>
      <c r="D24" s="23">
        <f t="shared" si="23"/>
        <v>798.93780000000004</v>
      </c>
      <c r="E24" s="24">
        <f t="shared" si="24"/>
        <v>-0.49999999998817701</v>
      </c>
      <c r="F24" s="25">
        <f t="shared" si="25"/>
        <v>-3.6000000000058199</v>
      </c>
      <c r="G24" s="26">
        <f t="shared" si="26"/>
        <v>-0.24999999999408801</v>
      </c>
      <c r="H24" s="6">
        <v>7.3304</v>
      </c>
      <c r="I24" s="35">
        <f t="shared" si="27"/>
        <v>799.13670000000002</v>
      </c>
      <c r="J24" s="24">
        <f t="shared" si="28"/>
        <v>0.10000000008858501</v>
      </c>
      <c r="K24" s="25">
        <f t="shared" si="29"/>
        <v>-3.49999999991724</v>
      </c>
      <c r="L24" s="26">
        <f t="shared" si="30"/>
        <v>5.0000000044292399E-2</v>
      </c>
      <c r="M24" s="6">
        <v>5.9569000000000001</v>
      </c>
      <c r="N24" s="35">
        <f t="shared" si="31"/>
        <v>797.76319999999998</v>
      </c>
      <c r="O24" s="24">
        <f t="shared" si="32"/>
        <v>-0.30000000003838101</v>
      </c>
      <c r="P24" s="25">
        <f t="shared" si="33"/>
        <v>-3.69999999998072</v>
      </c>
      <c r="Q24" s="26">
        <f t="shared" si="34"/>
        <v>-0.15000000001919001</v>
      </c>
      <c r="R24" s="41"/>
      <c r="S24" s="21">
        <f t="shared" si="35"/>
        <v>44982</v>
      </c>
      <c r="T24" s="42">
        <v>10.309100000000001</v>
      </c>
      <c r="U24" s="43">
        <f t="shared" si="36"/>
        <v>-0.19999999999953399</v>
      </c>
      <c r="V24" s="44">
        <f t="shared" si="37"/>
        <v>-2.99999999999834</v>
      </c>
      <c r="W24" s="45">
        <f t="shared" si="38"/>
        <v>9.99999999997669E-2</v>
      </c>
      <c r="X24" s="6">
        <v>15.2317</v>
      </c>
      <c r="Y24" s="43">
        <f t="shared" si="39"/>
        <v>-9.99999999997669E-2</v>
      </c>
      <c r="Z24" s="44">
        <f t="shared" si="40"/>
        <v>-3.1999999999996498</v>
      </c>
      <c r="AA24" s="45">
        <f t="shared" si="41"/>
        <v>-4.9999999999883499E-2</v>
      </c>
      <c r="AB24" s="49">
        <v>10.1465</v>
      </c>
      <c r="AC24" s="43">
        <f t="shared" si="42"/>
        <v>0.19999999999953399</v>
      </c>
      <c r="AD24" s="44">
        <f t="shared" si="43"/>
        <v>-3.0000000000001101</v>
      </c>
      <c r="AE24" s="45">
        <f t="shared" si="44"/>
        <v>9.99999999997669E-2</v>
      </c>
      <c r="AF24" s="50">
        <v>80679</v>
      </c>
      <c r="AG24" s="58">
        <f t="shared" si="45"/>
        <v>59</v>
      </c>
      <c r="AH24" s="59"/>
      <c r="AI24" s="60"/>
      <c r="AJ24" s="52"/>
      <c r="AK24" s="52"/>
      <c r="AL24" s="52"/>
      <c r="AM24" s="52"/>
    </row>
    <row r="25" spans="1:48">
      <c r="A25" s="21">
        <v>44984</v>
      </c>
      <c r="B25" s="22">
        <v>791.80629999999996</v>
      </c>
      <c r="C25" s="27">
        <v>7.1313000000000004</v>
      </c>
      <c r="D25" s="23">
        <f t="shared" si="23"/>
        <v>798.93759999999997</v>
      </c>
      <c r="E25" s="24">
        <f t="shared" ref="E25:E30" si="46">(D25-D24)*1000</f>
        <v>-0.199999999949796</v>
      </c>
      <c r="F25" s="25">
        <f t="shared" ref="F25:F30" si="47">F24+E25</f>
        <v>-3.7999999999556202</v>
      </c>
      <c r="G25" s="26">
        <f t="shared" ref="G25:G30" si="48">E25/(A25-A24)</f>
        <v>-9.9999999974897905E-2</v>
      </c>
      <c r="H25" s="6">
        <v>7.3304999999999998</v>
      </c>
      <c r="I25" s="35">
        <f t="shared" si="27"/>
        <v>799.13679999999999</v>
      </c>
      <c r="J25" s="24">
        <f t="shared" ref="J25:J30" si="49">(I25-I24)*1000</f>
        <v>9.9999999974897905E-2</v>
      </c>
      <c r="K25" s="25">
        <f t="shared" ref="K25:K30" si="50">K24+J25</f>
        <v>-3.3999999999423398</v>
      </c>
      <c r="L25" s="26">
        <f t="shared" ref="L25:L30" si="51">J25/(A25-A24)</f>
        <v>4.9999999987449001E-2</v>
      </c>
      <c r="M25" s="6">
        <v>5.9565999999999999</v>
      </c>
      <c r="N25" s="35">
        <f t="shared" si="31"/>
        <v>797.76289999999995</v>
      </c>
      <c r="O25" s="24">
        <f t="shared" ref="O25:O30" si="52">(N25-N24)*1000</f>
        <v>-0.30000000003838101</v>
      </c>
      <c r="P25" s="25">
        <f t="shared" ref="P25:P30" si="53">P24+O25</f>
        <v>-4.0000000000191003</v>
      </c>
      <c r="Q25" s="26">
        <f t="shared" ref="Q25:Q30" si="54">O25/(A25-A24)</f>
        <v>-0.15000000001919001</v>
      </c>
      <c r="R25" s="41"/>
      <c r="S25" s="21">
        <f t="shared" si="35"/>
        <v>44984</v>
      </c>
      <c r="T25" s="42">
        <v>10.3094</v>
      </c>
      <c r="U25" s="43">
        <f t="shared" ref="U25:U30" si="55">(T25-T24)*1000</f>
        <v>0.29999999999930099</v>
      </c>
      <c r="V25" s="44">
        <f t="shared" ref="V25:V30" si="56">V24+U25</f>
        <v>-2.6999999999990401</v>
      </c>
      <c r="W25" s="45">
        <f t="shared" ref="W25:W30" si="57">U25/(S24-S25)</f>
        <v>-0.14999999999965</v>
      </c>
      <c r="X25" s="6">
        <v>15.231299999999999</v>
      </c>
      <c r="Y25" s="43">
        <f t="shared" ref="Y25:Y30" si="58">(X25-X24)*1000</f>
        <v>-0.40000000000084401</v>
      </c>
      <c r="Z25" s="44">
        <f t="shared" ref="Z25:Z30" si="59">Z24+Y25</f>
        <v>-3.6000000000004899</v>
      </c>
      <c r="AA25" s="45">
        <f t="shared" ref="AA25:AA30" si="60">Y25/(S25-S24)</f>
        <v>-0.20000000000042201</v>
      </c>
      <c r="AB25" s="49">
        <v>10.1463</v>
      </c>
      <c r="AC25" s="43">
        <f t="shared" ref="AC25:AC30" si="61">(AB25-AB24)*1000</f>
        <v>-0.19999999999953399</v>
      </c>
      <c r="AD25" s="44">
        <f t="shared" ref="AD25:AD30" si="62">AD24+AC25</f>
        <v>-3.1999999999996498</v>
      </c>
      <c r="AE25" s="45">
        <f t="shared" ref="AE25:AE30" si="63">AC25/(S25-S24)</f>
        <v>-9.99999999997669E-2</v>
      </c>
      <c r="AF25" s="50">
        <v>80679</v>
      </c>
      <c r="AG25" s="58">
        <f t="shared" si="45"/>
        <v>59</v>
      </c>
      <c r="AH25" s="59"/>
      <c r="AI25" s="60"/>
      <c r="AJ25" s="52"/>
      <c r="AK25" s="52"/>
      <c r="AL25" s="52"/>
      <c r="AM25" s="52"/>
    </row>
    <row r="26" spans="1:48">
      <c r="A26" s="21">
        <v>44986</v>
      </c>
      <c r="B26" s="22">
        <v>791.80629999999996</v>
      </c>
      <c r="C26" s="27">
        <v>7.1315999999999997</v>
      </c>
      <c r="D26" s="23">
        <f t="shared" si="23"/>
        <v>798.93790000000001</v>
      </c>
      <c r="E26" s="24">
        <f t="shared" si="46"/>
        <v>0.30000000003838101</v>
      </c>
      <c r="F26" s="25">
        <f t="shared" si="47"/>
        <v>-3.49999999991724</v>
      </c>
      <c r="G26" s="26">
        <f t="shared" si="48"/>
        <v>0.15000000001919001</v>
      </c>
      <c r="H26" s="6">
        <v>7.3297000000000496</v>
      </c>
      <c r="I26" s="35">
        <f t="shared" si="27"/>
        <v>799.13599999999997</v>
      </c>
      <c r="J26" s="24">
        <f t="shared" si="49"/>
        <v>-0.80000000002655702</v>
      </c>
      <c r="K26" s="25">
        <f t="shared" si="50"/>
        <v>-4.1999999999688997</v>
      </c>
      <c r="L26" s="26">
        <f t="shared" si="51"/>
        <v>-0.40000000001327901</v>
      </c>
      <c r="M26" s="6">
        <v>5.9567000000000396</v>
      </c>
      <c r="N26" s="35">
        <f t="shared" si="31"/>
        <v>797.76300000000003</v>
      </c>
      <c r="O26" s="24">
        <f t="shared" si="52"/>
        <v>0.10000000008858501</v>
      </c>
      <c r="P26" s="25">
        <f t="shared" si="53"/>
        <v>-3.8999999999305102</v>
      </c>
      <c r="Q26" s="26">
        <f t="shared" si="54"/>
        <v>5.0000000044292399E-2</v>
      </c>
      <c r="R26" s="41"/>
      <c r="S26" s="21">
        <f t="shared" si="35"/>
        <v>44986</v>
      </c>
      <c r="T26" s="42">
        <v>10.309200000000001</v>
      </c>
      <c r="U26" s="43">
        <f t="shared" si="55"/>
        <v>-0.19999999999953399</v>
      </c>
      <c r="V26" s="44">
        <f t="shared" si="56"/>
        <v>-2.8999999999985699</v>
      </c>
      <c r="W26" s="45">
        <f t="shared" si="57"/>
        <v>9.99999999997669E-2</v>
      </c>
      <c r="X26" s="6">
        <v>15.2315</v>
      </c>
      <c r="Y26" s="43">
        <f t="shared" si="58"/>
        <v>0.20000000000130999</v>
      </c>
      <c r="Z26" s="44">
        <f t="shared" si="59"/>
        <v>-3.3999999999991801</v>
      </c>
      <c r="AA26" s="45">
        <f t="shared" si="60"/>
        <v>0.100000000000655</v>
      </c>
      <c r="AB26" s="49">
        <v>10.1469</v>
      </c>
      <c r="AC26" s="43">
        <f t="shared" si="61"/>
        <v>0.60000000000037801</v>
      </c>
      <c r="AD26" s="44">
        <f t="shared" si="62"/>
        <v>-2.59999999999927</v>
      </c>
      <c r="AE26" s="45">
        <f t="shared" si="63"/>
        <v>0.300000000000189</v>
      </c>
      <c r="AF26" s="50">
        <v>80682</v>
      </c>
      <c r="AG26" s="58">
        <f t="shared" si="45"/>
        <v>62</v>
      </c>
      <c r="AH26" s="61"/>
      <c r="AI26" s="60"/>
      <c r="AJ26" s="52"/>
      <c r="AK26" s="52"/>
      <c r="AL26" s="52"/>
      <c r="AM26" s="52"/>
    </row>
    <row r="27" spans="1:48">
      <c r="A27" s="21">
        <v>44988</v>
      </c>
      <c r="B27" s="22">
        <v>791.80629999999996</v>
      </c>
      <c r="C27" s="27">
        <v>7.1315</v>
      </c>
      <c r="D27" s="23">
        <f t="shared" si="23"/>
        <v>798.93780000000004</v>
      </c>
      <c r="E27" s="24">
        <f t="shared" si="46"/>
        <v>-0.10000000008858501</v>
      </c>
      <c r="F27" s="25">
        <f t="shared" si="47"/>
        <v>-3.6000000000058199</v>
      </c>
      <c r="G27" s="26">
        <f t="shared" si="48"/>
        <v>-5.0000000044292399E-2</v>
      </c>
      <c r="H27" s="6">
        <v>7.3297999999999996</v>
      </c>
      <c r="I27" s="35">
        <f t="shared" si="27"/>
        <v>799.13610000000006</v>
      </c>
      <c r="J27" s="24">
        <f t="shared" si="49"/>
        <v>9.9999999974897905E-2</v>
      </c>
      <c r="K27" s="25">
        <f t="shared" si="50"/>
        <v>-4.099999999994</v>
      </c>
      <c r="L27" s="26">
        <f t="shared" si="51"/>
        <v>4.9999999987449001E-2</v>
      </c>
      <c r="M27" s="6">
        <v>5.9568000000000003</v>
      </c>
      <c r="N27" s="35">
        <f t="shared" si="31"/>
        <v>797.76310000000001</v>
      </c>
      <c r="O27" s="24">
        <f t="shared" si="52"/>
        <v>9.9999999974897905E-2</v>
      </c>
      <c r="P27" s="25">
        <f t="shared" si="53"/>
        <v>-3.7999999999556202</v>
      </c>
      <c r="Q27" s="26">
        <f t="shared" si="54"/>
        <v>4.9999999987449001E-2</v>
      </c>
      <c r="R27" s="41"/>
      <c r="S27" s="21">
        <f t="shared" si="35"/>
        <v>44988</v>
      </c>
      <c r="T27" s="42">
        <v>10.308999999999999</v>
      </c>
      <c r="U27" s="43">
        <f t="shared" si="55"/>
        <v>-0.20000000000130999</v>
      </c>
      <c r="V27" s="44">
        <f t="shared" si="56"/>
        <v>-3.0999999999998802</v>
      </c>
      <c r="W27" s="45">
        <f t="shared" si="57"/>
        <v>0.100000000000655</v>
      </c>
      <c r="X27" s="6">
        <v>15.231400000000001</v>
      </c>
      <c r="Y27" s="43">
        <f t="shared" si="58"/>
        <v>-9.99999999997669E-2</v>
      </c>
      <c r="Z27" s="44">
        <f t="shared" si="59"/>
        <v>-3.4999999999989502</v>
      </c>
      <c r="AA27" s="45">
        <f t="shared" si="60"/>
        <v>-4.9999999999883499E-2</v>
      </c>
      <c r="AB27" s="49">
        <v>10.1464</v>
      </c>
      <c r="AC27" s="43">
        <f t="shared" si="61"/>
        <v>-0.50000000000061096</v>
      </c>
      <c r="AD27" s="44">
        <f t="shared" si="62"/>
        <v>-3.0999999999998802</v>
      </c>
      <c r="AE27" s="45">
        <f t="shared" si="63"/>
        <v>-0.25000000000030598</v>
      </c>
      <c r="AF27" s="50">
        <v>80682</v>
      </c>
      <c r="AG27" s="58">
        <f t="shared" si="45"/>
        <v>62</v>
      </c>
      <c r="AH27" s="61"/>
      <c r="AI27" s="60"/>
      <c r="AJ27" s="52"/>
      <c r="AK27" s="52"/>
      <c r="AL27" s="52"/>
      <c r="AM27" s="52"/>
    </row>
    <row r="28" spans="1:48">
      <c r="A28" s="21">
        <v>44990</v>
      </c>
      <c r="B28" s="22">
        <v>791.80629999999996</v>
      </c>
      <c r="C28" s="27">
        <v>7.1313000000000004</v>
      </c>
      <c r="D28" s="23">
        <f t="shared" si="23"/>
        <v>798.93759999999997</v>
      </c>
      <c r="E28" s="24">
        <f t="shared" si="46"/>
        <v>-0.199999999949796</v>
      </c>
      <c r="F28" s="25">
        <f t="shared" si="47"/>
        <v>-3.7999999999556202</v>
      </c>
      <c r="G28" s="26">
        <f t="shared" si="48"/>
        <v>-9.9999999974897905E-2</v>
      </c>
      <c r="H28" s="6">
        <v>7.3301999999999996</v>
      </c>
      <c r="I28" s="35">
        <f t="shared" si="27"/>
        <v>799.13649999999996</v>
      </c>
      <c r="J28" s="24">
        <f t="shared" si="49"/>
        <v>0.40000000001327901</v>
      </c>
      <c r="K28" s="25">
        <f t="shared" si="50"/>
        <v>-3.69999999998072</v>
      </c>
      <c r="L28" s="26">
        <f t="shared" si="51"/>
        <v>0.20000000000663901</v>
      </c>
      <c r="M28" s="6">
        <v>5.9564000000000004</v>
      </c>
      <c r="N28" s="35">
        <f t="shared" si="31"/>
        <v>797.7627</v>
      </c>
      <c r="O28" s="24">
        <f t="shared" si="52"/>
        <v>-0.40000000001327901</v>
      </c>
      <c r="P28" s="25">
        <f t="shared" si="53"/>
        <v>-4.1999999999688997</v>
      </c>
      <c r="Q28" s="26">
        <f t="shared" si="54"/>
        <v>-0.20000000000663901</v>
      </c>
      <c r="R28" s="41"/>
      <c r="S28" s="21">
        <f t="shared" si="35"/>
        <v>44990</v>
      </c>
      <c r="T28" s="42">
        <v>10.3088</v>
      </c>
      <c r="U28" s="43">
        <f t="shared" si="55"/>
        <v>-0.19999999999953399</v>
      </c>
      <c r="V28" s="44">
        <f t="shared" si="56"/>
        <v>-3.2999999999994101</v>
      </c>
      <c r="W28" s="45">
        <f t="shared" si="57"/>
        <v>9.99999999997669E-2</v>
      </c>
      <c r="X28" s="6">
        <v>15.2311</v>
      </c>
      <c r="Y28" s="43">
        <f t="shared" si="58"/>
        <v>-0.30000000000107702</v>
      </c>
      <c r="Z28" s="44">
        <f t="shared" si="59"/>
        <v>-3.80000000000003</v>
      </c>
      <c r="AA28" s="45">
        <f t="shared" si="60"/>
        <v>-0.15000000000053901</v>
      </c>
      <c r="AB28" s="49">
        <v>10.1462</v>
      </c>
      <c r="AC28" s="43">
        <f t="shared" si="61"/>
        <v>-0.19999999999953399</v>
      </c>
      <c r="AD28" s="44">
        <f t="shared" si="62"/>
        <v>-3.2999999999994101</v>
      </c>
      <c r="AE28" s="45">
        <f t="shared" si="63"/>
        <v>-9.99999999997669E-2</v>
      </c>
      <c r="AF28" s="50">
        <v>80682</v>
      </c>
      <c r="AG28" s="58">
        <f t="shared" si="45"/>
        <v>62</v>
      </c>
      <c r="AH28" s="61"/>
      <c r="AI28" s="60"/>
      <c r="AJ28" s="52"/>
      <c r="AK28" s="52"/>
      <c r="AL28" s="52"/>
      <c r="AM28" s="52"/>
    </row>
    <row r="29" spans="1:48">
      <c r="A29" s="21">
        <v>44992</v>
      </c>
      <c r="B29" s="22">
        <v>791.80629999999996</v>
      </c>
      <c r="C29" s="27">
        <v>7.1314000000000002</v>
      </c>
      <c r="D29" s="23">
        <f t="shared" si="23"/>
        <v>798.93769999999995</v>
      </c>
      <c r="E29" s="24">
        <f t="shared" si="46"/>
        <v>9.9999999974897905E-2</v>
      </c>
      <c r="F29" s="25">
        <f t="shared" si="47"/>
        <v>-3.69999999998072</v>
      </c>
      <c r="G29" s="26">
        <f t="shared" si="48"/>
        <v>4.9999999987449001E-2</v>
      </c>
      <c r="H29" s="6">
        <v>7.3295000000000003</v>
      </c>
      <c r="I29" s="35">
        <f t="shared" si="27"/>
        <v>799.13580000000002</v>
      </c>
      <c r="J29" s="24">
        <f t="shared" si="49"/>
        <v>-0.69999999993797202</v>
      </c>
      <c r="K29" s="25">
        <f t="shared" si="50"/>
        <v>-4.3999999999186903</v>
      </c>
      <c r="L29" s="26">
        <f t="shared" si="51"/>
        <v>-0.34999999996898601</v>
      </c>
      <c r="M29" s="6">
        <v>5.9565000000000001</v>
      </c>
      <c r="N29" s="35">
        <f t="shared" si="31"/>
        <v>797.76279999999997</v>
      </c>
      <c r="O29" s="24">
        <f t="shared" si="52"/>
        <v>9.9999999974897905E-2</v>
      </c>
      <c r="P29" s="25">
        <f t="shared" si="53"/>
        <v>-4.099999999994</v>
      </c>
      <c r="Q29" s="26">
        <f t="shared" si="54"/>
        <v>4.9999999987449001E-2</v>
      </c>
      <c r="R29" s="41"/>
      <c r="S29" s="21">
        <f t="shared" si="35"/>
        <v>44992</v>
      </c>
      <c r="T29" s="42">
        <v>10.3087</v>
      </c>
      <c r="U29" s="43">
        <f t="shared" si="55"/>
        <v>-9.99999999997669E-2</v>
      </c>
      <c r="V29" s="44">
        <f t="shared" si="56"/>
        <v>-3.3999999999991801</v>
      </c>
      <c r="W29" s="45">
        <f t="shared" si="57"/>
        <v>4.9999999999883499E-2</v>
      </c>
      <c r="X29" s="6">
        <v>15.231</v>
      </c>
      <c r="Y29" s="43">
        <f t="shared" si="58"/>
        <v>-9.99999999997669E-2</v>
      </c>
      <c r="Z29" s="44">
        <f t="shared" si="59"/>
        <v>-3.8999999999997899</v>
      </c>
      <c r="AA29" s="45">
        <f t="shared" si="60"/>
        <v>-4.9999999999883499E-2</v>
      </c>
      <c r="AB29" s="49">
        <v>10.1457</v>
      </c>
      <c r="AC29" s="43">
        <f t="shared" si="61"/>
        <v>-0.50000000000061096</v>
      </c>
      <c r="AD29" s="44">
        <f t="shared" si="62"/>
        <v>-3.80000000000003</v>
      </c>
      <c r="AE29" s="45">
        <f t="shared" si="63"/>
        <v>-0.25000000000030598</v>
      </c>
      <c r="AF29" s="50">
        <v>80685</v>
      </c>
      <c r="AG29" s="58">
        <f t="shared" si="45"/>
        <v>65</v>
      </c>
      <c r="AH29" s="59"/>
      <c r="AI29" s="60"/>
      <c r="AJ29" s="61"/>
      <c r="AK29" s="62"/>
      <c r="AL29" s="60"/>
      <c r="AM29" s="64"/>
    </row>
    <row r="30" spans="1:48">
      <c r="A30" s="21">
        <v>44999</v>
      </c>
      <c r="B30" s="22">
        <v>791.80629999999996</v>
      </c>
      <c r="C30" s="27">
        <v>7.1315</v>
      </c>
      <c r="D30" s="23">
        <f t="shared" si="23"/>
        <v>798.93780000000004</v>
      </c>
      <c r="E30" s="24">
        <f t="shared" si="46"/>
        <v>9.9999999974897905E-2</v>
      </c>
      <c r="F30" s="25">
        <f t="shared" si="47"/>
        <v>-3.6000000000058199</v>
      </c>
      <c r="G30" s="26">
        <f t="shared" si="48"/>
        <v>1.42857142821283E-2</v>
      </c>
      <c r="H30" s="6">
        <v>7.3296999999999999</v>
      </c>
      <c r="I30" s="35">
        <f t="shared" si="27"/>
        <v>799.13599999999997</v>
      </c>
      <c r="J30" s="24">
        <f t="shared" si="49"/>
        <v>0.199999999949796</v>
      </c>
      <c r="K30" s="25">
        <f t="shared" si="50"/>
        <v>-4.1999999999688997</v>
      </c>
      <c r="L30" s="26">
        <f t="shared" si="51"/>
        <v>2.8571428564256599E-2</v>
      </c>
      <c r="M30" s="6">
        <v>5.9568000000000003</v>
      </c>
      <c r="N30" s="35">
        <f t="shared" si="31"/>
        <v>797.76310000000001</v>
      </c>
      <c r="O30" s="24">
        <f t="shared" si="52"/>
        <v>0.30000000003838101</v>
      </c>
      <c r="P30" s="25">
        <f t="shared" si="53"/>
        <v>-3.7999999999556202</v>
      </c>
      <c r="Q30" s="26">
        <f t="shared" si="54"/>
        <v>4.2857142862625798E-2</v>
      </c>
      <c r="R30" s="41"/>
      <c r="S30" s="21">
        <f t="shared" si="35"/>
        <v>44999</v>
      </c>
      <c r="T30" s="42">
        <v>10.3088</v>
      </c>
      <c r="U30" s="43">
        <f t="shared" si="55"/>
        <v>9.99999999997669E-2</v>
      </c>
      <c r="V30" s="44">
        <f t="shared" si="56"/>
        <v>-3.2999999999994101</v>
      </c>
      <c r="W30" s="45">
        <f t="shared" si="57"/>
        <v>-1.4285714285680999E-2</v>
      </c>
      <c r="X30" s="6">
        <v>15.231199999999999</v>
      </c>
      <c r="Y30" s="43">
        <f t="shared" si="58"/>
        <v>0.19999999999953399</v>
      </c>
      <c r="Z30" s="44">
        <f t="shared" si="59"/>
        <v>-3.70000000000026</v>
      </c>
      <c r="AA30" s="45">
        <f t="shared" si="60"/>
        <v>2.8571428571361999E-2</v>
      </c>
      <c r="AB30" s="49">
        <v>10.145799999999999</v>
      </c>
      <c r="AC30" s="43">
        <f t="shared" si="61"/>
        <v>9.99999999997669E-2</v>
      </c>
      <c r="AD30" s="44">
        <f t="shared" si="62"/>
        <v>-3.70000000000026</v>
      </c>
      <c r="AE30" s="45">
        <f t="shared" si="63"/>
        <v>1.4285714285680999E-2</v>
      </c>
      <c r="AF30" s="50">
        <v>80688</v>
      </c>
      <c r="AG30" s="58">
        <f t="shared" si="45"/>
        <v>68</v>
      </c>
      <c r="AH30" s="59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65">
        <f>F30-F21</f>
        <v>-0.90000000000145497</v>
      </c>
      <c r="F31" s="33">
        <f>K30-K21</f>
        <v>-1.2000000000398401</v>
      </c>
      <c r="G31" s="33">
        <f>P30-P21</f>
        <v>-0.69999999993797202</v>
      </c>
      <c r="H31" s="33">
        <f>F30</f>
        <v>-3.6000000000058199</v>
      </c>
      <c r="I31" s="66">
        <f>K30</f>
        <v>-4.1999999999688997</v>
      </c>
      <c r="J31" s="65">
        <f>P30</f>
        <v>-3.7999999999556202</v>
      </c>
      <c r="K31" s="33">
        <f>(P30-P21)/24</f>
        <v>-2.91666666640822E-2</v>
      </c>
      <c r="L31" s="26"/>
      <c r="N31" s="35"/>
      <c r="O31" s="24"/>
      <c r="P31" s="25"/>
      <c r="Q31" s="26"/>
      <c r="R31" s="41"/>
      <c r="S31" s="21"/>
      <c r="T31" s="42"/>
      <c r="U31" s="65">
        <f>V30-V21</f>
        <v>-0.89999999999967895</v>
      </c>
      <c r="V31" s="33">
        <f>Z30-Z21</f>
        <v>-0.70000000000014495</v>
      </c>
      <c r="W31" s="33">
        <f>AD30-AD21</f>
        <v>-0.89999999999967895</v>
      </c>
      <c r="X31" s="33">
        <f>V30</f>
        <v>-3.2999999999994101</v>
      </c>
      <c r="Y31" s="65">
        <f>Z30</f>
        <v>-3.70000000000026</v>
      </c>
      <c r="Z31" s="33">
        <f>AD30</f>
        <v>-3.70000000000026</v>
      </c>
      <c r="AA31" s="33">
        <f>(AD30-AD21)/24</f>
        <v>-3.74999999999866E-2</v>
      </c>
      <c r="AB31" s="49"/>
      <c r="AC31" s="43"/>
      <c r="AD31" s="44"/>
      <c r="AE31" s="45"/>
      <c r="AF31" s="50"/>
      <c r="AG31" s="58"/>
      <c r="AH31" s="61"/>
      <c r="AI31" s="60"/>
      <c r="AJ31"/>
      <c r="AK31"/>
      <c r="AL31"/>
      <c r="AM31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7"/>
      <c r="D35" s="23"/>
      <c r="E35" s="24"/>
      <c r="F35" s="25"/>
      <c r="G35" s="26"/>
      <c r="I35" s="35"/>
      <c r="J35" s="24"/>
      <c r="K35" s="25"/>
      <c r="L35" s="26"/>
      <c r="N35" s="35"/>
      <c r="O35" s="24"/>
      <c r="P35" s="25"/>
      <c r="Q35" s="26"/>
      <c r="R35" s="41"/>
      <c r="S35" s="21"/>
      <c r="T35" s="42"/>
      <c r="U35" s="43"/>
      <c r="V35" s="44"/>
      <c r="W35" s="45"/>
      <c r="X35" s="29"/>
      <c r="Y35" s="43"/>
      <c r="Z35" s="44"/>
      <c r="AA35" s="45"/>
      <c r="AB35" s="49"/>
      <c r="AC35" s="43"/>
      <c r="AD35" s="44"/>
      <c r="AE35" s="45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21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61"/>
      <c r="AI36" s="60"/>
      <c r="AJ36" s="61"/>
      <c r="AK36" s="62"/>
      <c r="AL36" s="60"/>
      <c r="AM36" s="64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47"/>
      <c r="Y40" s="24"/>
      <c r="Z40" s="25"/>
      <c r="AA40" s="26"/>
      <c r="AB40" s="47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2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26"/>
      <c r="AG42" s="26"/>
      <c r="AH42" s="51"/>
    </row>
    <row r="43" spans="1:39">
      <c r="A43" s="31"/>
      <c r="B43" s="30"/>
      <c r="C43" s="32"/>
      <c r="E43" s="24"/>
      <c r="F43" s="25"/>
      <c r="G43" s="26"/>
      <c r="H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0"/>
      <c r="C44" s="32"/>
      <c r="D44" s="32"/>
      <c r="E44" s="24"/>
      <c r="F44" s="25"/>
      <c r="G44" s="26"/>
      <c r="H44" s="29"/>
      <c r="I44" s="29"/>
      <c r="J44" s="24"/>
      <c r="K44" s="25"/>
      <c r="L44" s="26"/>
      <c r="M44" s="29"/>
      <c r="O44" s="24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>
        <v>3</v>
      </c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  <row r="56" spans="1:34">
      <c r="A56" s="31"/>
      <c r="C56" s="32"/>
      <c r="H56" s="29"/>
      <c r="M56" s="29"/>
      <c r="R56" s="41"/>
      <c r="AH56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sheetPr>
    <tabColor rgb="FFFFFF00"/>
  </sheetPr>
  <dimension ref="A1:AV61"/>
  <sheetViews>
    <sheetView topLeftCell="R37" workbookViewId="0">
      <selection activeCell="U38" sqref="U38:AA3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82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44965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44965</v>
      </c>
      <c r="B6" s="22">
        <v>791.80629999999996</v>
      </c>
      <c r="C6" s="6">
        <v>6.6920000000000002</v>
      </c>
      <c r="D6" s="23">
        <f t="shared" ref="D6:D18" si="0">C6+B6</f>
        <v>798.49829999999997</v>
      </c>
      <c r="E6" s="24">
        <v>0</v>
      </c>
      <c r="F6" s="25">
        <v>0</v>
      </c>
      <c r="G6" s="26">
        <v>0</v>
      </c>
      <c r="H6" s="6">
        <v>7.4015000000000004</v>
      </c>
      <c r="I6" s="35">
        <f t="shared" ref="I6:I18" si="1">H6+B6</f>
        <v>799.20780000000002</v>
      </c>
      <c r="J6" s="24">
        <v>0</v>
      </c>
      <c r="K6" s="25">
        <v>0</v>
      </c>
      <c r="L6" s="26">
        <v>0</v>
      </c>
      <c r="M6" s="6">
        <v>6.6128</v>
      </c>
      <c r="N6" s="35">
        <f t="shared" ref="N6:N18" si="2">M6+B6</f>
        <v>798.41909999999996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44965</v>
      </c>
      <c r="T6" s="42">
        <v>9.9984000000000002</v>
      </c>
      <c r="U6" s="43">
        <v>0</v>
      </c>
      <c r="V6" s="44">
        <v>0</v>
      </c>
      <c r="W6" s="45">
        <f>U6/(S6-S11)</f>
        <v>0</v>
      </c>
      <c r="X6" s="6">
        <v>15.221399999999999</v>
      </c>
      <c r="Y6" s="43">
        <v>0</v>
      </c>
      <c r="Z6" s="44">
        <v>0</v>
      </c>
      <c r="AA6" s="45">
        <v>0</v>
      </c>
      <c r="AB6" s="49">
        <v>10.682499999999999</v>
      </c>
      <c r="AC6" s="43">
        <v>0</v>
      </c>
      <c r="AD6" s="44">
        <v>0</v>
      </c>
      <c r="AE6" s="45">
        <v>0</v>
      </c>
      <c r="AF6" s="50">
        <v>80640</v>
      </c>
      <c r="AG6" s="58">
        <f>AF6-80635</f>
        <v>5</v>
      </c>
      <c r="AH6" s="59"/>
      <c r="AI6" s="60"/>
      <c r="AJ6" s="61"/>
      <c r="AK6" s="62"/>
      <c r="AL6" s="52"/>
      <c r="AM6" s="52"/>
    </row>
    <row r="7" spans="1:48">
      <c r="A7" s="21">
        <v>44966</v>
      </c>
      <c r="B7" s="22">
        <v>791.80629999999996</v>
      </c>
      <c r="C7" s="6">
        <v>6.6921999999999997</v>
      </c>
      <c r="D7" s="23">
        <f t="shared" si="0"/>
        <v>798.49850000000004</v>
      </c>
      <c r="E7" s="24">
        <f t="shared" ref="E7:E18" si="4">(D7-D6)*1000</f>
        <v>0.199999999949796</v>
      </c>
      <c r="F7" s="25">
        <f t="shared" ref="F7:F18" si="5">F6+E7</f>
        <v>0.199999999949796</v>
      </c>
      <c r="G7" s="26">
        <f t="shared" ref="G7:G18" si="6">E7/(A7-A6)</f>
        <v>0.199999999949796</v>
      </c>
      <c r="H7" s="6">
        <v>7.4013</v>
      </c>
      <c r="I7" s="35">
        <f t="shared" si="1"/>
        <v>799.20759999999996</v>
      </c>
      <c r="J7" s="24">
        <f t="shared" ref="J7:J18" si="7">(I7-I6)*1000</f>
        <v>-0.20000000006348301</v>
      </c>
      <c r="K7" s="25">
        <f t="shared" ref="K7:K18" si="8">K6+J7</f>
        <v>-0.20000000006348301</v>
      </c>
      <c r="L7" s="26">
        <f t="shared" ref="L7:L18" si="9">J7/(A7-A6)</f>
        <v>-0.20000000006348301</v>
      </c>
      <c r="M7" s="6">
        <v>6.6128999999999998</v>
      </c>
      <c r="N7" s="35">
        <f t="shared" si="2"/>
        <v>798.41920000000005</v>
      </c>
      <c r="O7" s="24">
        <f t="shared" ref="O7:O18" si="10">(N7-N6)*1000</f>
        <v>9.9999999974897905E-2</v>
      </c>
      <c r="P7" s="25">
        <f t="shared" ref="P7:P18" si="11">P6+O7</f>
        <v>9.9999999974897905E-2</v>
      </c>
      <c r="Q7" s="26">
        <f t="shared" ref="Q7:Q18" si="12">O7/(A7-A6)</f>
        <v>9.9999999974897905E-2</v>
      </c>
      <c r="R7" s="41"/>
      <c r="S7" s="21">
        <f t="shared" si="3"/>
        <v>44966</v>
      </c>
      <c r="T7" s="42">
        <v>9.9982000000000006</v>
      </c>
      <c r="U7" s="43">
        <f t="shared" ref="U7:U18" si="13">(T7-T6)*1000</f>
        <v>-0.19999999999953399</v>
      </c>
      <c r="V7" s="44">
        <f t="shared" ref="V7:V18" si="14">V6+U7</f>
        <v>-0.19999999999953399</v>
      </c>
      <c r="W7" s="45">
        <f t="shared" ref="W7:W18" si="15">U7/(S6-S7)</f>
        <v>0.19999999999953399</v>
      </c>
      <c r="X7" s="6">
        <v>15.221</v>
      </c>
      <c r="Y7" s="43">
        <f t="shared" ref="Y7:Y18" si="16">(X7-X6)*1000</f>
        <v>-0.39999999999906799</v>
      </c>
      <c r="Z7" s="44">
        <f t="shared" ref="Z7:Z18" si="17">Z6+Y7</f>
        <v>-0.39999999999906799</v>
      </c>
      <c r="AA7" s="45">
        <f t="shared" ref="AA7:AA18" si="18">Y7/(S7-S6)</f>
        <v>-0.39999999999906799</v>
      </c>
      <c r="AB7" s="49">
        <v>10.682399999999999</v>
      </c>
      <c r="AC7" s="43">
        <f t="shared" ref="AC7:AC18" si="19">(AB7-AB6)*1000</f>
        <v>-9.99999999997669E-2</v>
      </c>
      <c r="AD7" s="44">
        <f t="shared" ref="AD7:AD18" si="20">AD6+AC7</f>
        <v>-9.99999999997669E-2</v>
      </c>
      <c r="AE7" s="45">
        <f t="shared" ref="AE7:AE18" si="21">AC7/(S7-S6)</f>
        <v>-9.99999999997669E-2</v>
      </c>
      <c r="AF7" s="50">
        <v>80643</v>
      </c>
      <c r="AG7" s="58">
        <f t="shared" ref="AG7:AG18" si="22">AF7-80635</f>
        <v>8</v>
      </c>
      <c r="AH7" s="59"/>
      <c r="AI7" s="60"/>
      <c r="AJ7" s="61"/>
      <c r="AK7" s="62"/>
      <c r="AL7" s="52"/>
      <c r="AM7" s="52"/>
    </row>
    <row r="8" spans="1:48">
      <c r="A8" s="21">
        <v>44967</v>
      </c>
      <c r="B8" s="22">
        <v>791.80629999999996</v>
      </c>
      <c r="C8" s="6">
        <v>6.6921999999999997</v>
      </c>
      <c r="D8" s="23">
        <f t="shared" si="0"/>
        <v>798.49850000000004</v>
      </c>
      <c r="E8" s="24">
        <f t="shared" si="4"/>
        <v>0</v>
      </c>
      <c r="F8" s="25">
        <f t="shared" si="5"/>
        <v>0.199999999949796</v>
      </c>
      <c r="G8" s="26">
        <f t="shared" si="6"/>
        <v>0</v>
      </c>
      <c r="H8" s="6">
        <v>7.4013999999999998</v>
      </c>
      <c r="I8" s="35">
        <f t="shared" si="1"/>
        <v>799.20770000000005</v>
      </c>
      <c r="J8" s="24">
        <f t="shared" si="7"/>
        <v>9.9999999974897905E-2</v>
      </c>
      <c r="K8" s="25">
        <f t="shared" si="8"/>
        <v>-0.10000000008858501</v>
      </c>
      <c r="L8" s="26">
        <f t="shared" si="9"/>
        <v>9.9999999974897905E-2</v>
      </c>
      <c r="M8" s="6">
        <v>6.6127000000000002</v>
      </c>
      <c r="N8" s="35">
        <f t="shared" si="2"/>
        <v>798.41899999999998</v>
      </c>
      <c r="O8" s="24">
        <f t="shared" si="10"/>
        <v>-0.199999999949796</v>
      </c>
      <c r="P8" s="25">
        <f t="shared" si="11"/>
        <v>-9.9999999974897905E-2</v>
      </c>
      <c r="Q8" s="26">
        <f t="shared" si="12"/>
        <v>-0.199999999949796</v>
      </c>
      <c r="R8" s="41"/>
      <c r="S8" s="21">
        <f t="shared" si="3"/>
        <v>44967</v>
      </c>
      <c r="T8" s="42">
        <v>9.9979999999999993</v>
      </c>
      <c r="U8" s="43">
        <f t="shared" si="13"/>
        <v>-0.20000000000130999</v>
      </c>
      <c r="V8" s="44">
        <f t="shared" si="14"/>
        <v>-0.40000000000084401</v>
      </c>
      <c r="W8" s="45">
        <f t="shared" si="15"/>
        <v>0.20000000000130999</v>
      </c>
      <c r="X8" s="6">
        <v>15.220800000000001</v>
      </c>
      <c r="Y8" s="43">
        <f t="shared" si="16"/>
        <v>-0.19999999999953399</v>
      </c>
      <c r="Z8" s="44">
        <f t="shared" si="17"/>
        <v>-0.59999999999860198</v>
      </c>
      <c r="AA8" s="45">
        <f t="shared" si="18"/>
        <v>-0.19999999999953399</v>
      </c>
      <c r="AB8" s="49">
        <v>10.6822</v>
      </c>
      <c r="AC8" s="43">
        <f t="shared" si="19"/>
        <v>-0.19999999999953399</v>
      </c>
      <c r="AD8" s="44">
        <f t="shared" si="20"/>
        <v>-0.29999999999930099</v>
      </c>
      <c r="AE8" s="45">
        <f t="shared" si="21"/>
        <v>-0.19999999999953399</v>
      </c>
      <c r="AF8" s="50">
        <v>80646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44968</v>
      </c>
      <c r="B9" s="22">
        <v>791.80629999999996</v>
      </c>
      <c r="C9" s="6">
        <v>6.6917999999999997</v>
      </c>
      <c r="D9" s="23">
        <f t="shared" si="0"/>
        <v>798.49810000000002</v>
      </c>
      <c r="E9" s="24">
        <f t="shared" si="4"/>
        <v>-0.40000000001327901</v>
      </c>
      <c r="F9" s="25">
        <f t="shared" si="5"/>
        <v>-0.20000000006348301</v>
      </c>
      <c r="G9" s="26">
        <f t="shared" si="6"/>
        <v>-0.40000000001327901</v>
      </c>
      <c r="H9" s="6">
        <v>7.4009</v>
      </c>
      <c r="I9" s="35">
        <f t="shared" si="1"/>
        <v>799.20719999999994</v>
      </c>
      <c r="J9" s="24">
        <f t="shared" si="7"/>
        <v>-0.49999999998817701</v>
      </c>
      <c r="K9" s="25">
        <f t="shared" si="8"/>
        <v>-0.60000000007676102</v>
      </c>
      <c r="L9" s="26">
        <f t="shared" si="9"/>
        <v>-0.49999999998817701</v>
      </c>
      <c r="M9" s="6">
        <v>6.6124999999999998</v>
      </c>
      <c r="N9" s="35">
        <f t="shared" si="2"/>
        <v>798.41880000000003</v>
      </c>
      <c r="O9" s="24">
        <f t="shared" si="10"/>
        <v>-0.20000000006348301</v>
      </c>
      <c r="P9" s="25">
        <f t="shared" si="11"/>
        <v>-0.30000000003838101</v>
      </c>
      <c r="Q9" s="26">
        <f t="shared" si="12"/>
        <v>-0.20000000006348301</v>
      </c>
      <c r="R9" s="41"/>
      <c r="S9" s="21">
        <f t="shared" si="3"/>
        <v>44968</v>
      </c>
      <c r="T9" s="42">
        <v>9.9981000000000009</v>
      </c>
      <c r="U9" s="43">
        <f t="shared" si="13"/>
        <v>0.10000000000154299</v>
      </c>
      <c r="V9" s="44">
        <f t="shared" si="14"/>
        <v>-0.29999999999930099</v>
      </c>
      <c r="W9" s="45">
        <f t="shared" si="15"/>
        <v>-0.10000000000154299</v>
      </c>
      <c r="X9" s="6">
        <v>15.220599999999999</v>
      </c>
      <c r="Y9" s="43">
        <f t="shared" si="16"/>
        <v>-0.20000000000130999</v>
      </c>
      <c r="Z9" s="44">
        <f t="shared" si="17"/>
        <v>-0.799999999999912</v>
      </c>
      <c r="AA9" s="45">
        <f t="shared" si="18"/>
        <v>-0.20000000000130999</v>
      </c>
      <c r="AB9" s="49">
        <v>10.682</v>
      </c>
      <c r="AC9" s="43">
        <f t="shared" si="19"/>
        <v>-0.19999999999953399</v>
      </c>
      <c r="AD9" s="44">
        <f t="shared" si="20"/>
        <v>-0.49999999999883499</v>
      </c>
      <c r="AE9" s="45">
        <f t="shared" si="21"/>
        <v>-0.19999999999953399</v>
      </c>
      <c r="AF9" s="50">
        <v>80649</v>
      </c>
      <c r="AG9" s="58">
        <f t="shared" si="22"/>
        <v>14</v>
      </c>
      <c r="AH9" s="61"/>
      <c r="AI9" s="60"/>
      <c r="AJ9"/>
      <c r="AK9"/>
      <c r="AL9"/>
      <c r="AM9"/>
    </row>
    <row r="10" spans="1:48">
      <c r="A10" s="21">
        <v>44969</v>
      </c>
      <c r="B10" s="22">
        <v>791.80629999999996</v>
      </c>
      <c r="C10" s="6">
        <v>6.6914999999999996</v>
      </c>
      <c r="D10" s="23">
        <f t="shared" si="0"/>
        <v>798.49779999999998</v>
      </c>
      <c r="E10" s="24">
        <f t="shared" si="4"/>
        <v>-0.29999999992469401</v>
      </c>
      <c r="F10" s="25">
        <f t="shared" si="5"/>
        <v>-0.49999999998817701</v>
      </c>
      <c r="G10" s="26">
        <f t="shared" si="6"/>
        <v>-0.29999999992469401</v>
      </c>
      <c r="H10" s="6">
        <v>7.4006999999999996</v>
      </c>
      <c r="I10" s="35">
        <f t="shared" si="1"/>
        <v>799.20699999999999</v>
      </c>
      <c r="J10" s="24">
        <f t="shared" si="7"/>
        <v>-0.199999999949796</v>
      </c>
      <c r="K10" s="25">
        <f t="shared" si="8"/>
        <v>-0.80000000002655702</v>
      </c>
      <c r="L10" s="26">
        <f t="shared" si="9"/>
        <v>-0.199999999949796</v>
      </c>
      <c r="M10" s="6">
        <v>6.6123000000000003</v>
      </c>
      <c r="N10" s="35">
        <f t="shared" si="2"/>
        <v>798.41859999999997</v>
      </c>
      <c r="O10" s="24">
        <f t="shared" si="10"/>
        <v>-0.199999999949796</v>
      </c>
      <c r="P10" s="25">
        <f t="shared" si="11"/>
        <v>-0.49999999998817701</v>
      </c>
      <c r="Q10" s="26">
        <f t="shared" si="12"/>
        <v>-0.199999999949796</v>
      </c>
      <c r="R10" s="41"/>
      <c r="S10" s="21">
        <f t="shared" si="3"/>
        <v>44969</v>
      </c>
      <c r="T10" s="42">
        <v>9.9976000000000003</v>
      </c>
      <c r="U10" s="43">
        <f t="shared" si="13"/>
        <v>-0.50000000000061096</v>
      </c>
      <c r="V10" s="44">
        <f t="shared" si="14"/>
        <v>-0.799999999999912</v>
      </c>
      <c r="W10" s="45">
        <f t="shared" si="15"/>
        <v>0.50000000000061096</v>
      </c>
      <c r="X10" s="6">
        <v>15.220499999999999</v>
      </c>
      <c r="Y10" s="43">
        <f t="shared" si="16"/>
        <v>-9.99999999997669E-2</v>
      </c>
      <c r="Z10" s="44">
        <f t="shared" si="17"/>
        <v>-0.89999999999967895</v>
      </c>
      <c r="AA10" s="45">
        <f t="shared" si="18"/>
        <v>-9.99999999997669E-2</v>
      </c>
      <c r="AB10" s="49">
        <v>10.6821</v>
      </c>
      <c r="AC10" s="43">
        <f t="shared" si="19"/>
        <v>9.99999999997669E-2</v>
      </c>
      <c r="AD10" s="44">
        <f t="shared" si="20"/>
        <v>-0.39999999999906799</v>
      </c>
      <c r="AE10" s="45">
        <f t="shared" si="21"/>
        <v>9.99999999997669E-2</v>
      </c>
      <c r="AF10" s="50">
        <v>80652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44970</v>
      </c>
      <c r="B11" s="22">
        <v>791.80629999999996</v>
      </c>
      <c r="C11" s="6">
        <v>6.6913</v>
      </c>
      <c r="D11" s="23">
        <f t="shared" si="0"/>
        <v>798.49760000000003</v>
      </c>
      <c r="E11" s="24">
        <f t="shared" si="4"/>
        <v>-0.20000000006348301</v>
      </c>
      <c r="F11" s="25">
        <f t="shared" si="5"/>
        <v>-0.70000000005165897</v>
      </c>
      <c r="G11" s="26">
        <f t="shared" si="6"/>
        <v>-0.20000000006348301</v>
      </c>
      <c r="H11" s="6">
        <v>7.4004000000000003</v>
      </c>
      <c r="I11" s="35">
        <f t="shared" si="1"/>
        <v>799.20669999999996</v>
      </c>
      <c r="J11" s="24">
        <f t="shared" si="7"/>
        <v>-0.30000000003838101</v>
      </c>
      <c r="K11" s="25">
        <f t="shared" si="8"/>
        <v>-1.1000000000649399</v>
      </c>
      <c r="L11" s="26">
        <f t="shared" si="9"/>
        <v>-0.30000000003838101</v>
      </c>
      <c r="M11" s="6">
        <v>6.6121999999999996</v>
      </c>
      <c r="N11" s="35">
        <f t="shared" si="2"/>
        <v>798.41849999999999</v>
      </c>
      <c r="O11" s="24">
        <f t="shared" si="10"/>
        <v>-9.9999999974897905E-2</v>
      </c>
      <c r="P11" s="25">
        <f t="shared" si="11"/>
        <v>-0.59999999996307496</v>
      </c>
      <c r="Q11" s="26">
        <f t="shared" si="12"/>
        <v>-9.9999999974897905E-2</v>
      </c>
      <c r="R11" s="41"/>
      <c r="S11" s="21">
        <f t="shared" si="3"/>
        <v>44970</v>
      </c>
      <c r="T11" s="42">
        <v>9.9974000000000007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6">
        <v>15.2202</v>
      </c>
      <c r="Y11" s="43">
        <f t="shared" si="16"/>
        <v>-0.29999999999930099</v>
      </c>
      <c r="Z11" s="44">
        <f t="shared" si="17"/>
        <v>-1.1999999999989801</v>
      </c>
      <c r="AA11" s="45">
        <f t="shared" si="18"/>
        <v>-0.29999999999930099</v>
      </c>
      <c r="AB11" s="49">
        <v>10.6816</v>
      </c>
      <c r="AC11" s="43">
        <f t="shared" si="19"/>
        <v>-0.50000000000061096</v>
      </c>
      <c r="AD11" s="44">
        <f t="shared" si="20"/>
        <v>-0.89999999999967895</v>
      </c>
      <c r="AE11" s="45">
        <f t="shared" si="21"/>
        <v>-0.50000000000061096</v>
      </c>
      <c r="AF11" s="50">
        <v>80655</v>
      </c>
      <c r="AG11" s="58">
        <f t="shared" si="22"/>
        <v>20</v>
      </c>
      <c r="AH11" s="61"/>
      <c r="AI11" s="60"/>
      <c r="AJ11"/>
      <c r="AK11"/>
      <c r="AL11"/>
      <c r="AM11"/>
    </row>
    <row r="12" spans="1:48">
      <c r="A12" s="21">
        <v>44971</v>
      </c>
      <c r="B12" s="22">
        <v>791.80629999999996</v>
      </c>
      <c r="C12" s="6">
        <v>6.6910999999999996</v>
      </c>
      <c r="D12" s="23">
        <f t="shared" si="0"/>
        <v>798.49739999999997</v>
      </c>
      <c r="E12" s="24">
        <f t="shared" si="4"/>
        <v>-0.199999999949796</v>
      </c>
      <c r="F12" s="25">
        <f t="shared" si="5"/>
        <v>-0.90000000000145497</v>
      </c>
      <c r="G12" s="26">
        <f t="shared" si="6"/>
        <v>-0.199999999949796</v>
      </c>
      <c r="H12" s="6">
        <v>7.4002999999999997</v>
      </c>
      <c r="I12" s="35">
        <f t="shared" si="1"/>
        <v>799.20659999999998</v>
      </c>
      <c r="J12" s="24">
        <f t="shared" si="7"/>
        <v>-9.9999999974897905E-2</v>
      </c>
      <c r="K12" s="25">
        <f t="shared" si="8"/>
        <v>-1.2000000000398401</v>
      </c>
      <c r="L12" s="26">
        <f t="shared" si="9"/>
        <v>-9.9999999974897905E-2</v>
      </c>
      <c r="M12" s="6">
        <v>6.6119000000000003</v>
      </c>
      <c r="N12" s="35">
        <f t="shared" si="2"/>
        <v>798.41819999999996</v>
      </c>
      <c r="O12" s="24">
        <f t="shared" si="10"/>
        <v>-0.30000000003838101</v>
      </c>
      <c r="P12" s="25">
        <f t="shared" si="11"/>
        <v>-0.90000000000145497</v>
      </c>
      <c r="Q12" s="26">
        <f t="shared" si="12"/>
        <v>-0.30000000003838101</v>
      </c>
      <c r="R12" s="41"/>
      <c r="S12" s="21">
        <f t="shared" si="3"/>
        <v>44971</v>
      </c>
      <c r="T12" s="42">
        <v>9.9970999999999997</v>
      </c>
      <c r="U12" s="43">
        <f t="shared" si="13"/>
        <v>-0.30000000000107702</v>
      </c>
      <c r="V12" s="44">
        <f t="shared" si="14"/>
        <v>-1.3000000000005201</v>
      </c>
      <c r="W12" s="45">
        <f t="shared" si="15"/>
        <v>0.30000000000107702</v>
      </c>
      <c r="X12" s="6">
        <v>15.22</v>
      </c>
      <c r="Y12" s="43">
        <f t="shared" si="16"/>
        <v>-0.19999999999953399</v>
      </c>
      <c r="Z12" s="44">
        <f t="shared" si="17"/>
        <v>-1.39999999999851</v>
      </c>
      <c r="AA12" s="45">
        <f t="shared" si="18"/>
        <v>-0.19999999999953399</v>
      </c>
      <c r="AB12" s="49">
        <v>10.6814</v>
      </c>
      <c r="AC12" s="43">
        <f t="shared" si="19"/>
        <v>-0.19999999999953399</v>
      </c>
      <c r="AD12" s="44">
        <f t="shared" si="20"/>
        <v>-1.0999999999992101</v>
      </c>
      <c r="AE12" s="45">
        <f t="shared" si="21"/>
        <v>-0.19999999999953399</v>
      </c>
      <c r="AF12" s="50">
        <v>80658</v>
      </c>
      <c r="AG12" s="58">
        <f t="shared" si="22"/>
        <v>23</v>
      </c>
      <c r="AH12" s="59"/>
      <c r="AI12" s="60"/>
      <c r="AJ12"/>
      <c r="AK12"/>
      <c r="AL12"/>
      <c r="AM12"/>
    </row>
    <row r="13" spans="1:48">
      <c r="A13" s="21">
        <v>44972</v>
      </c>
      <c r="B13" s="22">
        <v>791.80629999999996</v>
      </c>
      <c r="C13" s="6">
        <v>6.6912000000000003</v>
      </c>
      <c r="D13" s="23">
        <f t="shared" si="0"/>
        <v>798.49749999999995</v>
      </c>
      <c r="E13" s="24">
        <f t="shared" si="4"/>
        <v>9.9999999974897905E-2</v>
      </c>
      <c r="F13" s="25">
        <f t="shared" si="5"/>
        <v>-0.80000000002655702</v>
      </c>
      <c r="G13" s="26">
        <f t="shared" si="6"/>
        <v>9.9999999974897905E-2</v>
      </c>
      <c r="H13" s="6">
        <v>7.4001000000000001</v>
      </c>
      <c r="I13" s="35">
        <f t="shared" si="1"/>
        <v>799.20640000000003</v>
      </c>
      <c r="J13" s="24">
        <f t="shared" si="7"/>
        <v>-0.20000000006348301</v>
      </c>
      <c r="K13" s="25">
        <f t="shared" si="8"/>
        <v>-1.4000000001033199</v>
      </c>
      <c r="L13" s="26">
        <f t="shared" si="9"/>
        <v>-0.20000000006348301</v>
      </c>
      <c r="M13" s="6">
        <v>6.6116999999999999</v>
      </c>
      <c r="N13" s="35">
        <f t="shared" si="2"/>
        <v>798.41800000000001</v>
      </c>
      <c r="O13" s="24">
        <f t="shared" si="10"/>
        <v>-0.199999999949796</v>
      </c>
      <c r="P13" s="25">
        <f t="shared" si="11"/>
        <v>-1.09999999995125</v>
      </c>
      <c r="Q13" s="26">
        <f t="shared" si="12"/>
        <v>-0.199999999949796</v>
      </c>
      <c r="R13" s="41"/>
      <c r="S13" s="21">
        <f t="shared" si="3"/>
        <v>44972</v>
      </c>
      <c r="T13" s="42">
        <v>9.9969999999999999</v>
      </c>
      <c r="U13" s="43">
        <f t="shared" si="13"/>
        <v>-9.99999999997669E-2</v>
      </c>
      <c r="V13" s="44">
        <f t="shared" si="14"/>
        <v>-1.4000000000002899</v>
      </c>
      <c r="W13" s="45">
        <f t="shared" si="15"/>
        <v>9.99999999997669E-2</v>
      </c>
      <c r="X13" s="6">
        <v>15.2201</v>
      </c>
      <c r="Y13" s="43">
        <f t="shared" si="16"/>
        <v>9.99999999997669E-2</v>
      </c>
      <c r="Z13" s="44">
        <f t="shared" si="17"/>
        <v>-1.2999999999987499</v>
      </c>
      <c r="AA13" s="45">
        <f t="shared" si="18"/>
        <v>9.99999999997669E-2</v>
      </c>
      <c r="AB13" s="49">
        <v>10.6815</v>
      </c>
      <c r="AC13" s="43">
        <f t="shared" si="19"/>
        <v>9.99999999997669E-2</v>
      </c>
      <c r="AD13" s="44">
        <f t="shared" si="20"/>
        <v>-0.999999999999446</v>
      </c>
      <c r="AE13" s="45">
        <f t="shared" si="21"/>
        <v>9.99999999997669E-2</v>
      </c>
      <c r="AF13" s="50">
        <v>80661</v>
      </c>
      <c r="AG13" s="58">
        <f t="shared" si="22"/>
        <v>26</v>
      </c>
      <c r="AH13" s="61"/>
      <c r="AI13" s="60"/>
      <c r="AJ13"/>
      <c r="AK13"/>
      <c r="AL13"/>
      <c r="AM13"/>
    </row>
    <row r="14" spans="1:48">
      <c r="A14" s="21">
        <v>44973</v>
      </c>
      <c r="B14" s="22">
        <v>791.80629999999996</v>
      </c>
      <c r="C14" s="6">
        <v>6.6906999999999996</v>
      </c>
      <c r="D14" s="23">
        <f t="shared" si="0"/>
        <v>798.49699999999996</v>
      </c>
      <c r="E14" s="24">
        <f t="shared" si="4"/>
        <v>-0.49999999998817701</v>
      </c>
      <c r="F14" s="25">
        <f t="shared" si="5"/>
        <v>-1.30000000001473</v>
      </c>
      <c r="G14" s="26">
        <f t="shared" si="6"/>
        <v>-0.49999999998817701</v>
      </c>
      <c r="H14" s="6">
        <v>7.4001999999999999</v>
      </c>
      <c r="I14" s="35">
        <f t="shared" si="1"/>
        <v>799.20650000000001</v>
      </c>
      <c r="J14" s="24">
        <f t="shared" si="7"/>
        <v>0.10000000008858501</v>
      </c>
      <c r="K14" s="25">
        <f t="shared" si="8"/>
        <v>-1.30000000001473</v>
      </c>
      <c r="L14" s="26">
        <f t="shared" si="9"/>
        <v>0.10000000008858501</v>
      </c>
      <c r="M14" s="6">
        <v>6.6115000000000004</v>
      </c>
      <c r="N14" s="35">
        <f t="shared" si="2"/>
        <v>798.41780000000006</v>
      </c>
      <c r="O14" s="24">
        <f t="shared" si="10"/>
        <v>-0.20000000006348301</v>
      </c>
      <c r="P14" s="25">
        <f t="shared" si="11"/>
        <v>-1.30000000001473</v>
      </c>
      <c r="Q14" s="26">
        <f t="shared" si="12"/>
        <v>-0.20000000006348301</v>
      </c>
      <c r="R14" s="41"/>
      <c r="S14" s="21">
        <f t="shared" si="3"/>
        <v>44973</v>
      </c>
      <c r="T14" s="42">
        <v>9.9968000000000004</v>
      </c>
      <c r="U14" s="43">
        <f t="shared" si="13"/>
        <v>-0.19999999999953399</v>
      </c>
      <c r="V14" s="44">
        <f t="shared" si="14"/>
        <v>-1.59999999999982</v>
      </c>
      <c r="W14" s="45">
        <f t="shared" si="15"/>
        <v>0.19999999999953399</v>
      </c>
      <c r="X14" s="6">
        <v>15.2196</v>
      </c>
      <c r="Y14" s="43">
        <f t="shared" si="16"/>
        <v>-0.50000000000061096</v>
      </c>
      <c r="Z14" s="44">
        <f t="shared" si="17"/>
        <v>-1.7999999999993599</v>
      </c>
      <c r="AA14" s="45">
        <f t="shared" si="18"/>
        <v>-0.50000000000061096</v>
      </c>
      <c r="AB14" s="49">
        <v>10.680999999999999</v>
      </c>
      <c r="AC14" s="43">
        <f t="shared" si="19"/>
        <v>-0.50000000000061096</v>
      </c>
      <c r="AD14" s="44">
        <f t="shared" si="20"/>
        <v>-1.50000000000006</v>
      </c>
      <c r="AE14" s="45">
        <f t="shared" si="21"/>
        <v>-0.50000000000061096</v>
      </c>
      <c r="AF14" s="50">
        <v>80664</v>
      </c>
      <c r="AG14" s="58">
        <f t="shared" si="22"/>
        <v>29</v>
      </c>
      <c r="AH14" s="59"/>
      <c r="AI14" s="60"/>
      <c r="AJ14"/>
      <c r="AK14"/>
      <c r="AL14"/>
      <c r="AM14"/>
    </row>
    <row r="15" spans="1:48">
      <c r="A15" s="21">
        <v>44974</v>
      </c>
      <c r="B15" s="22">
        <v>791.80629999999996</v>
      </c>
      <c r="C15" s="6">
        <v>6.6905000000000001</v>
      </c>
      <c r="D15" s="23">
        <f t="shared" si="0"/>
        <v>798.49680000000001</v>
      </c>
      <c r="E15" s="24">
        <f t="shared" si="4"/>
        <v>-0.199999999949796</v>
      </c>
      <c r="F15" s="25">
        <f t="shared" si="5"/>
        <v>-1.4999999999645299</v>
      </c>
      <c r="G15" s="26">
        <f t="shared" si="6"/>
        <v>-0.199999999949796</v>
      </c>
      <c r="H15" s="6">
        <v>7.3997000000000002</v>
      </c>
      <c r="I15" s="35">
        <f t="shared" si="1"/>
        <v>799.20600000000002</v>
      </c>
      <c r="J15" s="24">
        <f t="shared" si="7"/>
        <v>-0.49999999998817701</v>
      </c>
      <c r="K15" s="25">
        <f t="shared" si="8"/>
        <v>-1.8000000000029099</v>
      </c>
      <c r="L15" s="26">
        <f t="shared" si="9"/>
        <v>-0.49999999998817701</v>
      </c>
      <c r="M15" s="6">
        <v>6.6116000000000001</v>
      </c>
      <c r="N15" s="35">
        <f t="shared" si="2"/>
        <v>798.41790000000003</v>
      </c>
      <c r="O15" s="24">
        <f t="shared" si="10"/>
        <v>9.9999999974897905E-2</v>
      </c>
      <c r="P15" s="25">
        <f t="shared" si="11"/>
        <v>-1.2000000000398401</v>
      </c>
      <c r="Q15" s="26">
        <f t="shared" si="12"/>
        <v>9.9999999974897905E-2</v>
      </c>
      <c r="R15" s="41"/>
      <c r="S15" s="21">
        <f t="shared" si="3"/>
        <v>44974</v>
      </c>
      <c r="T15" s="42">
        <v>9.9969000000000001</v>
      </c>
      <c r="U15" s="43">
        <f t="shared" si="13"/>
        <v>9.99999999997669E-2</v>
      </c>
      <c r="V15" s="44">
        <f t="shared" si="14"/>
        <v>-1.50000000000006</v>
      </c>
      <c r="W15" s="45">
        <f t="shared" si="15"/>
        <v>-9.99999999997669E-2</v>
      </c>
      <c r="X15" s="6">
        <v>15.2194</v>
      </c>
      <c r="Y15" s="43">
        <f t="shared" si="16"/>
        <v>-0.19999999999953399</v>
      </c>
      <c r="Z15" s="44">
        <f t="shared" si="17"/>
        <v>-1.99999999999889</v>
      </c>
      <c r="AA15" s="45">
        <f t="shared" si="18"/>
        <v>-0.19999999999953399</v>
      </c>
      <c r="AB15" s="49">
        <v>10.6808</v>
      </c>
      <c r="AC15" s="43">
        <f t="shared" si="19"/>
        <v>-0.19999999999953399</v>
      </c>
      <c r="AD15" s="44">
        <f t="shared" si="20"/>
        <v>-1.6999999999995901</v>
      </c>
      <c r="AE15" s="45">
        <f t="shared" si="21"/>
        <v>-0.19999999999953399</v>
      </c>
      <c r="AF15" s="50">
        <v>80667</v>
      </c>
      <c r="AG15" s="58">
        <f t="shared" si="22"/>
        <v>32</v>
      </c>
      <c r="AH15" s="61"/>
      <c r="AI15" s="60"/>
      <c r="AJ15"/>
      <c r="AK15"/>
      <c r="AL15"/>
      <c r="AM15"/>
    </row>
    <row r="16" spans="1:48">
      <c r="A16" s="21">
        <v>44975</v>
      </c>
      <c r="B16" s="22">
        <v>791.80629999999996</v>
      </c>
      <c r="C16" s="6">
        <v>6.6905000000000001</v>
      </c>
      <c r="D16" s="23">
        <f t="shared" si="0"/>
        <v>798.49680000000001</v>
      </c>
      <c r="E16" s="24">
        <f t="shared" si="4"/>
        <v>0</v>
      </c>
      <c r="F16" s="25">
        <f t="shared" si="5"/>
        <v>-1.4999999999645299</v>
      </c>
      <c r="G16" s="26">
        <f t="shared" si="6"/>
        <v>0</v>
      </c>
      <c r="H16" s="6">
        <v>7.3994999999999997</v>
      </c>
      <c r="I16" s="35">
        <f t="shared" si="1"/>
        <v>799.20579999999995</v>
      </c>
      <c r="J16" s="24">
        <f t="shared" si="7"/>
        <v>-0.20000000006348301</v>
      </c>
      <c r="K16" s="25">
        <f t="shared" si="8"/>
        <v>-2.00000000006639</v>
      </c>
      <c r="L16" s="26">
        <f t="shared" si="9"/>
        <v>-0.20000000006348301</v>
      </c>
      <c r="M16" s="6">
        <v>6.6111000000000004</v>
      </c>
      <c r="N16" s="35">
        <f t="shared" si="2"/>
        <v>798.41740000000004</v>
      </c>
      <c r="O16" s="24">
        <f t="shared" si="10"/>
        <v>-0.49999999998817701</v>
      </c>
      <c r="P16" s="25">
        <f t="shared" si="11"/>
        <v>-1.70000000002801</v>
      </c>
      <c r="Q16" s="26">
        <f t="shared" si="12"/>
        <v>-0.49999999998817701</v>
      </c>
      <c r="R16" s="41"/>
      <c r="S16" s="21">
        <f t="shared" si="3"/>
        <v>44975</v>
      </c>
      <c r="T16" s="42">
        <v>9.9963999999999995</v>
      </c>
      <c r="U16" s="43">
        <f t="shared" si="13"/>
        <v>-0.50000000000061096</v>
      </c>
      <c r="V16" s="44">
        <f t="shared" si="14"/>
        <v>-2.0000000000006701</v>
      </c>
      <c r="W16" s="45">
        <f t="shared" si="15"/>
        <v>0.50000000000061096</v>
      </c>
      <c r="X16" s="6">
        <v>15.2195</v>
      </c>
      <c r="Y16" s="43">
        <f t="shared" si="16"/>
        <v>9.99999999997669E-2</v>
      </c>
      <c r="Z16" s="44">
        <f t="shared" si="17"/>
        <v>-1.8999999999991199</v>
      </c>
      <c r="AA16" s="45">
        <f t="shared" si="18"/>
        <v>9.99999999997669E-2</v>
      </c>
      <c r="AB16" s="49">
        <v>10.680199999999999</v>
      </c>
      <c r="AC16" s="43">
        <f t="shared" si="19"/>
        <v>-0.60000000000037801</v>
      </c>
      <c r="AD16" s="44">
        <f t="shared" si="20"/>
        <v>-2.2999999999999701</v>
      </c>
      <c r="AE16" s="45">
        <f t="shared" si="21"/>
        <v>-0.60000000000037801</v>
      </c>
      <c r="AF16" s="50">
        <v>80670</v>
      </c>
      <c r="AG16" s="58">
        <f t="shared" si="22"/>
        <v>35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44976</v>
      </c>
      <c r="B17" s="22">
        <v>791.80629999999996</v>
      </c>
      <c r="C17" s="6">
        <v>6.6901000000000002</v>
      </c>
      <c r="D17" s="23">
        <f t="shared" si="0"/>
        <v>798.49639999999999</v>
      </c>
      <c r="E17" s="24">
        <f t="shared" si="4"/>
        <v>-0.40000000001327901</v>
      </c>
      <c r="F17" s="25">
        <f t="shared" si="5"/>
        <v>-1.8999999999778101</v>
      </c>
      <c r="G17" s="26">
        <f t="shared" si="6"/>
        <v>-0.40000000001327901</v>
      </c>
      <c r="H17" s="6">
        <v>7.3993000000000002</v>
      </c>
      <c r="I17" s="35">
        <f t="shared" si="1"/>
        <v>799.2056</v>
      </c>
      <c r="J17" s="24">
        <f t="shared" si="7"/>
        <v>-0.199999999949796</v>
      </c>
      <c r="K17" s="25">
        <f t="shared" si="8"/>
        <v>-2.2000000000161899</v>
      </c>
      <c r="L17" s="26">
        <f t="shared" si="9"/>
        <v>-0.199999999949796</v>
      </c>
      <c r="M17" s="6">
        <v>6.6109</v>
      </c>
      <c r="N17" s="35">
        <f t="shared" si="2"/>
        <v>798.41719999999998</v>
      </c>
      <c r="O17" s="24">
        <f t="shared" si="10"/>
        <v>-0.199999999949796</v>
      </c>
      <c r="P17" s="25">
        <f t="shared" si="11"/>
        <v>-1.8999999999778101</v>
      </c>
      <c r="Q17" s="26">
        <f t="shared" si="12"/>
        <v>-0.199999999949796</v>
      </c>
      <c r="R17" s="41"/>
      <c r="S17" s="21">
        <f t="shared" si="3"/>
        <v>44976</v>
      </c>
      <c r="T17" s="42">
        <v>9.9962000000000106</v>
      </c>
      <c r="U17" s="43">
        <f t="shared" si="13"/>
        <v>-0.19999999998887599</v>
      </c>
      <c r="V17" s="44">
        <f t="shared" si="14"/>
        <v>-2.1999999999895401</v>
      </c>
      <c r="W17" s="45">
        <f t="shared" si="15"/>
        <v>0.19999999998887599</v>
      </c>
      <c r="X17" s="6">
        <v>15.218999999999999</v>
      </c>
      <c r="Y17" s="43">
        <f t="shared" si="16"/>
        <v>-0.50000000000061096</v>
      </c>
      <c r="Z17" s="44">
        <f t="shared" si="17"/>
        <v>-2.3999999999997401</v>
      </c>
      <c r="AA17" s="45">
        <f t="shared" si="18"/>
        <v>-0.50000000000061096</v>
      </c>
      <c r="AB17" s="49">
        <v>10.680300000000001</v>
      </c>
      <c r="AC17" s="43">
        <f t="shared" si="19"/>
        <v>0.10000000000154299</v>
      </c>
      <c r="AD17" s="44">
        <f t="shared" si="20"/>
        <v>-2.1999999999984299</v>
      </c>
      <c r="AE17" s="45">
        <f t="shared" si="21"/>
        <v>0.10000000000154299</v>
      </c>
      <c r="AF17" s="50">
        <v>80673</v>
      </c>
      <c r="AG17" s="58">
        <f t="shared" si="22"/>
        <v>38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44977</v>
      </c>
      <c r="B18" s="22">
        <v>791.80629999999996</v>
      </c>
      <c r="C18" s="6">
        <v>6.6898999999999997</v>
      </c>
      <c r="D18" s="23">
        <f t="shared" si="0"/>
        <v>798.49620000000004</v>
      </c>
      <c r="E18" s="24">
        <f t="shared" si="4"/>
        <v>-0.20000000006348301</v>
      </c>
      <c r="F18" s="25">
        <f t="shared" si="5"/>
        <v>-2.1000000000412902</v>
      </c>
      <c r="G18" s="26">
        <f t="shared" si="6"/>
        <v>-0.20000000006348301</v>
      </c>
      <c r="H18" s="6">
        <v>7.399</v>
      </c>
      <c r="I18" s="35">
        <f t="shared" si="1"/>
        <v>799.20529999999997</v>
      </c>
      <c r="J18" s="24">
        <f t="shared" si="7"/>
        <v>-0.30000000003838101</v>
      </c>
      <c r="K18" s="25">
        <f t="shared" si="8"/>
        <v>-2.5000000000545701</v>
      </c>
      <c r="L18" s="26">
        <f t="shared" si="9"/>
        <v>-0.30000000003838101</v>
      </c>
      <c r="M18" s="6">
        <v>6.6108000000000002</v>
      </c>
      <c r="N18" s="35">
        <f t="shared" si="2"/>
        <v>798.4171</v>
      </c>
      <c r="O18" s="24">
        <f t="shared" si="10"/>
        <v>-9.9999999974897905E-2</v>
      </c>
      <c r="P18" s="25">
        <f t="shared" si="11"/>
        <v>-1.9999999999527101</v>
      </c>
      <c r="Q18" s="26">
        <f t="shared" si="12"/>
        <v>-9.9999999974897905E-2</v>
      </c>
      <c r="R18" s="41"/>
      <c r="S18" s="21">
        <f t="shared" si="3"/>
        <v>44977</v>
      </c>
      <c r="T18" s="42">
        <v>9.9959000000000007</v>
      </c>
      <c r="U18" s="43">
        <f t="shared" si="13"/>
        <v>-0.30000000000995902</v>
      </c>
      <c r="V18" s="44">
        <f t="shared" si="14"/>
        <v>-2.4999999999995</v>
      </c>
      <c r="W18" s="45">
        <f t="shared" si="15"/>
        <v>0.30000000000995902</v>
      </c>
      <c r="X18" s="6">
        <v>15.2188</v>
      </c>
      <c r="Y18" s="43">
        <f t="shared" si="16"/>
        <v>-0.19999999999953399</v>
      </c>
      <c r="Z18" s="44">
        <f t="shared" si="17"/>
        <v>-2.59999999999927</v>
      </c>
      <c r="AA18" s="45">
        <f t="shared" si="18"/>
        <v>-0.19999999999953399</v>
      </c>
      <c r="AB18" s="49">
        <v>10.680099999999999</v>
      </c>
      <c r="AC18" s="43">
        <f t="shared" si="19"/>
        <v>-0.20000000000130999</v>
      </c>
      <c r="AD18" s="44">
        <f t="shared" si="20"/>
        <v>-2.3999999999997401</v>
      </c>
      <c r="AE18" s="45">
        <f t="shared" si="21"/>
        <v>-0.20000000000130999</v>
      </c>
      <c r="AF18" s="50">
        <v>80676</v>
      </c>
      <c r="AG18" s="58">
        <f t="shared" si="22"/>
        <v>41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44978</v>
      </c>
      <c r="B19" s="22">
        <v>791.80629999999996</v>
      </c>
      <c r="C19" s="6">
        <v>6.6897000000000002</v>
      </c>
      <c r="D19" s="23">
        <f t="shared" ref="D19:D37" si="23">C19+B19</f>
        <v>798.49599999999998</v>
      </c>
      <c r="E19" s="24">
        <f t="shared" ref="E19:E23" si="24">(D19-D18)*1000</f>
        <v>-0.199999999949796</v>
      </c>
      <c r="F19" s="25">
        <f t="shared" ref="F19:F23" si="25">F18+E19</f>
        <v>-2.2999999999910901</v>
      </c>
      <c r="G19" s="26">
        <f t="shared" ref="G19:G23" si="26">E19/(A19-A18)</f>
        <v>-0.199999999949796</v>
      </c>
      <c r="H19" s="6">
        <v>7.3986999999999998</v>
      </c>
      <c r="I19" s="35">
        <f t="shared" ref="I19:I37" si="27">H19+B19</f>
        <v>799.20500000000004</v>
      </c>
      <c r="J19" s="24">
        <f t="shared" ref="J19:J23" si="28">(I19-I18)*1000</f>
        <v>-0.30000000003838101</v>
      </c>
      <c r="K19" s="25">
        <f t="shared" ref="K19:K23" si="29">K18+J19</f>
        <v>-2.8000000000929499</v>
      </c>
      <c r="L19" s="26">
        <f t="shared" ref="L19:L23" si="30">J19/(A19-A18)</f>
        <v>-0.30000000003838101</v>
      </c>
      <c r="M19" s="6">
        <v>6.6106999999999996</v>
      </c>
      <c r="N19" s="35">
        <f t="shared" ref="N19:N37" si="31">M19+B19</f>
        <v>798.41700000000003</v>
      </c>
      <c r="O19" s="24">
        <f t="shared" ref="O19:O23" si="32">(N19-N18)*1000</f>
        <v>-0.10000000008858501</v>
      </c>
      <c r="P19" s="25">
        <f t="shared" ref="P19:P23" si="33">P18+O19</f>
        <v>-2.1000000000412902</v>
      </c>
      <c r="Q19" s="26">
        <f t="shared" ref="Q19:Q23" si="34">O19/(A19-A18)</f>
        <v>-0.10000000008858501</v>
      </c>
      <c r="R19" s="41"/>
      <c r="S19" s="21">
        <f t="shared" ref="S19:S37" si="35">A19</f>
        <v>44978</v>
      </c>
      <c r="T19" s="42">
        <v>9.9955999999999907</v>
      </c>
      <c r="U19" s="43">
        <f t="shared" ref="U19:U23" si="36">(T19-T18)*1000</f>
        <v>-0.30000000000995902</v>
      </c>
      <c r="V19" s="44">
        <f t="shared" ref="V19:V23" si="37">V18+U19</f>
        <v>-2.8000000000094598</v>
      </c>
      <c r="W19" s="45">
        <f t="shared" ref="W19:W23" si="38">U19/(S18-S19)</f>
        <v>0.30000000000995902</v>
      </c>
      <c r="X19" s="6">
        <v>15.2186</v>
      </c>
      <c r="Y19" s="43">
        <f t="shared" ref="Y19:Y23" si="39">(X19-X18)*1000</f>
        <v>-0.19999999999953399</v>
      </c>
      <c r="Z19" s="44">
        <f t="shared" ref="Z19:Z23" si="40">Z18+Y19</f>
        <v>-2.7999999999987999</v>
      </c>
      <c r="AA19" s="45">
        <f t="shared" ref="AA19:AA23" si="41">Y19/(S19-S18)</f>
        <v>-0.19999999999953399</v>
      </c>
      <c r="AB19" s="49">
        <v>10.6799</v>
      </c>
      <c r="AC19" s="43">
        <f t="shared" ref="AC19:AC23" si="42">(AB19-AB18)*1000</f>
        <v>-0.19999999999953399</v>
      </c>
      <c r="AD19" s="44">
        <f t="shared" ref="AD19:AD23" si="43">AD18+AC19</f>
        <v>-2.59999999999927</v>
      </c>
      <c r="AE19" s="45">
        <f t="shared" ref="AE19:AE23" si="44">AC19/(S19-S18)</f>
        <v>-0.19999999999953399</v>
      </c>
      <c r="AF19" s="50">
        <v>80679</v>
      </c>
      <c r="AG19" s="58">
        <f t="shared" ref="AG19:AG37" si="45">AF19-80635</f>
        <v>44</v>
      </c>
      <c r="AH19" s="61"/>
      <c r="AI19" s="60"/>
      <c r="AJ19"/>
      <c r="AK19"/>
      <c r="AL19"/>
      <c r="AM19"/>
    </row>
    <row r="20" spans="1:48">
      <c r="A20" s="21">
        <v>44979</v>
      </c>
      <c r="B20" s="22">
        <v>791.80629999999996</v>
      </c>
      <c r="C20" s="6">
        <v>6.6896000000000004</v>
      </c>
      <c r="D20" s="23">
        <f t="shared" si="23"/>
        <v>798.49590000000001</v>
      </c>
      <c r="E20" s="24">
        <f t="shared" si="24"/>
        <v>-9.9999999974897905E-2</v>
      </c>
      <c r="F20" s="25">
        <f t="shared" si="25"/>
        <v>-2.39999999996598</v>
      </c>
      <c r="G20" s="26">
        <f t="shared" si="26"/>
        <v>-9.9999999974897905E-2</v>
      </c>
      <c r="H20" s="6">
        <v>7.3986000000000001</v>
      </c>
      <c r="I20" s="35">
        <f t="shared" si="27"/>
        <v>799.20489999999995</v>
      </c>
      <c r="J20" s="24">
        <f t="shared" si="28"/>
        <v>-9.9999999974897905E-2</v>
      </c>
      <c r="K20" s="25">
        <f t="shared" si="29"/>
        <v>-2.9000000000678501</v>
      </c>
      <c r="L20" s="26">
        <f t="shared" si="30"/>
        <v>-9.9999999974897905E-2</v>
      </c>
      <c r="M20" s="6">
        <v>6.6105999999999998</v>
      </c>
      <c r="N20" s="35">
        <f t="shared" si="31"/>
        <v>798.41690000000006</v>
      </c>
      <c r="O20" s="24">
        <f t="shared" si="32"/>
        <v>-9.9999999974897905E-2</v>
      </c>
      <c r="P20" s="25">
        <f t="shared" si="33"/>
        <v>-2.2000000000161899</v>
      </c>
      <c r="Q20" s="26">
        <f t="shared" si="34"/>
        <v>-9.9999999974897905E-2</v>
      </c>
      <c r="R20" s="41"/>
      <c r="S20" s="21">
        <f t="shared" si="35"/>
        <v>44979</v>
      </c>
      <c r="T20" s="42">
        <v>9.9954000000000001</v>
      </c>
      <c r="U20" s="43">
        <f t="shared" si="36"/>
        <v>-0.19999999999065199</v>
      </c>
      <c r="V20" s="44">
        <f t="shared" si="37"/>
        <v>-3.0000000000001101</v>
      </c>
      <c r="W20" s="45">
        <f t="shared" si="38"/>
        <v>0.19999999999065199</v>
      </c>
      <c r="X20" s="6">
        <v>15.218500000000001</v>
      </c>
      <c r="Y20" s="43">
        <f t="shared" si="39"/>
        <v>-9.99999999997669E-2</v>
      </c>
      <c r="Z20" s="44">
        <f t="shared" si="40"/>
        <v>-2.8999999999985699</v>
      </c>
      <c r="AA20" s="45">
        <f t="shared" si="41"/>
        <v>-9.99999999997669E-2</v>
      </c>
      <c r="AB20" s="49">
        <v>10.679500000000001</v>
      </c>
      <c r="AC20" s="43">
        <f t="shared" si="42"/>
        <v>-0.39999999999906799</v>
      </c>
      <c r="AD20" s="44">
        <f t="shared" si="43"/>
        <v>-2.99999999999834</v>
      </c>
      <c r="AE20" s="45">
        <f t="shared" si="44"/>
        <v>-0.39999999999906799</v>
      </c>
      <c r="AF20" s="50">
        <v>80682</v>
      </c>
      <c r="AG20" s="58">
        <f t="shared" si="45"/>
        <v>47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44981</v>
      </c>
      <c r="B21" s="22">
        <v>791.80629999999996</v>
      </c>
      <c r="C21" s="6">
        <v>6.6893000000000002</v>
      </c>
      <c r="D21" s="23">
        <f t="shared" si="23"/>
        <v>798.49559999999997</v>
      </c>
      <c r="E21" s="24">
        <f t="shared" si="24"/>
        <v>-0.30000000003838101</v>
      </c>
      <c r="F21" s="25">
        <f t="shared" si="25"/>
        <v>-2.70000000000437</v>
      </c>
      <c r="G21" s="26">
        <f t="shared" si="26"/>
        <v>-0.15000000001919001</v>
      </c>
      <c r="H21" s="6">
        <v>7.3981000000000003</v>
      </c>
      <c r="I21" s="35">
        <f t="shared" si="27"/>
        <v>799.20439999999996</v>
      </c>
      <c r="J21" s="24">
        <f t="shared" si="28"/>
        <v>-0.49999999998817701</v>
      </c>
      <c r="K21" s="25">
        <f t="shared" si="29"/>
        <v>-3.40000000005602</v>
      </c>
      <c r="L21" s="26">
        <f t="shared" si="30"/>
        <v>-0.24999999999408801</v>
      </c>
      <c r="M21" s="6">
        <v>6.6105</v>
      </c>
      <c r="N21" s="35">
        <f t="shared" si="31"/>
        <v>798.41679999999997</v>
      </c>
      <c r="O21" s="24">
        <f t="shared" si="32"/>
        <v>-9.9999999974897905E-2</v>
      </c>
      <c r="P21" s="25">
        <f t="shared" si="33"/>
        <v>-2.2999999999910901</v>
      </c>
      <c r="Q21" s="26">
        <f t="shared" si="34"/>
        <v>-4.9999999987449001E-2</v>
      </c>
      <c r="R21" s="41"/>
      <c r="S21" s="21">
        <f t="shared" si="35"/>
        <v>44981</v>
      </c>
      <c r="T21" s="42">
        <v>9.9949999999999708</v>
      </c>
      <c r="U21" s="43">
        <f t="shared" si="36"/>
        <v>-0.400000000029266</v>
      </c>
      <c r="V21" s="44">
        <f t="shared" si="37"/>
        <v>-3.40000000002938</v>
      </c>
      <c r="W21" s="45">
        <f t="shared" si="38"/>
        <v>0.200000000014633</v>
      </c>
      <c r="X21" s="6">
        <v>15.2182</v>
      </c>
      <c r="Y21" s="43">
        <f t="shared" si="39"/>
        <v>-0.30000000000107702</v>
      </c>
      <c r="Z21" s="44">
        <f t="shared" si="40"/>
        <v>-3.1999999999996498</v>
      </c>
      <c r="AA21" s="45">
        <f t="shared" si="41"/>
        <v>-0.15000000000053901</v>
      </c>
      <c r="AB21" s="49">
        <v>10.679500000000001</v>
      </c>
      <c r="AC21" s="43">
        <f t="shared" si="42"/>
        <v>0</v>
      </c>
      <c r="AD21" s="44">
        <f t="shared" si="43"/>
        <v>-2.99999999999834</v>
      </c>
      <c r="AE21" s="45">
        <f t="shared" si="44"/>
        <v>0</v>
      </c>
      <c r="AF21" s="50">
        <v>80685</v>
      </c>
      <c r="AG21" s="58">
        <f t="shared" si="45"/>
        <v>50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44983</v>
      </c>
      <c r="B22" s="22">
        <v>791.80629999999996</v>
      </c>
      <c r="C22" s="6">
        <v>6.6890999999999998</v>
      </c>
      <c r="D22" s="23">
        <f t="shared" si="23"/>
        <v>798.49540000000002</v>
      </c>
      <c r="E22" s="24">
        <f t="shared" si="24"/>
        <v>-0.199999999949796</v>
      </c>
      <c r="F22" s="25">
        <f t="shared" si="25"/>
        <v>-2.8999999999541601</v>
      </c>
      <c r="G22" s="26">
        <f t="shared" si="26"/>
        <v>-9.9999999974897905E-2</v>
      </c>
      <c r="H22" s="6">
        <v>7.3978000000000002</v>
      </c>
      <c r="I22" s="35">
        <f t="shared" si="27"/>
        <v>799.20410000000004</v>
      </c>
      <c r="J22" s="24">
        <f t="shared" si="28"/>
        <v>-0.30000000003838101</v>
      </c>
      <c r="K22" s="25">
        <f t="shared" si="29"/>
        <v>-3.70000000009441</v>
      </c>
      <c r="L22" s="26">
        <f t="shared" si="30"/>
        <v>-0.15000000001919001</v>
      </c>
      <c r="M22" s="6">
        <v>6.6104000000000003</v>
      </c>
      <c r="N22" s="35">
        <f t="shared" si="31"/>
        <v>798.41669999999999</v>
      </c>
      <c r="O22" s="24">
        <f t="shared" si="32"/>
        <v>-9.9999999974897905E-2</v>
      </c>
      <c r="P22" s="25">
        <f t="shared" si="33"/>
        <v>-2.39999999996598</v>
      </c>
      <c r="Q22" s="26">
        <f t="shared" si="34"/>
        <v>-4.9999999987449001E-2</v>
      </c>
      <c r="R22" s="41"/>
      <c r="S22" s="21">
        <f t="shared" si="35"/>
        <v>44983</v>
      </c>
      <c r="T22" s="42">
        <v>9.9946999999999608</v>
      </c>
      <c r="U22" s="43">
        <f t="shared" si="36"/>
        <v>-0.30000000000995902</v>
      </c>
      <c r="V22" s="44">
        <f t="shared" si="37"/>
        <v>-3.7000000000393398</v>
      </c>
      <c r="W22" s="45">
        <f t="shared" si="38"/>
        <v>0.15000000000497901</v>
      </c>
      <c r="X22" s="6">
        <v>15.218299999999999</v>
      </c>
      <c r="Y22" s="43">
        <f t="shared" si="39"/>
        <v>9.99999999997669E-2</v>
      </c>
      <c r="Z22" s="44">
        <f t="shared" si="40"/>
        <v>-3.0999999999998802</v>
      </c>
      <c r="AA22" s="45">
        <f t="shared" si="41"/>
        <v>4.9999999999883499E-2</v>
      </c>
      <c r="AB22" s="49">
        <v>10.6793</v>
      </c>
      <c r="AC22" s="43">
        <f t="shared" si="42"/>
        <v>-0.20000000000130999</v>
      </c>
      <c r="AD22" s="44">
        <f t="shared" si="43"/>
        <v>-3.1999999999996498</v>
      </c>
      <c r="AE22" s="45">
        <f t="shared" si="44"/>
        <v>-0.100000000000655</v>
      </c>
      <c r="AF22" s="50">
        <v>80688</v>
      </c>
      <c r="AG22" s="58">
        <f t="shared" si="45"/>
        <v>53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44985</v>
      </c>
      <c r="B23" s="22">
        <v>791.80629999999996</v>
      </c>
      <c r="C23" s="6">
        <v>6.6891999999999996</v>
      </c>
      <c r="D23" s="23">
        <f t="shared" si="23"/>
        <v>798.49549999999999</v>
      </c>
      <c r="E23" s="24">
        <f t="shared" si="24"/>
        <v>9.9999999974897905E-2</v>
      </c>
      <c r="F23" s="25">
        <f t="shared" si="25"/>
        <v>-2.79999999997926</v>
      </c>
      <c r="G23" s="26">
        <f t="shared" si="26"/>
        <v>4.9999999987449001E-2</v>
      </c>
      <c r="H23" s="6">
        <v>7.3982000000000001</v>
      </c>
      <c r="I23" s="35">
        <f t="shared" si="27"/>
        <v>799.20450000000005</v>
      </c>
      <c r="J23" s="24">
        <f t="shared" si="28"/>
        <v>0.40000000001327901</v>
      </c>
      <c r="K23" s="25">
        <f t="shared" si="29"/>
        <v>-3.30000000008113</v>
      </c>
      <c r="L23" s="26">
        <f t="shared" si="30"/>
        <v>0.20000000000663901</v>
      </c>
      <c r="M23" s="6">
        <v>6.6101999999999999</v>
      </c>
      <c r="N23" s="35">
        <f t="shared" si="31"/>
        <v>798.41650000000004</v>
      </c>
      <c r="O23" s="24">
        <f t="shared" si="32"/>
        <v>-0.20000000006348301</v>
      </c>
      <c r="P23" s="25">
        <f t="shared" si="33"/>
        <v>-2.6000000000294698</v>
      </c>
      <c r="Q23" s="26">
        <f t="shared" si="34"/>
        <v>-0.100000000031741</v>
      </c>
      <c r="R23" s="41"/>
      <c r="S23" s="21">
        <f t="shared" si="35"/>
        <v>44985</v>
      </c>
      <c r="T23" s="42">
        <v>9.9947999999999997</v>
      </c>
      <c r="U23" s="43">
        <f t="shared" si="36"/>
        <v>0.100000000038847</v>
      </c>
      <c r="V23" s="44">
        <f t="shared" si="37"/>
        <v>-3.6000000000004899</v>
      </c>
      <c r="W23" s="45">
        <f t="shared" si="38"/>
        <v>-5.0000000019423403E-2</v>
      </c>
      <c r="X23" s="6">
        <v>15.2178</v>
      </c>
      <c r="Y23" s="43">
        <f t="shared" si="39"/>
        <v>-0.49999999999883499</v>
      </c>
      <c r="Z23" s="44">
        <f t="shared" si="40"/>
        <v>-3.5999999999987198</v>
      </c>
      <c r="AA23" s="45">
        <f t="shared" si="41"/>
        <v>-0.24999999999941699</v>
      </c>
      <c r="AB23" s="49">
        <v>10.6792</v>
      </c>
      <c r="AC23" s="43">
        <f t="shared" si="42"/>
        <v>-9.99999999997669E-2</v>
      </c>
      <c r="AD23" s="44">
        <f t="shared" si="43"/>
        <v>-3.2999999999994101</v>
      </c>
      <c r="AE23" s="45">
        <f t="shared" si="44"/>
        <v>-4.9999999999883499E-2</v>
      </c>
      <c r="AF23" s="50">
        <v>80688</v>
      </c>
      <c r="AG23" s="58">
        <f t="shared" si="45"/>
        <v>53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44987</v>
      </c>
      <c r="B24" s="22">
        <v>791.80629999999996</v>
      </c>
      <c r="C24" s="6">
        <v>6.6890000000000001</v>
      </c>
      <c r="D24" s="23">
        <f t="shared" si="23"/>
        <v>798.49530000000004</v>
      </c>
      <c r="E24" s="24">
        <f t="shared" ref="E24:E30" si="46">(D24-D23)*1000</f>
        <v>-0.20000000006348301</v>
      </c>
      <c r="F24" s="25">
        <f t="shared" ref="F24:F30" si="47">F23+E24</f>
        <v>-3.0000000000427498</v>
      </c>
      <c r="G24" s="26">
        <f t="shared" ref="G24:G30" si="48">E24/(A24-A23)</f>
        <v>-0.100000000031741</v>
      </c>
      <c r="H24" s="6">
        <v>7.3979999999999997</v>
      </c>
      <c r="I24" s="35">
        <f t="shared" si="27"/>
        <v>799.20429999999999</v>
      </c>
      <c r="J24" s="24">
        <f t="shared" ref="J24:J30" si="49">(I24-I23)*1000</f>
        <v>-0.199999999949796</v>
      </c>
      <c r="K24" s="25">
        <f t="shared" ref="K24:K30" si="50">K23+J24</f>
        <v>-3.5000000000309202</v>
      </c>
      <c r="L24" s="26">
        <f t="shared" ref="L24:L30" si="51">J24/(A24-A23)</f>
        <v>-9.9999999974897905E-2</v>
      </c>
      <c r="M24" s="6">
        <v>6.61</v>
      </c>
      <c r="N24" s="35">
        <f t="shared" si="31"/>
        <v>798.41629999999998</v>
      </c>
      <c r="O24" s="24">
        <f t="shared" ref="O24:O30" si="52">(N24-N23)*1000</f>
        <v>-0.199999999949796</v>
      </c>
      <c r="P24" s="25">
        <f t="shared" ref="P24:P30" si="53">P23+O24</f>
        <v>-2.79999999997926</v>
      </c>
      <c r="Q24" s="26">
        <f t="shared" ref="Q24:Q30" si="54">O24/(A24-A23)</f>
        <v>-9.9999999974897905E-2</v>
      </c>
      <c r="R24" s="41"/>
      <c r="S24" s="21">
        <f t="shared" si="35"/>
        <v>44987</v>
      </c>
      <c r="T24" s="42">
        <v>9.9944000000000006</v>
      </c>
      <c r="U24" s="43">
        <f t="shared" ref="U24:U30" si="55">(T24-T23)*1000</f>
        <v>-0.39999999999906799</v>
      </c>
      <c r="V24" s="44">
        <f t="shared" ref="V24:V30" si="56">V23+U24</f>
        <v>-3.9999999999995599</v>
      </c>
      <c r="W24" s="45">
        <f t="shared" ref="W24:W30" si="57">U24/(S23-S24)</f>
        <v>0.19999999999953399</v>
      </c>
      <c r="X24" s="6">
        <v>15.217700000000001</v>
      </c>
      <c r="Y24" s="43">
        <f t="shared" ref="Y24:Y30" si="58">(X24-X23)*1000</f>
        <v>-9.99999999997669E-2</v>
      </c>
      <c r="Z24" s="44">
        <f t="shared" ref="Z24:Z30" si="59">Z23+Y24</f>
        <v>-3.6999999999984801</v>
      </c>
      <c r="AA24" s="45">
        <f t="shared" ref="AA24:AA30" si="60">Y24/(S24-S23)</f>
        <v>-4.9999999999883499E-2</v>
      </c>
      <c r="AB24" s="49">
        <v>10.679399999999999</v>
      </c>
      <c r="AC24" s="43">
        <f t="shared" ref="AC24:AC30" si="61">(AB24-AB23)*1000</f>
        <v>0.19999999999953399</v>
      </c>
      <c r="AD24" s="44">
        <f t="shared" ref="AD24:AD30" si="62">AD23+AC24</f>
        <v>-3.0999999999998802</v>
      </c>
      <c r="AE24" s="45">
        <f t="shared" ref="AE24:AE30" si="63">AC24/(S24-S23)</f>
        <v>9.99999999997669E-2</v>
      </c>
      <c r="AF24" s="50">
        <v>80691</v>
      </c>
      <c r="AG24" s="58">
        <f t="shared" si="45"/>
        <v>56</v>
      </c>
      <c r="AH24" s="61"/>
      <c r="AI24" s="60"/>
      <c r="AJ24" s="52"/>
      <c r="AK24" s="52"/>
      <c r="AL24" s="52"/>
      <c r="AM24" s="52"/>
      <c r="AN24" s="63"/>
      <c r="AO24" s="63"/>
      <c r="AP24" s="63"/>
      <c r="AQ24" s="63"/>
      <c r="AR24" s="63"/>
      <c r="AS24" s="63"/>
      <c r="AT24" s="63"/>
      <c r="AU24" s="63"/>
      <c r="AV24" s="63"/>
    </row>
    <row r="25" spans="1:48">
      <c r="A25" s="21">
        <v>44989</v>
      </c>
      <c r="B25" s="22">
        <v>791.80629999999996</v>
      </c>
      <c r="C25" s="6">
        <v>6.6886999999999999</v>
      </c>
      <c r="D25" s="23">
        <f t="shared" si="23"/>
        <v>798.495</v>
      </c>
      <c r="E25" s="24">
        <f t="shared" si="46"/>
        <v>-0.29999999992469401</v>
      </c>
      <c r="F25" s="25">
        <f t="shared" si="47"/>
        <v>-3.2999999999674401</v>
      </c>
      <c r="G25" s="26">
        <f t="shared" si="48"/>
        <v>-0.149999999962347</v>
      </c>
      <c r="H25" s="6">
        <v>7.3971999999999998</v>
      </c>
      <c r="I25" s="35">
        <f t="shared" si="27"/>
        <v>799.20349999999996</v>
      </c>
      <c r="J25" s="24">
        <f t="shared" si="49"/>
        <v>-0.80000000002655702</v>
      </c>
      <c r="K25" s="25">
        <f t="shared" si="50"/>
        <v>-4.3000000000574801</v>
      </c>
      <c r="L25" s="26">
        <f t="shared" si="51"/>
        <v>-0.40000000001327901</v>
      </c>
      <c r="M25" s="6">
        <v>6.6101999999999999</v>
      </c>
      <c r="N25" s="35">
        <f t="shared" si="31"/>
        <v>798.41650000000004</v>
      </c>
      <c r="O25" s="24">
        <f t="shared" si="52"/>
        <v>0.199999999949796</v>
      </c>
      <c r="P25" s="25">
        <f t="shared" si="53"/>
        <v>-2.6000000000294698</v>
      </c>
      <c r="Q25" s="26">
        <f t="shared" si="54"/>
        <v>9.9999999974897905E-2</v>
      </c>
      <c r="R25" s="41"/>
      <c r="S25" s="21">
        <f t="shared" si="35"/>
        <v>44989</v>
      </c>
      <c r="T25" s="42">
        <v>9.9940999999999995</v>
      </c>
      <c r="U25" s="43">
        <f t="shared" si="55"/>
        <v>-0.30000000000107702</v>
      </c>
      <c r="V25" s="44">
        <f t="shared" si="56"/>
        <v>-4.3000000000006402</v>
      </c>
      <c r="W25" s="45">
        <f t="shared" si="57"/>
        <v>0.15000000000053901</v>
      </c>
      <c r="X25" s="6">
        <v>15.217599999999999</v>
      </c>
      <c r="Y25" s="43">
        <f t="shared" si="58"/>
        <v>-0.10000000000154299</v>
      </c>
      <c r="Z25" s="44">
        <f t="shared" si="59"/>
        <v>-3.80000000000003</v>
      </c>
      <c r="AA25" s="45">
        <f t="shared" si="60"/>
        <v>-5.0000000000771601E-2</v>
      </c>
      <c r="AB25" s="49">
        <v>10.678900000000001</v>
      </c>
      <c r="AC25" s="43">
        <f t="shared" si="61"/>
        <v>-0.49999999999883499</v>
      </c>
      <c r="AD25" s="44">
        <f t="shared" si="62"/>
        <v>-3.5999999999987198</v>
      </c>
      <c r="AE25" s="45">
        <f t="shared" si="63"/>
        <v>-0.24999999999941699</v>
      </c>
      <c r="AF25" s="50">
        <v>80694</v>
      </c>
      <c r="AG25" s="58">
        <f t="shared" si="45"/>
        <v>59</v>
      </c>
      <c r="AH25" s="59"/>
      <c r="AI25" s="60"/>
      <c r="AJ25" s="52"/>
      <c r="AK25" s="52"/>
      <c r="AL25" s="52"/>
      <c r="AM25" s="52"/>
    </row>
    <row r="26" spans="1:48">
      <c r="A26" s="21">
        <v>44991</v>
      </c>
      <c r="B26" s="22">
        <v>791.80629999999996</v>
      </c>
      <c r="C26" s="6">
        <v>6.6886000000000001</v>
      </c>
      <c r="D26" s="23">
        <f t="shared" si="23"/>
        <v>798.49490000000003</v>
      </c>
      <c r="E26" s="24">
        <f t="shared" si="46"/>
        <v>-0.10000000008858501</v>
      </c>
      <c r="F26" s="25">
        <f t="shared" si="47"/>
        <v>-3.40000000005602</v>
      </c>
      <c r="G26" s="26">
        <f t="shared" si="48"/>
        <v>-5.0000000044292399E-2</v>
      </c>
      <c r="H26" s="6">
        <v>7.3975</v>
      </c>
      <c r="I26" s="35">
        <f t="shared" si="27"/>
        <v>799.2038</v>
      </c>
      <c r="J26" s="24">
        <f t="shared" si="49"/>
        <v>0.30000000003838101</v>
      </c>
      <c r="K26" s="25">
        <f t="shared" si="50"/>
        <v>-4.0000000000191003</v>
      </c>
      <c r="L26" s="26">
        <f t="shared" si="51"/>
        <v>0.15000000001919001</v>
      </c>
      <c r="M26" s="6">
        <v>6.6102999999999996</v>
      </c>
      <c r="N26" s="35">
        <f t="shared" si="31"/>
        <v>798.41660000000002</v>
      </c>
      <c r="O26" s="24">
        <f t="shared" si="52"/>
        <v>0.10000000008858501</v>
      </c>
      <c r="P26" s="25">
        <f t="shared" si="53"/>
        <v>-2.4999999999408802</v>
      </c>
      <c r="Q26" s="26">
        <f t="shared" si="54"/>
        <v>5.0000000044292399E-2</v>
      </c>
      <c r="R26" s="41"/>
      <c r="S26" s="21">
        <f t="shared" si="35"/>
        <v>44991</v>
      </c>
      <c r="T26" s="42">
        <v>9.9941999999999993</v>
      </c>
      <c r="U26" s="43">
        <f t="shared" si="55"/>
        <v>9.99999999997669E-2</v>
      </c>
      <c r="V26" s="44">
        <f t="shared" si="56"/>
        <v>-4.2000000000008697</v>
      </c>
      <c r="W26" s="45">
        <f t="shared" si="57"/>
        <v>-4.9999999999883499E-2</v>
      </c>
      <c r="X26" s="6">
        <v>15.2174</v>
      </c>
      <c r="Y26" s="43">
        <f t="shared" si="58"/>
        <v>-0.19999999999953399</v>
      </c>
      <c r="Z26" s="44">
        <f t="shared" si="59"/>
        <v>-3.9999999999995599</v>
      </c>
      <c r="AA26" s="45">
        <f t="shared" si="60"/>
        <v>-9.99999999997669E-2</v>
      </c>
      <c r="AB26" s="49">
        <v>10.6785</v>
      </c>
      <c r="AC26" s="43">
        <f t="shared" si="61"/>
        <v>-0.40000000000084401</v>
      </c>
      <c r="AD26" s="44">
        <f t="shared" si="62"/>
        <v>-3.9999999999995599</v>
      </c>
      <c r="AE26" s="45">
        <f t="shared" si="63"/>
        <v>-0.20000000000042201</v>
      </c>
      <c r="AF26" s="50">
        <v>80700</v>
      </c>
      <c r="AG26" s="58">
        <f t="shared" si="45"/>
        <v>65</v>
      </c>
      <c r="AH26" s="59"/>
      <c r="AI26" s="60"/>
      <c r="AJ26" s="52"/>
      <c r="AK26" s="52"/>
      <c r="AL26" s="52"/>
      <c r="AM26" s="52"/>
    </row>
    <row r="27" spans="1:48">
      <c r="A27" s="21">
        <v>44993</v>
      </c>
      <c r="B27" s="22">
        <v>791.80629999999996</v>
      </c>
      <c r="C27" s="6">
        <v>6.6885000000000003</v>
      </c>
      <c r="D27" s="23">
        <f t="shared" si="23"/>
        <v>798.49480000000005</v>
      </c>
      <c r="E27" s="24">
        <f t="shared" si="46"/>
        <v>-9.9999999974897905E-2</v>
      </c>
      <c r="F27" s="25">
        <f t="shared" si="47"/>
        <v>-3.5000000000309202</v>
      </c>
      <c r="G27" s="26">
        <f t="shared" si="48"/>
        <v>-4.9999999987449001E-2</v>
      </c>
      <c r="H27" s="6">
        <v>7.3973000000000004</v>
      </c>
      <c r="I27" s="35">
        <f t="shared" si="27"/>
        <v>799.20360000000005</v>
      </c>
      <c r="J27" s="24">
        <f t="shared" si="49"/>
        <v>-0.20000000006348301</v>
      </c>
      <c r="K27" s="25">
        <f t="shared" si="50"/>
        <v>-4.2000000000825803</v>
      </c>
      <c r="L27" s="26">
        <f t="shared" si="51"/>
        <v>-0.100000000031741</v>
      </c>
      <c r="M27" s="6">
        <v>6.6098999999999997</v>
      </c>
      <c r="N27" s="35">
        <f t="shared" si="31"/>
        <v>798.4162</v>
      </c>
      <c r="O27" s="24">
        <f t="shared" si="52"/>
        <v>-0.40000000001327901</v>
      </c>
      <c r="P27" s="25">
        <f t="shared" si="53"/>
        <v>-2.8999999999541601</v>
      </c>
      <c r="Q27" s="26">
        <f t="shared" si="54"/>
        <v>-0.20000000000663901</v>
      </c>
      <c r="R27" s="41"/>
      <c r="S27" s="21">
        <f t="shared" si="35"/>
        <v>44993</v>
      </c>
      <c r="T27" s="42">
        <v>9.9940999999999995</v>
      </c>
      <c r="U27" s="43">
        <f t="shared" si="55"/>
        <v>-9.99999999997669E-2</v>
      </c>
      <c r="V27" s="44">
        <f t="shared" si="56"/>
        <v>-4.3000000000006402</v>
      </c>
      <c r="W27" s="45">
        <f t="shared" si="57"/>
        <v>4.9999999999883499E-2</v>
      </c>
      <c r="X27" s="6">
        <v>15.2173</v>
      </c>
      <c r="Y27" s="43">
        <f t="shared" si="58"/>
        <v>-9.99999999997669E-2</v>
      </c>
      <c r="Z27" s="44">
        <f t="shared" si="59"/>
        <v>-4.09999999999933</v>
      </c>
      <c r="AA27" s="45">
        <f t="shared" si="60"/>
        <v>-4.9999999999883499E-2</v>
      </c>
      <c r="AB27" s="49">
        <v>10.678599999999999</v>
      </c>
      <c r="AC27" s="43">
        <f t="shared" si="61"/>
        <v>9.99999999997669E-2</v>
      </c>
      <c r="AD27" s="44">
        <f t="shared" si="62"/>
        <v>-3.8999999999997899</v>
      </c>
      <c r="AE27" s="45">
        <f t="shared" si="63"/>
        <v>4.9999999999883499E-2</v>
      </c>
      <c r="AF27" s="50">
        <v>80706</v>
      </c>
      <c r="AG27" s="58">
        <f t="shared" si="45"/>
        <v>71</v>
      </c>
      <c r="AH27" s="59"/>
      <c r="AI27" s="60"/>
      <c r="AJ27" s="52"/>
      <c r="AK27" s="52"/>
      <c r="AL27" s="52"/>
      <c r="AM27" s="52"/>
    </row>
    <row r="28" spans="1:48">
      <c r="A28" s="21">
        <v>44995</v>
      </c>
      <c r="B28" s="22">
        <v>791.80629999999996</v>
      </c>
      <c r="C28" s="6">
        <v>6.6886000000000001</v>
      </c>
      <c r="D28" s="23">
        <f t="shared" si="23"/>
        <v>798.49490000000003</v>
      </c>
      <c r="E28" s="24">
        <f t="shared" si="46"/>
        <v>9.9999999974897905E-2</v>
      </c>
      <c r="F28" s="25">
        <f t="shared" si="47"/>
        <v>-3.40000000005602</v>
      </c>
      <c r="G28" s="26">
        <f t="shared" si="48"/>
        <v>4.9999999987449001E-2</v>
      </c>
      <c r="H28" s="6">
        <v>7.3968999999999996</v>
      </c>
      <c r="I28" s="35">
        <f t="shared" si="27"/>
        <v>799.20320000000004</v>
      </c>
      <c r="J28" s="24">
        <f t="shared" si="49"/>
        <v>-0.40000000001327901</v>
      </c>
      <c r="K28" s="25">
        <f t="shared" si="50"/>
        <v>-4.6000000000958599</v>
      </c>
      <c r="L28" s="26">
        <f t="shared" si="51"/>
        <v>-0.20000000000663901</v>
      </c>
      <c r="M28" s="6">
        <v>6.6101000000000001</v>
      </c>
      <c r="N28" s="35">
        <f t="shared" si="31"/>
        <v>798.41639999999995</v>
      </c>
      <c r="O28" s="24">
        <f t="shared" si="52"/>
        <v>0.199999999949796</v>
      </c>
      <c r="P28" s="25">
        <f t="shared" si="53"/>
        <v>-2.70000000000437</v>
      </c>
      <c r="Q28" s="26">
        <f t="shared" si="54"/>
        <v>9.9999999974897905E-2</v>
      </c>
      <c r="R28" s="41"/>
      <c r="S28" s="21">
        <f t="shared" si="35"/>
        <v>44995</v>
      </c>
      <c r="T28" s="42">
        <v>9.9937999999999292</v>
      </c>
      <c r="U28" s="43">
        <f t="shared" si="55"/>
        <v>-0.30000000007035499</v>
      </c>
      <c r="V28" s="44">
        <f t="shared" si="56"/>
        <v>-4.60000000007099</v>
      </c>
      <c r="W28" s="45">
        <f t="shared" si="57"/>
        <v>0.15000000003517799</v>
      </c>
      <c r="X28" s="6">
        <v>15.217499999999999</v>
      </c>
      <c r="Y28" s="43">
        <f t="shared" si="58"/>
        <v>0.19999999999953399</v>
      </c>
      <c r="Z28" s="44">
        <f t="shared" si="59"/>
        <v>-3.8999999999997899</v>
      </c>
      <c r="AA28" s="45">
        <f t="shared" si="60"/>
        <v>9.99999999997669E-2</v>
      </c>
      <c r="AB28" s="49">
        <v>10.678699999999999</v>
      </c>
      <c r="AC28" s="43">
        <f t="shared" si="61"/>
        <v>9.99999999997669E-2</v>
      </c>
      <c r="AD28" s="44">
        <f t="shared" si="62"/>
        <v>-3.80000000000003</v>
      </c>
      <c r="AE28" s="45">
        <f t="shared" si="63"/>
        <v>4.9999999999883499E-2</v>
      </c>
      <c r="AF28" s="50">
        <v>80712</v>
      </c>
      <c r="AG28" s="58">
        <f t="shared" si="45"/>
        <v>77</v>
      </c>
      <c r="AH28" s="61"/>
      <c r="AI28" s="60"/>
      <c r="AJ28" s="52"/>
      <c r="AK28" s="52"/>
      <c r="AL28" s="52"/>
      <c r="AM28" s="52"/>
    </row>
    <row r="29" spans="1:48">
      <c r="A29" s="21">
        <v>44997</v>
      </c>
      <c r="B29" s="22">
        <v>791.80629999999996</v>
      </c>
      <c r="C29" s="6">
        <v>6.6883999999999997</v>
      </c>
      <c r="D29" s="23">
        <f t="shared" si="23"/>
        <v>798.49469999999997</v>
      </c>
      <c r="E29" s="24">
        <f t="shared" si="46"/>
        <v>-0.199999999949796</v>
      </c>
      <c r="F29" s="25">
        <f t="shared" si="47"/>
        <v>-3.6000000000058199</v>
      </c>
      <c r="G29" s="26">
        <f t="shared" si="48"/>
        <v>-9.9999999974897905E-2</v>
      </c>
      <c r="H29" s="6">
        <v>7.3966000000000003</v>
      </c>
      <c r="I29" s="35">
        <f t="shared" si="27"/>
        <v>799.2029</v>
      </c>
      <c r="J29" s="24">
        <f t="shared" si="49"/>
        <v>-0.29999999992469401</v>
      </c>
      <c r="K29" s="25">
        <f t="shared" si="50"/>
        <v>-4.9000000000205501</v>
      </c>
      <c r="L29" s="26">
        <f t="shared" si="51"/>
        <v>-0.149999999962347</v>
      </c>
      <c r="M29" s="6">
        <v>6.6097999999999999</v>
      </c>
      <c r="N29" s="35">
        <f t="shared" si="31"/>
        <v>798.41610000000003</v>
      </c>
      <c r="O29" s="24">
        <f t="shared" si="52"/>
        <v>-0.30000000003838101</v>
      </c>
      <c r="P29" s="25">
        <f t="shared" si="53"/>
        <v>-3.0000000000427498</v>
      </c>
      <c r="Q29" s="26">
        <f t="shared" si="54"/>
        <v>-0.15000000001919001</v>
      </c>
      <c r="R29" s="41"/>
      <c r="S29" s="21">
        <f t="shared" si="35"/>
        <v>44997</v>
      </c>
      <c r="T29" s="42">
        <v>9.9939999999999998</v>
      </c>
      <c r="U29" s="43">
        <f t="shared" si="55"/>
        <v>0.20000000007058799</v>
      </c>
      <c r="V29" s="44">
        <f t="shared" si="56"/>
        <v>-4.4000000000004</v>
      </c>
      <c r="W29" s="45">
        <f t="shared" si="57"/>
        <v>-0.100000000035294</v>
      </c>
      <c r="X29" s="6">
        <v>15.2174</v>
      </c>
      <c r="Y29" s="43">
        <f t="shared" si="58"/>
        <v>-9.99999999997669E-2</v>
      </c>
      <c r="Z29" s="44">
        <f t="shared" si="59"/>
        <v>-3.9999999999995599</v>
      </c>
      <c r="AA29" s="45">
        <f t="shared" si="60"/>
        <v>-4.9999999999883499E-2</v>
      </c>
      <c r="AB29" s="49">
        <v>10.678800000000001</v>
      </c>
      <c r="AC29" s="43">
        <f t="shared" si="61"/>
        <v>0.10000000000154299</v>
      </c>
      <c r="AD29" s="44">
        <f t="shared" si="62"/>
        <v>-3.6999999999984801</v>
      </c>
      <c r="AE29" s="45">
        <f t="shared" si="63"/>
        <v>5.0000000000771601E-2</v>
      </c>
      <c r="AF29" s="50">
        <v>80718</v>
      </c>
      <c r="AG29" s="58">
        <f t="shared" si="45"/>
        <v>83</v>
      </c>
      <c r="AH29" s="61"/>
      <c r="AI29" s="60"/>
      <c r="AJ29" s="52"/>
      <c r="AK29" s="52"/>
      <c r="AL29" s="52"/>
      <c r="AM29" s="52"/>
    </row>
    <row r="30" spans="1:48">
      <c r="A30" s="21">
        <v>44999</v>
      </c>
      <c r="B30" s="22">
        <v>791.80629999999996</v>
      </c>
      <c r="C30" s="6">
        <v>6.6882999999999999</v>
      </c>
      <c r="D30" s="23">
        <f t="shared" si="23"/>
        <v>798.49459999999999</v>
      </c>
      <c r="E30" s="24">
        <f t="shared" si="46"/>
        <v>-9.9999999974897905E-2</v>
      </c>
      <c r="F30" s="25">
        <f t="shared" si="47"/>
        <v>-3.69999999998072</v>
      </c>
      <c r="G30" s="26">
        <f t="shared" si="48"/>
        <v>-4.9999999987449001E-2</v>
      </c>
      <c r="H30" s="6">
        <v>7.3964999999999996</v>
      </c>
      <c r="I30" s="35">
        <f t="shared" si="27"/>
        <v>799.20280000000002</v>
      </c>
      <c r="J30" s="24">
        <f t="shared" si="49"/>
        <v>-0.10000000008858501</v>
      </c>
      <c r="K30" s="25">
        <f t="shared" si="50"/>
        <v>-5.0000000001091403</v>
      </c>
      <c r="L30" s="26">
        <f t="shared" si="51"/>
        <v>-5.0000000044292399E-2</v>
      </c>
      <c r="M30" s="6">
        <v>6.61</v>
      </c>
      <c r="N30" s="35">
        <f t="shared" si="31"/>
        <v>798.41629999999998</v>
      </c>
      <c r="O30" s="24">
        <f t="shared" si="52"/>
        <v>0.20000000006348301</v>
      </c>
      <c r="P30" s="25">
        <f t="shared" si="53"/>
        <v>-2.79999999997926</v>
      </c>
      <c r="Q30" s="26">
        <f t="shared" si="54"/>
        <v>0.100000000031741</v>
      </c>
      <c r="R30" s="41"/>
      <c r="S30" s="21">
        <f t="shared" si="35"/>
        <v>44999</v>
      </c>
      <c r="T30" s="42">
        <v>9.9936000000000007</v>
      </c>
      <c r="U30" s="43">
        <f t="shared" si="55"/>
        <v>-0.39999999999906799</v>
      </c>
      <c r="V30" s="44">
        <f t="shared" si="56"/>
        <v>-4.7999999999994696</v>
      </c>
      <c r="W30" s="45">
        <f t="shared" si="57"/>
        <v>0.19999999999953399</v>
      </c>
      <c r="X30" s="6">
        <v>15.2172</v>
      </c>
      <c r="Y30" s="43">
        <f t="shared" si="58"/>
        <v>-0.19999999999953399</v>
      </c>
      <c r="Z30" s="44">
        <f t="shared" si="59"/>
        <v>-4.1999999999990898</v>
      </c>
      <c r="AA30" s="45">
        <f t="shared" si="60"/>
        <v>-9.99999999997669E-2</v>
      </c>
      <c r="AB30" s="49">
        <v>10.6785</v>
      </c>
      <c r="AC30" s="43">
        <f t="shared" si="61"/>
        <v>-0.30000000000107702</v>
      </c>
      <c r="AD30" s="44">
        <f t="shared" si="62"/>
        <v>-3.9999999999995599</v>
      </c>
      <c r="AE30" s="45">
        <f t="shared" si="63"/>
        <v>-0.15000000000053901</v>
      </c>
      <c r="AF30" s="50">
        <v>80724</v>
      </c>
      <c r="AG30" s="58">
        <f t="shared" si="45"/>
        <v>89</v>
      </c>
      <c r="AH30" s="59"/>
      <c r="AI30" s="60"/>
      <c r="AJ30" s="61"/>
      <c r="AK30" s="62"/>
      <c r="AL30" s="60"/>
      <c r="AM30" s="64"/>
    </row>
    <row r="31" spans="1:48">
      <c r="A31" s="21">
        <v>45001</v>
      </c>
      <c r="B31" s="22">
        <v>791.80629999999996</v>
      </c>
      <c r="C31" s="6">
        <v>6.6882000000000001</v>
      </c>
      <c r="D31" s="23">
        <f t="shared" si="23"/>
        <v>798.49450000000002</v>
      </c>
      <c r="E31" s="24">
        <f t="shared" ref="E31:E37" si="64">(D31-D30)*1000</f>
        <v>-9.9999999974897905E-2</v>
      </c>
      <c r="F31" s="25">
        <f t="shared" ref="F31:F37" si="65">F30+E31</f>
        <v>-3.7999999999556202</v>
      </c>
      <c r="G31" s="26">
        <f t="shared" ref="G31:G37" si="66">E31/(A31-A30)</f>
        <v>-4.9999999987449001E-2</v>
      </c>
      <c r="H31" s="6">
        <v>7.3960999999999997</v>
      </c>
      <c r="I31" s="35">
        <f t="shared" si="27"/>
        <v>799.20240000000001</v>
      </c>
      <c r="J31" s="24">
        <f t="shared" ref="J31:J37" si="67">(I31-I30)*1000</f>
        <v>-0.39999999989959201</v>
      </c>
      <c r="K31" s="25">
        <f t="shared" ref="K31:K37" si="68">K30+J31</f>
        <v>-5.4000000000087303</v>
      </c>
      <c r="L31" s="26">
        <f t="shared" ref="L31:L37" si="69">J31/(A31-A30)</f>
        <v>-0.199999999949796</v>
      </c>
      <c r="M31" s="6">
        <v>6.6102999999999996</v>
      </c>
      <c r="N31" s="35">
        <f t="shared" si="31"/>
        <v>798.41660000000002</v>
      </c>
      <c r="O31" s="24">
        <f t="shared" ref="O31:O37" si="70">(N31-N30)*1000</f>
        <v>0.30000000003838101</v>
      </c>
      <c r="P31" s="25">
        <f t="shared" ref="P31:P37" si="71">P30+O31</f>
        <v>-2.4999999999408802</v>
      </c>
      <c r="Q31" s="26">
        <f t="shared" ref="Q31:Q37" si="72">O31/(A31-A30)</f>
        <v>0.15000000001919001</v>
      </c>
      <c r="R31" s="41"/>
      <c r="S31" s="21">
        <f t="shared" si="35"/>
        <v>45001</v>
      </c>
      <c r="T31" s="42">
        <v>9.9932999999999996</v>
      </c>
      <c r="U31" s="43">
        <f t="shared" ref="U31:U37" si="73">(T31-T30)*1000</f>
        <v>-0.30000000000107702</v>
      </c>
      <c r="V31" s="44">
        <f t="shared" ref="V31:V37" si="74">V30+U31</f>
        <v>-5.1000000000005503</v>
      </c>
      <c r="W31" s="45">
        <f t="shared" ref="W31:W37" si="75">U31/(S30-S31)</f>
        <v>0.15000000000053901</v>
      </c>
      <c r="X31" s="6">
        <v>15.217599999999999</v>
      </c>
      <c r="Y31" s="43">
        <f t="shared" ref="Y31:Y37" si="76">(X31-X30)*1000</f>
        <v>0.39999999999906799</v>
      </c>
      <c r="Z31" s="44">
        <f t="shared" ref="Z31:Z37" si="77">Z30+Y31</f>
        <v>-3.80000000000003</v>
      </c>
      <c r="AA31" s="45">
        <f t="shared" ref="AA31:AA37" si="78">Y31/(S31-S30)</f>
        <v>0.19999999999953399</v>
      </c>
      <c r="AB31" s="49">
        <v>10.678800000000001</v>
      </c>
      <c r="AC31" s="43">
        <f t="shared" ref="AC31:AC37" si="79">(AB31-AB30)*1000</f>
        <v>0.30000000000107702</v>
      </c>
      <c r="AD31" s="44">
        <f t="shared" ref="AD31:AD37" si="80">AD30+AC31</f>
        <v>-3.6999999999984801</v>
      </c>
      <c r="AE31" s="45">
        <f t="shared" ref="AE31:AE37" si="81">AC31/(S31-S30)</f>
        <v>0.15000000000053901</v>
      </c>
      <c r="AF31" s="50">
        <v>80730</v>
      </c>
      <c r="AG31" s="58">
        <f t="shared" si="45"/>
        <v>95</v>
      </c>
      <c r="AH31" s="59"/>
      <c r="AI31" s="60"/>
      <c r="AJ31" s="61"/>
      <c r="AK31" s="62"/>
      <c r="AL31" s="60"/>
      <c r="AM31" s="64"/>
    </row>
    <row r="32" spans="1:48">
      <c r="A32" s="21">
        <v>45003</v>
      </c>
      <c r="B32" s="22">
        <v>791.80629999999996</v>
      </c>
      <c r="C32" s="6">
        <v>6.6885000000000003</v>
      </c>
      <c r="D32" s="23">
        <f t="shared" si="23"/>
        <v>798.49480000000005</v>
      </c>
      <c r="E32" s="24">
        <f t="shared" si="64"/>
        <v>0.29999999992469401</v>
      </c>
      <c r="F32" s="25">
        <f t="shared" si="65"/>
        <v>-3.5000000000309202</v>
      </c>
      <c r="G32" s="26">
        <f t="shared" si="66"/>
        <v>0.149999999962347</v>
      </c>
      <c r="H32" s="6">
        <v>7.3963999999999999</v>
      </c>
      <c r="I32" s="35">
        <f t="shared" si="27"/>
        <v>799.20270000000005</v>
      </c>
      <c r="J32" s="24">
        <f t="shared" si="67"/>
        <v>0.29999999992469401</v>
      </c>
      <c r="K32" s="25">
        <f t="shared" si="68"/>
        <v>-5.10000000008404</v>
      </c>
      <c r="L32" s="26">
        <f t="shared" si="69"/>
        <v>0.149999999962347</v>
      </c>
      <c r="M32" s="6">
        <v>6.6104000000000003</v>
      </c>
      <c r="N32" s="35">
        <f t="shared" si="31"/>
        <v>798.41669999999999</v>
      </c>
      <c r="O32" s="24">
        <f t="shared" si="70"/>
        <v>9.9999999974897905E-2</v>
      </c>
      <c r="P32" s="25">
        <f t="shared" si="71"/>
        <v>-2.39999999996598</v>
      </c>
      <c r="Q32" s="26">
        <f t="shared" si="72"/>
        <v>4.9999999987449001E-2</v>
      </c>
      <c r="R32" s="41"/>
      <c r="S32" s="21">
        <f t="shared" si="35"/>
        <v>45003</v>
      </c>
      <c r="T32" s="42">
        <v>9.9934999999999992</v>
      </c>
      <c r="U32" s="43">
        <f t="shared" si="73"/>
        <v>0.19999999999953399</v>
      </c>
      <c r="V32" s="44">
        <f t="shared" si="74"/>
        <v>-4.9000000000010102</v>
      </c>
      <c r="W32" s="45">
        <f t="shared" si="75"/>
        <v>-9.99999999997669E-2</v>
      </c>
      <c r="X32" s="6">
        <v>15.2171</v>
      </c>
      <c r="Y32" s="43">
        <f t="shared" si="76"/>
        <v>-0.49999999999883499</v>
      </c>
      <c r="Z32" s="44">
        <f t="shared" si="77"/>
        <v>-4.2999999999988603</v>
      </c>
      <c r="AA32" s="45">
        <f t="shared" si="78"/>
        <v>-0.24999999999941699</v>
      </c>
      <c r="AB32" s="49">
        <v>10.6791</v>
      </c>
      <c r="AC32" s="43">
        <f t="shared" si="79"/>
        <v>0.29999999999930099</v>
      </c>
      <c r="AD32" s="44">
        <f t="shared" si="80"/>
        <v>-3.3999999999991801</v>
      </c>
      <c r="AE32" s="45">
        <f t="shared" si="81"/>
        <v>0.14999999999965</v>
      </c>
      <c r="AF32" s="50">
        <v>80736</v>
      </c>
      <c r="AG32" s="58">
        <f t="shared" si="45"/>
        <v>101</v>
      </c>
      <c r="AH32" s="59"/>
      <c r="AI32" s="60"/>
      <c r="AJ32" s="61"/>
      <c r="AK32" s="62"/>
      <c r="AL32" s="60"/>
      <c r="AM32" s="64"/>
    </row>
    <row r="33" spans="1:39">
      <c r="A33" s="21">
        <v>45005</v>
      </c>
      <c r="B33" s="22">
        <v>791.80629999999996</v>
      </c>
      <c r="C33" s="6">
        <v>6.6881000000000004</v>
      </c>
      <c r="D33" s="23">
        <f t="shared" si="23"/>
        <v>798.49440000000004</v>
      </c>
      <c r="E33" s="24">
        <f t="shared" si="64"/>
        <v>-0.40000000001327901</v>
      </c>
      <c r="F33" s="25">
        <f t="shared" si="65"/>
        <v>-3.9000000000442001</v>
      </c>
      <c r="G33" s="26">
        <f t="shared" si="66"/>
        <v>-0.20000000000663901</v>
      </c>
      <c r="H33" s="6">
        <v>7.3968999999999996</v>
      </c>
      <c r="I33" s="35">
        <f t="shared" si="27"/>
        <v>799.20320000000004</v>
      </c>
      <c r="J33" s="24">
        <f t="shared" si="67"/>
        <v>0.49999999998817701</v>
      </c>
      <c r="K33" s="25">
        <f t="shared" si="68"/>
        <v>-4.6000000000958599</v>
      </c>
      <c r="L33" s="26">
        <f t="shared" si="69"/>
        <v>0.24999999999408801</v>
      </c>
      <c r="M33" s="6">
        <v>6.6101000000000001</v>
      </c>
      <c r="N33" s="35">
        <f t="shared" si="31"/>
        <v>798.41639999999995</v>
      </c>
      <c r="O33" s="24">
        <f t="shared" si="70"/>
        <v>-0.30000000003838101</v>
      </c>
      <c r="P33" s="25">
        <f t="shared" si="71"/>
        <v>-2.70000000000437</v>
      </c>
      <c r="Q33" s="26">
        <f t="shared" si="72"/>
        <v>-0.15000000001919001</v>
      </c>
      <c r="R33" s="41"/>
      <c r="S33" s="21">
        <f t="shared" si="35"/>
        <v>45005</v>
      </c>
      <c r="T33" s="42">
        <v>9.9937000000000005</v>
      </c>
      <c r="U33" s="43">
        <f t="shared" si="73"/>
        <v>0.20000000000130999</v>
      </c>
      <c r="V33" s="44">
        <f t="shared" si="74"/>
        <v>-4.6999999999997</v>
      </c>
      <c r="W33" s="45">
        <f t="shared" si="75"/>
        <v>-0.100000000000655</v>
      </c>
      <c r="X33" s="6">
        <v>15.2173</v>
      </c>
      <c r="Y33" s="43">
        <f t="shared" si="76"/>
        <v>0.19999999999953399</v>
      </c>
      <c r="Z33" s="44">
        <f t="shared" si="77"/>
        <v>-4.09999999999933</v>
      </c>
      <c r="AA33" s="45">
        <f t="shared" si="78"/>
        <v>9.99999999997669E-2</v>
      </c>
      <c r="AB33" s="49">
        <v>10.679600000000001</v>
      </c>
      <c r="AC33" s="43">
        <f t="shared" si="79"/>
        <v>0.50000000000061096</v>
      </c>
      <c r="AD33" s="44">
        <f t="shared" si="80"/>
        <v>-2.8999999999985699</v>
      </c>
      <c r="AE33" s="45">
        <f t="shared" si="81"/>
        <v>0.25000000000030598</v>
      </c>
      <c r="AF33" s="50">
        <v>80742</v>
      </c>
      <c r="AG33" s="58">
        <f t="shared" si="45"/>
        <v>107</v>
      </c>
      <c r="AH33" s="59"/>
      <c r="AI33" s="60"/>
      <c r="AJ33" s="61"/>
      <c r="AK33" s="62"/>
      <c r="AL33" s="60"/>
      <c r="AM33" s="64"/>
    </row>
    <row r="34" spans="1:39">
      <c r="A34" s="21">
        <v>45007</v>
      </c>
      <c r="B34" s="22">
        <v>791.80629999999996</v>
      </c>
      <c r="C34" s="6">
        <v>6.6882999999999999</v>
      </c>
      <c r="D34" s="23">
        <f t="shared" si="23"/>
        <v>798.49459999999999</v>
      </c>
      <c r="E34" s="24">
        <f t="shared" si="64"/>
        <v>0.20000000006348301</v>
      </c>
      <c r="F34" s="25">
        <f t="shared" si="65"/>
        <v>-3.69999999998072</v>
      </c>
      <c r="G34" s="26">
        <f t="shared" si="66"/>
        <v>0.100000000031741</v>
      </c>
      <c r="H34" s="6">
        <v>7.3967000000000001</v>
      </c>
      <c r="I34" s="35">
        <f t="shared" si="27"/>
        <v>799.20299999999997</v>
      </c>
      <c r="J34" s="24">
        <f t="shared" si="67"/>
        <v>-0.199999999949796</v>
      </c>
      <c r="K34" s="25">
        <f t="shared" si="68"/>
        <v>-4.8000000000456602</v>
      </c>
      <c r="L34" s="26">
        <f t="shared" si="69"/>
        <v>-9.9999999974897905E-2</v>
      </c>
      <c r="M34" s="6">
        <v>6.61</v>
      </c>
      <c r="N34" s="35">
        <f t="shared" si="31"/>
        <v>798.41629999999998</v>
      </c>
      <c r="O34" s="24">
        <f t="shared" si="70"/>
        <v>-9.9999999974897905E-2</v>
      </c>
      <c r="P34" s="25">
        <f t="shared" si="71"/>
        <v>-2.79999999997926</v>
      </c>
      <c r="Q34" s="26">
        <f t="shared" si="72"/>
        <v>-4.9999999987449001E-2</v>
      </c>
      <c r="R34" s="41"/>
      <c r="S34" s="21">
        <f t="shared" si="35"/>
        <v>45007</v>
      </c>
      <c r="T34" s="42">
        <v>9.9933999999999994</v>
      </c>
      <c r="U34" s="43">
        <f t="shared" si="73"/>
        <v>-0.30000000000107702</v>
      </c>
      <c r="V34" s="44">
        <f t="shared" si="74"/>
        <v>-5.0000000000007798</v>
      </c>
      <c r="W34" s="45">
        <f t="shared" si="75"/>
        <v>0.15000000000053901</v>
      </c>
      <c r="X34" s="6">
        <v>15.2173</v>
      </c>
      <c r="Y34" s="43">
        <f t="shared" si="76"/>
        <v>0</v>
      </c>
      <c r="Z34" s="44">
        <f t="shared" si="77"/>
        <v>-4.09999999999933</v>
      </c>
      <c r="AA34" s="45">
        <f t="shared" si="78"/>
        <v>0</v>
      </c>
      <c r="AB34" s="49">
        <v>10.6792</v>
      </c>
      <c r="AC34" s="43">
        <f t="shared" si="79"/>
        <v>-0.40000000000084401</v>
      </c>
      <c r="AD34" s="44">
        <f t="shared" si="80"/>
        <v>-3.2999999999994101</v>
      </c>
      <c r="AE34" s="45">
        <f t="shared" si="81"/>
        <v>-0.20000000000042201</v>
      </c>
      <c r="AF34" s="50">
        <v>80748</v>
      </c>
      <c r="AG34" s="58">
        <f t="shared" si="45"/>
        <v>113</v>
      </c>
      <c r="AH34" s="59"/>
      <c r="AI34" s="60"/>
      <c r="AJ34" s="61"/>
      <c r="AK34" s="62"/>
      <c r="AL34" s="60"/>
      <c r="AM34" s="64"/>
    </row>
    <row r="35" spans="1:39">
      <c r="A35" s="21">
        <v>45009</v>
      </c>
      <c r="B35" s="22">
        <v>791.80629999999996</v>
      </c>
      <c r="C35" s="6">
        <v>6.6879999999999997</v>
      </c>
      <c r="D35" s="23">
        <f t="shared" si="23"/>
        <v>798.49429999999995</v>
      </c>
      <c r="E35" s="24">
        <f t="shared" si="64"/>
        <v>-0.30000000003838101</v>
      </c>
      <c r="F35" s="25">
        <f t="shared" si="65"/>
        <v>-4.0000000000191003</v>
      </c>
      <c r="G35" s="26">
        <f t="shared" si="66"/>
        <v>-0.15000000001919001</v>
      </c>
      <c r="H35" s="6">
        <v>7.3967999999999998</v>
      </c>
      <c r="I35" s="35">
        <f t="shared" si="27"/>
        <v>799.20309999999995</v>
      </c>
      <c r="J35" s="24">
        <f t="shared" si="67"/>
        <v>9.9999999974897905E-2</v>
      </c>
      <c r="K35" s="25">
        <f t="shared" si="68"/>
        <v>-4.7000000000707596</v>
      </c>
      <c r="L35" s="26">
        <f t="shared" si="69"/>
        <v>4.9999999987449001E-2</v>
      </c>
      <c r="M35" s="6">
        <v>6.6101000000000001</v>
      </c>
      <c r="N35" s="35">
        <f t="shared" si="31"/>
        <v>798.41639999999995</v>
      </c>
      <c r="O35" s="24">
        <f t="shared" si="70"/>
        <v>9.9999999974897905E-2</v>
      </c>
      <c r="P35" s="25">
        <f t="shared" si="71"/>
        <v>-2.70000000000437</v>
      </c>
      <c r="Q35" s="26">
        <f t="shared" si="72"/>
        <v>4.9999999987449001E-2</v>
      </c>
      <c r="R35" s="41"/>
      <c r="S35" s="21">
        <f t="shared" si="35"/>
        <v>45009</v>
      </c>
      <c r="T35" s="42">
        <v>9.9937000000000005</v>
      </c>
      <c r="U35" s="43">
        <f t="shared" si="73"/>
        <v>0.30000000000107702</v>
      </c>
      <c r="V35" s="44">
        <f t="shared" si="74"/>
        <v>-4.6999999999997</v>
      </c>
      <c r="W35" s="45">
        <f t="shared" si="75"/>
        <v>-0.15000000000053901</v>
      </c>
      <c r="X35" s="6">
        <v>15.2172</v>
      </c>
      <c r="Y35" s="43">
        <f t="shared" si="76"/>
        <v>-9.99999999997669E-2</v>
      </c>
      <c r="Z35" s="44">
        <f t="shared" si="77"/>
        <v>-4.1999999999990898</v>
      </c>
      <c r="AA35" s="45">
        <f t="shared" si="78"/>
        <v>-4.9999999999883499E-2</v>
      </c>
      <c r="AB35" s="49">
        <v>10.6793</v>
      </c>
      <c r="AC35" s="43">
        <f t="shared" si="79"/>
        <v>9.99999999997669E-2</v>
      </c>
      <c r="AD35" s="44">
        <f t="shared" si="80"/>
        <v>-3.1999999999996498</v>
      </c>
      <c r="AE35" s="45">
        <f t="shared" si="81"/>
        <v>4.9999999999883499E-2</v>
      </c>
      <c r="AF35" s="50">
        <v>80754</v>
      </c>
      <c r="AG35" s="58">
        <f t="shared" si="45"/>
        <v>119</v>
      </c>
      <c r="AH35" s="59"/>
      <c r="AI35" s="60"/>
      <c r="AJ35" s="61"/>
      <c r="AK35" s="62"/>
      <c r="AL35" s="60"/>
      <c r="AM35" s="64"/>
    </row>
    <row r="36" spans="1:39">
      <c r="A36" s="21">
        <v>45011</v>
      </c>
      <c r="B36" s="22">
        <v>791.80629999999996</v>
      </c>
      <c r="C36" s="6">
        <v>6.6879</v>
      </c>
      <c r="D36" s="23">
        <f t="shared" si="23"/>
        <v>798.49419999999998</v>
      </c>
      <c r="E36" s="24">
        <f t="shared" si="64"/>
        <v>-9.9999999974897905E-2</v>
      </c>
      <c r="F36" s="25">
        <f t="shared" si="65"/>
        <v>-4.099999999994</v>
      </c>
      <c r="G36" s="26">
        <f t="shared" si="66"/>
        <v>-4.9999999987449001E-2</v>
      </c>
      <c r="H36" s="6">
        <v>7.3973000000000004</v>
      </c>
      <c r="I36" s="35">
        <f t="shared" si="27"/>
        <v>799.20360000000005</v>
      </c>
      <c r="J36" s="24">
        <f t="shared" si="67"/>
        <v>0.49999999998817701</v>
      </c>
      <c r="K36" s="25">
        <f t="shared" si="68"/>
        <v>-4.2000000000825803</v>
      </c>
      <c r="L36" s="26">
        <f t="shared" si="69"/>
        <v>0.24999999999408801</v>
      </c>
      <c r="M36" s="6">
        <v>6.6101999999999999</v>
      </c>
      <c r="N36" s="35">
        <f t="shared" si="31"/>
        <v>798.41650000000004</v>
      </c>
      <c r="O36" s="24">
        <f t="shared" si="70"/>
        <v>9.9999999974897905E-2</v>
      </c>
      <c r="P36" s="25">
        <f t="shared" si="71"/>
        <v>-2.6000000000294698</v>
      </c>
      <c r="Q36" s="26">
        <f t="shared" si="72"/>
        <v>4.9999999987449001E-2</v>
      </c>
      <c r="R36" s="41"/>
      <c r="S36" s="21">
        <f t="shared" si="35"/>
        <v>45011</v>
      </c>
      <c r="T36" s="42">
        <v>9.9938000000000002</v>
      </c>
      <c r="U36" s="43">
        <f t="shared" si="73"/>
        <v>9.99999999997669E-2</v>
      </c>
      <c r="V36" s="44">
        <f t="shared" si="74"/>
        <v>-4.5999999999999401</v>
      </c>
      <c r="W36" s="45">
        <f t="shared" si="75"/>
        <v>-4.9999999999883499E-2</v>
      </c>
      <c r="X36" s="6">
        <v>15.2174</v>
      </c>
      <c r="Y36" s="43">
        <f t="shared" si="76"/>
        <v>0.19999999999953399</v>
      </c>
      <c r="Z36" s="44">
        <f t="shared" si="77"/>
        <v>-3.9999999999995599</v>
      </c>
      <c r="AA36" s="45">
        <f t="shared" si="78"/>
        <v>9.99999999997669E-2</v>
      </c>
      <c r="AB36" s="49">
        <v>10.6798</v>
      </c>
      <c r="AC36" s="43">
        <f t="shared" si="79"/>
        <v>0.50000000000061096</v>
      </c>
      <c r="AD36" s="44">
        <f t="shared" si="80"/>
        <v>-2.6999999999990401</v>
      </c>
      <c r="AE36" s="45">
        <f t="shared" si="81"/>
        <v>0.25000000000030598</v>
      </c>
      <c r="AF36" s="50">
        <v>80760</v>
      </c>
      <c r="AG36" s="58">
        <f t="shared" si="45"/>
        <v>125</v>
      </c>
      <c r="AH36" s="61"/>
      <c r="AI36" s="60"/>
      <c r="AJ36"/>
      <c r="AK36"/>
      <c r="AL36"/>
      <c r="AM36"/>
    </row>
    <row r="37" spans="1:39">
      <c r="A37" s="21">
        <v>45017</v>
      </c>
      <c r="B37" s="22">
        <v>791.80629999999996</v>
      </c>
      <c r="C37" s="6">
        <v>6.6877000000000004</v>
      </c>
      <c r="D37" s="23">
        <f t="shared" si="23"/>
        <v>798.49400000000003</v>
      </c>
      <c r="E37" s="24">
        <f t="shared" si="64"/>
        <v>-0.20000000006348301</v>
      </c>
      <c r="F37" s="25">
        <f t="shared" si="65"/>
        <v>-4.3000000000574801</v>
      </c>
      <c r="G37" s="26">
        <f t="shared" si="66"/>
        <v>-3.33333333439138E-2</v>
      </c>
      <c r="H37" s="6">
        <v>7.3977000000000004</v>
      </c>
      <c r="I37" s="35">
        <f t="shared" si="27"/>
        <v>799.20399999999995</v>
      </c>
      <c r="J37" s="24">
        <f t="shared" si="67"/>
        <v>0.40000000001327901</v>
      </c>
      <c r="K37" s="25">
        <f t="shared" si="68"/>
        <v>-3.8000000000692999</v>
      </c>
      <c r="L37" s="26">
        <f t="shared" si="69"/>
        <v>6.6666666668879798E-2</v>
      </c>
      <c r="M37" s="6">
        <v>6.6102999999999996</v>
      </c>
      <c r="N37" s="35">
        <f t="shared" si="31"/>
        <v>798.41660000000002</v>
      </c>
      <c r="O37" s="24">
        <f t="shared" si="70"/>
        <v>0.10000000008858501</v>
      </c>
      <c r="P37" s="25">
        <f t="shared" si="71"/>
        <v>-2.4999999999408802</v>
      </c>
      <c r="Q37" s="26">
        <f t="shared" si="72"/>
        <v>1.6666666681430801E-2</v>
      </c>
      <c r="R37" s="41"/>
      <c r="S37" s="21">
        <f t="shared" si="35"/>
        <v>45017</v>
      </c>
      <c r="T37" s="42">
        <v>9.9939</v>
      </c>
      <c r="U37" s="43">
        <f t="shared" si="73"/>
        <v>9.99999999997669E-2</v>
      </c>
      <c r="V37" s="44">
        <f t="shared" si="74"/>
        <v>-4.5000000000001696</v>
      </c>
      <c r="W37" s="45">
        <f t="shared" si="75"/>
        <v>-1.6666666666627802E-2</v>
      </c>
      <c r="X37" s="6">
        <v>15.217499999999999</v>
      </c>
      <c r="Y37" s="43">
        <f t="shared" si="76"/>
        <v>9.99999999997669E-2</v>
      </c>
      <c r="Z37" s="44">
        <f t="shared" si="77"/>
        <v>-3.8999999999997899</v>
      </c>
      <c r="AA37" s="45">
        <f t="shared" si="78"/>
        <v>1.6666666666627802E-2</v>
      </c>
      <c r="AB37" s="49">
        <v>10.679399999999999</v>
      </c>
      <c r="AC37" s="43">
        <f t="shared" si="79"/>
        <v>-0.40000000000084401</v>
      </c>
      <c r="AD37" s="44">
        <f t="shared" si="80"/>
        <v>-3.0999999999998802</v>
      </c>
      <c r="AE37" s="45">
        <f t="shared" si="81"/>
        <v>-6.66666666668074E-2</v>
      </c>
      <c r="AF37" s="50">
        <v>80766</v>
      </c>
      <c r="AG37" s="58">
        <f t="shared" si="45"/>
        <v>131</v>
      </c>
      <c r="AH37" s="61"/>
      <c r="AI37" s="60"/>
      <c r="AJ37" s="61"/>
      <c r="AK37" s="62"/>
      <c r="AL37" s="60"/>
      <c r="AM37" s="64"/>
    </row>
    <row r="38" spans="1:39">
      <c r="A38" s="21"/>
      <c r="B38" s="22"/>
      <c r="C38" s="27"/>
      <c r="D38" s="23"/>
      <c r="E38" s="65">
        <f>F37-F33</f>
        <v>-0.40000000001327901</v>
      </c>
      <c r="F38" s="33">
        <f>K37-K33</f>
        <v>0.80000000002655702</v>
      </c>
      <c r="G38" s="33">
        <f>P37-P33</f>
        <v>0.20000000006348301</v>
      </c>
      <c r="H38" s="33">
        <f>F37</f>
        <v>-4.3000000000574801</v>
      </c>
      <c r="I38" s="66">
        <f>K37</f>
        <v>-3.8000000000692999</v>
      </c>
      <c r="J38" s="65">
        <f>P37</f>
        <v>-2.4999999999408802</v>
      </c>
      <c r="K38" s="33">
        <f>(P37-P33)/12</f>
        <v>1.66666666719569E-2</v>
      </c>
      <c r="L38" s="26"/>
      <c r="N38" s="35"/>
      <c r="O38" s="24"/>
      <c r="P38" s="25"/>
      <c r="Q38" s="26"/>
      <c r="R38" s="41"/>
      <c r="S38" s="21"/>
      <c r="T38" s="42"/>
      <c r="U38" s="65">
        <f>V37-V33</f>
        <v>0.19999999999953399</v>
      </c>
      <c r="V38" s="33">
        <f>Z37-Z33</f>
        <v>0.19999999999953399</v>
      </c>
      <c r="W38" s="33">
        <f>AD37-AD33</f>
        <v>-0.20000000000130999</v>
      </c>
      <c r="X38" s="33">
        <f>V37</f>
        <v>-4.5000000000001696</v>
      </c>
      <c r="Y38" s="65">
        <f>Z37</f>
        <v>-3.8999999999997899</v>
      </c>
      <c r="Z38" s="33">
        <f>AD37</f>
        <v>-3.0999999999998802</v>
      </c>
      <c r="AA38" s="33">
        <f>(AD37-AD33)/12</f>
        <v>-1.6666666666775899E-2</v>
      </c>
      <c r="AB38" s="49"/>
      <c r="AC38" s="43"/>
      <c r="AD38" s="44"/>
      <c r="AE38" s="45"/>
      <c r="AF38" s="50"/>
      <c r="AG38" s="58"/>
      <c r="AH38" s="61"/>
      <c r="AI38" s="60"/>
      <c r="AJ38"/>
      <c r="AK38"/>
      <c r="AL38"/>
      <c r="AM38"/>
    </row>
    <row r="39" spans="1:39">
      <c r="A39" s="21"/>
      <c r="B39" s="22"/>
      <c r="C39" s="27"/>
      <c r="D39" s="23"/>
      <c r="E39" s="24"/>
      <c r="F39" s="25"/>
      <c r="G39" s="26"/>
      <c r="I39" s="35"/>
      <c r="J39" s="24"/>
      <c r="K39" s="25"/>
      <c r="L39" s="26"/>
      <c r="N39" s="35"/>
      <c r="O39" s="24"/>
      <c r="P39" s="25"/>
      <c r="Q39" s="26"/>
      <c r="R39" s="41"/>
      <c r="S39" s="21"/>
      <c r="T39" s="42"/>
      <c r="U39" s="43"/>
      <c r="V39" s="44"/>
      <c r="W39" s="45"/>
      <c r="X39" s="29"/>
      <c r="Y39" s="43"/>
      <c r="Z39" s="44"/>
      <c r="AA39" s="45"/>
      <c r="AB39" s="49"/>
      <c r="AC39" s="43"/>
      <c r="AD39" s="44"/>
      <c r="AE39" s="45"/>
      <c r="AF39" s="50"/>
      <c r="AG39" s="58"/>
      <c r="AH39" s="61"/>
      <c r="AI39" s="60"/>
      <c r="AJ39" s="61"/>
      <c r="AK39" s="62"/>
      <c r="AL39" s="60"/>
      <c r="AM39" s="64"/>
    </row>
    <row r="40" spans="1:39">
      <c r="A40" s="21"/>
      <c r="B40" s="22"/>
      <c r="C40" s="27"/>
      <c r="D40" s="23"/>
      <c r="E40" s="24"/>
      <c r="F40" s="25"/>
      <c r="G40" s="26"/>
      <c r="I40" s="35"/>
      <c r="J40" s="24"/>
      <c r="K40" s="25"/>
      <c r="L40" s="26"/>
      <c r="N40" s="35"/>
      <c r="O40" s="24"/>
      <c r="P40" s="25"/>
      <c r="Q40" s="26"/>
      <c r="R40" s="41"/>
      <c r="S40" s="21"/>
      <c r="T40" s="42"/>
      <c r="U40" s="43"/>
      <c r="V40" s="44"/>
      <c r="W40" s="45"/>
      <c r="X40" s="29"/>
      <c r="Y40" s="43"/>
      <c r="Z40" s="44"/>
      <c r="AA40" s="45"/>
      <c r="AB40" s="49"/>
      <c r="AC40" s="43"/>
      <c r="AD40" s="44"/>
      <c r="AE40" s="45"/>
      <c r="AF40" s="50"/>
      <c r="AG40" s="58"/>
      <c r="AH40" s="61"/>
      <c r="AI40" s="60"/>
      <c r="AJ40" s="61"/>
      <c r="AK40" s="62"/>
      <c r="AL40" s="60"/>
      <c r="AM40" s="64"/>
    </row>
    <row r="41" spans="1:39">
      <c r="A41" s="21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61"/>
      <c r="AI41" s="60"/>
      <c r="AJ41" s="61"/>
      <c r="AK41" s="62"/>
      <c r="AL41" s="60"/>
      <c r="AM41" s="64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6"/>
      <c r="U43" s="24"/>
      <c r="V43" s="25"/>
      <c r="W43" s="26"/>
      <c r="X43" s="29"/>
      <c r="Y43" s="24"/>
      <c r="Z43" s="25"/>
      <c r="AA43" s="26"/>
      <c r="AB43" s="29"/>
      <c r="AC43" s="24"/>
      <c r="AD43" s="25"/>
      <c r="AE43" s="26"/>
      <c r="AF43" s="50"/>
      <c r="AG43" s="58"/>
      <c r="AH43" s="51"/>
    </row>
    <row r="44" spans="1:39">
      <c r="A44" s="30"/>
      <c r="B44" s="22"/>
      <c r="C44" s="22"/>
      <c r="D44" s="28"/>
      <c r="E44" s="24"/>
      <c r="F44" s="25"/>
      <c r="G44" s="26"/>
      <c r="H44" s="29"/>
      <c r="I44" s="35"/>
      <c r="J44" s="24"/>
      <c r="K44" s="25"/>
      <c r="L44" s="26"/>
      <c r="M44" s="29"/>
      <c r="N44" s="35"/>
      <c r="O44" s="24"/>
      <c r="P44" s="25"/>
      <c r="Q44" s="26"/>
      <c r="R44" s="41"/>
      <c r="S44" s="30"/>
      <c r="T44" s="46"/>
      <c r="U44" s="24"/>
      <c r="V44" s="25"/>
      <c r="W44" s="26"/>
      <c r="X44" s="29"/>
      <c r="Y44" s="24"/>
      <c r="Z44" s="25"/>
      <c r="AA44" s="26"/>
      <c r="AB44" s="29"/>
      <c r="AC44" s="24"/>
      <c r="AD44" s="25"/>
      <c r="AE44" s="26"/>
      <c r="AF44" s="50"/>
      <c r="AG44" s="58"/>
      <c r="AH44" s="51"/>
    </row>
    <row r="45" spans="1:39">
      <c r="A45" s="30"/>
      <c r="B45" s="22"/>
      <c r="C45" s="22"/>
      <c r="D45" s="28"/>
      <c r="E45" s="24"/>
      <c r="F45" s="25"/>
      <c r="G45" s="26"/>
      <c r="H45" s="29"/>
      <c r="I45" s="35"/>
      <c r="J45" s="24"/>
      <c r="K45" s="25"/>
      <c r="L45" s="26"/>
      <c r="M45" s="29"/>
      <c r="N45" s="35"/>
      <c r="O45" s="24"/>
      <c r="P45" s="25"/>
      <c r="Q45" s="26"/>
      <c r="R45" s="41"/>
      <c r="S45" s="30"/>
      <c r="T45" s="46"/>
      <c r="U45" s="24"/>
      <c r="V45" s="25"/>
      <c r="W45" s="26"/>
      <c r="X45" s="47"/>
      <c r="Y45" s="24"/>
      <c r="Z45" s="25"/>
      <c r="AA45" s="26"/>
      <c r="AB45" s="47"/>
      <c r="AC45" s="24"/>
      <c r="AD45" s="25"/>
      <c r="AE45" s="26"/>
      <c r="AF45" s="50"/>
      <c r="AG45" s="58"/>
      <c r="AH45" s="51"/>
    </row>
    <row r="46" spans="1:39">
      <c r="A46" s="30"/>
      <c r="B46" s="22"/>
      <c r="C46" s="22"/>
      <c r="D46" s="28"/>
      <c r="E46" s="24"/>
      <c r="F46" s="25"/>
      <c r="G46" s="26"/>
      <c r="H46" s="29"/>
      <c r="I46" s="35"/>
      <c r="J46" s="24"/>
      <c r="K46" s="25"/>
      <c r="L46" s="26"/>
      <c r="M46" s="29"/>
      <c r="N46" s="35"/>
      <c r="O46" s="24"/>
      <c r="P46" s="25"/>
      <c r="Q46" s="26"/>
      <c r="R46" s="41"/>
      <c r="S46" s="30"/>
      <c r="T46" s="46"/>
      <c r="U46" s="24"/>
      <c r="V46" s="25"/>
      <c r="W46" s="26"/>
      <c r="X46" s="29"/>
      <c r="Y46" s="24"/>
      <c r="Z46" s="25"/>
      <c r="AA46" s="26"/>
      <c r="AB46" s="29"/>
      <c r="AC46" s="24"/>
      <c r="AD46" s="25"/>
      <c r="AE46" s="26"/>
      <c r="AF46" s="50"/>
      <c r="AG46" s="58"/>
      <c r="AH46" s="51"/>
    </row>
    <row r="47" spans="1:39">
      <c r="A47" s="30"/>
      <c r="B47" s="22"/>
      <c r="C47" s="22"/>
      <c r="D47" s="28"/>
      <c r="E47" s="24"/>
      <c r="F47" s="25"/>
      <c r="G47" s="26"/>
      <c r="H47" s="29"/>
      <c r="I47" s="35"/>
      <c r="J47" s="24"/>
      <c r="K47" s="25"/>
      <c r="L47" s="26"/>
      <c r="M47" s="29"/>
      <c r="N47" s="35"/>
      <c r="O47" s="24"/>
      <c r="P47" s="25"/>
      <c r="Q47" s="26"/>
      <c r="R47" s="41"/>
      <c r="S47" s="30"/>
      <c r="T47" s="42"/>
      <c r="U47" s="24"/>
      <c r="V47" s="25"/>
      <c r="W47" s="26"/>
      <c r="X47" s="29"/>
      <c r="Y47" s="24"/>
      <c r="Z47" s="25"/>
      <c r="AA47" s="26"/>
      <c r="AB47" s="29"/>
      <c r="AC47" s="24"/>
      <c r="AD47" s="25"/>
      <c r="AE47" s="26"/>
      <c r="AF47" s="26"/>
      <c r="AG47" s="26"/>
      <c r="AH47" s="51"/>
    </row>
    <row r="48" spans="1:39">
      <c r="A48" s="31"/>
      <c r="B48" s="30"/>
      <c r="C48" s="32"/>
      <c r="E48" s="24"/>
      <c r="F48" s="25"/>
      <c r="G48" s="26"/>
      <c r="H48" s="29"/>
      <c r="J48" s="24"/>
      <c r="K48" s="25"/>
      <c r="L48" s="26"/>
      <c r="M48" s="29"/>
      <c r="O48" s="24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0"/>
      <c r="C49" s="32"/>
      <c r="D49" s="32"/>
      <c r="E49" s="24"/>
      <c r="F49" s="25"/>
      <c r="G49" s="26"/>
      <c r="H49" s="29"/>
      <c r="I49" s="29"/>
      <c r="J49" s="24"/>
      <c r="K49" s="25"/>
      <c r="L49" s="26"/>
      <c r="M49" s="29"/>
      <c r="O49" s="24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>
        <v>3</v>
      </c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B54" s="31"/>
      <c r="C54" s="32"/>
      <c r="D54" s="32"/>
      <c r="E54" s="33"/>
      <c r="F54" s="25"/>
      <c r="G54" s="26"/>
      <c r="H54" s="29"/>
      <c r="I54" s="29"/>
      <c r="J54" s="33"/>
      <c r="K54" s="25"/>
      <c r="L54" s="26"/>
      <c r="M54" s="29"/>
      <c r="N54" s="29"/>
      <c r="O54" s="33"/>
      <c r="P54" s="25"/>
      <c r="Q54" s="26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B55" s="31"/>
      <c r="C55" s="32"/>
      <c r="D55" s="32"/>
      <c r="E55" s="33"/>
      <c r="F55" s="25"/>
      <c r="G55" s="26"/>
      <c r="H55" s="29"/>
      <c r="I55" s="29"/>
      <c r="J55" s="33"/>
      <c r="K55" s="25"/>
      <c r="L55" s="26"/>
      <c r="M55" s="29"/>
      <c r="N55" s="29"/>
      <c r="O55" s="33"/>
      <c r="P55" s="25"/>
      <c r="Q55" s="26"/>
      <c r="R55" s="41"/>
      <c r="S55" s="30"/>
      <c r="T55" s="42"/>
      <c r="U55" s="33"/>
      <c r="V55" s="25"/>
      <c r="W55" s="26"/>
      <c r="X55" s="29"/>
      <c r="Y55" s="33"/>
      <c r="Z55" s="25"/>
      <c r="AA55" s="26"/>
      <c r="AB55" s="29"/>
      <c r="AC55" s="33"/>
      <c r="AD55" s="25"/>
      <c r="AE55" s="26"/>
      <c r="AF55" s="26"/>
      <c r="AG55" s="26"/>
      <c r="AH55" s="51"/>
    </row>
    <row r="56" spans="1:34">
      <c r="A56" s="31"/>
      <c r="B56" s="31"/>
      <c r="C56" s="32"/>
      <c r="D56" s="32"/>
      <c r="E56" s="33"/>
      <c r="F56" s="25"/>
      <c r="G56" s="26"/>
      <c r="H56" s="29"/>
      <c r="I56" s="29"/>
      <c r="J56" s="33"/>
      <c r="K56" s="25"/>
      <c r="L56" s="26"/>
      <c r="M56" s="29"/>
      <c r="N56" s="29"/>
      <c r="O56" s="33"/>
      <c r="P56" s="25"/>
      <c r="Q56" s="26"/>
      <c r="R56" s="41"/>
      <c r="S56" s="30"/>
      <c r="T56" s="42"/>
      <c r="U56" s="33"/>
      <c r="V56" s="25"/>
      <c r="W56" s="26"/>
      <c r="X56" s="29"/>
      <c r="Y56" s="33"/>
      <c r="Z56" s="25"/>
      <c r="AA56" s="26"/>
      <c r="AB56" s="29"/>
      <c r="AC56" s="33"/>
      <c r="AD56" s="25"/>
      <c r="AE56" s="26"/>
      <c r="AF56" s="26"/>
      <c r="AG56" s="26"/>
      <c r="AH56" s="51"/>
    </row>
    <row r="57" spans="1:34">
      <c r="A57" s="31"/>
      <c r="B57" s="31"/>
      <c r="C57" s="32"/>
      <c r="D57" s="32"/>
      <c r="E57" s="33"/>
      <c r="F57" s="25"/>
      <c r="G57" s="26"/>
      <c r="H57" s="29"/>
      <c r="I57" s="29"/>
      <c r="J57" s="33"/>
      <c r="K57" s="25"/>
      <c r="L57" s="26"/>
      <c r="M57" s="29"/>
      <c r="N57" s="29"/>
      <c r="O57" s="33"/>
      <c r="P57" s="25"/>
      <c r="Q57" s="26"/>
      <c r="R57" s="41"/>
      <c r="S57" s="30"/>
      <c r="T57" s="42"/>
      <c r="U57" s="33"/>
      <c r="V57" s="25"/>
      <c r="W57" s="26"/>
      <c r="X57" s="29"/>
      <c r="Y57" s="33"/>
      <c r="Z57" s="25"/>
      <c r="AA57" s="26"/>
      <c r="AB57" s="29"/>
      <c r="AC57" s="33"/>
      <c r="AD57" s="25"/>
      <c r="AE57" s="26"/>
      <c r="AF57" s="26"/>
      <c r="AG57" s="26"/>
      <c r="AH57" s="51"/>
    </row>
    <row r="58" spans="1:34">
      <c r="A58" s="31"/>
      <c r="C58" s="32"/>
      <c r="H58" s="29"/>
      <c r="M58" s="29"/>
      <c r="R58" s="41"/>
      <c r="S58" s="30"/>
      <c r="T58" s="42"/>
      <c r="U58" s="33"/>
      <c r="V58" s="25"/>
      <c r="W58" s="26"/>
      <c r="X58" s="29"/>
      <c r="Y58" s="33"/>
      <c r="Z58" s="25"/>
      <c r="AA58" s="26"/>
      <c r="AB58" s="29"/>
      <c r="AC58" s="33"/>
      <c r="AD58" s="25"/>
      <c r="AE58" s="26"/>
      <c r="AF58" s="26"/>
      <c r="AG58" s="26"/>
      <c r="AH58" s="51"/>
    </row>
    <row r="59" spans="1:34">
      <c r="A59" s="31"/>
      <c r="C59" s="32"/>
      <c r="H59" s="29"/>
      <c r="M59" s="29"/>
      <c r="R59" s="41"/>
      <c r="AH59" s="51"/>
    </row>
    <row r="60" spans="1:34">
      <c r="A60" s="31"/>
      <c r="C60" s="32"/>
      <c r="H60" s="29"/>
      <c r="M60" s="29"/>
      <c r="R60" s="41"/>
      <c r="AH60" s="51"/>
    </row>
    <row r="61" spans="1:34">
      <c r="A61" s="31"/>
      <c r="C61" s="32"/>
      <c r="H61" s="29"/>
      <c r="M61" s="29"/>
      <c r="R61" s="41"/>
      <c r="AH61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9"/>
  <sheetViews>
    <sheetView topLeftCell="O25" workbookViewId="0">
      <selection activeCell="E36" sqref="E36:K36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83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44971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44971</v>
      </c>
      <c r="B6" s="22">
        <v>791.80629999999996</v>
      </c>
      <c r="C6" s="6">
        <v>6.5522999999999998</v>
      </c>
      <c r="D6" s="23">
        <f t="shared" ref="D6:D12" si="0">C6+B6</f>
        <v>798.35860000000002</v>
      </c>
      <c r="E6" s="24">
        <v>0</v>
      </c>
      <c r="F6" s="25">
        <v>0</v>
      </c>
      <c r="G6" s="26">
        <v>0</v>
      </c>
      <c r="H6" s="6">
        <v>7.3846999999999996</v>
      </c>
      <c r="I6" s="35">
        <f t="shared" ref="I6:I12" si="1">H6+B6</f>
        <v>799.19100000000003</v>
      </c>
      <c r="J6" s="24">
        <v>0</v>
      </c>
      <c r="K6" s="25">
        <v>0</v>
      </c>
      <c r="L6" s="26">
        <v>0</v>
      </c>
      <c r="M6" s="6">
        <v>6.6741999999999999</v>
      </c>
      <c r="N6" s="35">
        <f t="shared" ref="N6:N12" si="2">M6+B6</f>
        <v>798.48050000000001</v>
      </c>
      <c r="O6" s="24">
        <v>0</v>
      </c>
      <c r="P6" s="25">
        <v>0</v>
      </c>
      <c r="Q6" s="26">
        <v>0</v>
      </c>
      <c r="R6" s="41"/>
      <c r="S6" s="21">
        <f t="shared" ref="S6:S12" si="3">A6</f>
        <v>44971</v>
      </c>
      <c r="T6" s="42">
        <v>10.220599999999999</v>
      </c>
      <c r="U6" s="43">
        <v>0</v>
      </c>
      <c r="V6" s="44">
        <v>0</v>
      </c>
      <c r="W6" s="45">
        <f>U6/(S6-S11)</f>
        <v>0</v>
      </c>
      <c r="X6" s="6">
        <v>15.145799999999999</v>
      </c>
      <c r="Y6" s="43">
        <v>0</v>
      </c>
      <c r="Z6" s="44">
        <v>0</v>
      </c>
      <c r="AA6" s="45">
        <v>0</v>
      </c>
      <c r="AB6" s="49">
        <v>10.343500000000001</v>
      </c>
      <c r="AC6" s="43">
        <v>0</v>
      </c>
      <c r="AD6" s="44">
        <v>0</v>
      </c>
      <c r="AE6" s="45">
        <v>0</v>
      </c>
      <c r="AF6" s="50">
        <v>80656</v>
      </c>
      <c r="AG6" s="58">
        <f>AF6-80651</f>
        <v>5</v>
      </c>
      <c r="AH6" s="59"/>
      <c r="AI6" s="60"/>
      <c r="AJ6" s="61"/>
      <c r="AK6" s="62"/>
      <c r="AL6" s="52"/>
      <c r="AM6" s="52"/>
    </row>
    <row r="7" spans="1:48">
      <c r="A7" s="21">
        <v>44972</v>
      </c>
      <c r="B7" s="22">
        <v>791.80629999999996</v>
      </c>
      <c r="C7" s="6">
        <v>6.5525000000000002</v>
      </c>
      <c r="D7" s="23">
        <f t="shared" si="0"/>
        <v>798.35879999999997</v>
      </c>
      <c r="E7" s="24">
        <f t="shared" ref="E7:E12" si="4">(D7-D6)*1000</f>
        <v>0.20000000006348301</v>
      </c>
      <c r="F7" s="25">
        <f t="shared" ref="F7:F12" si="5">F6+E7</f>
        <v>0.20000000006348301</v>
      </c>
      <c r="G7" s="26">
        <f t="shared" ref="G7:G12" si="6">E7/(A7-A6)</f>
        <v>0.20000000006348301</v>
      </c>
      <c r="H7" s="6">
        <v>7.3848000000000003</v>
      </c>
      <c r="I7" s="35">
        <f t="shared" si="1"/>
        <v>799.19110000000001</v>
      </c>
      <c r="J7" s="24">
        <f t="shared" ref="J7:J12" si="7">(I7-I6)*1000</f>
        <v>0.10000000008858501</v>
      </c>
      <c r="K7" s="25">
        <f t="shared" ref="K7:K12" si="8">K6+J7</f>
        <v>0.10000000008858501</v>
      </c>
      <c r="L7" s="26">
        <f t="shared" ref="L7:L12" si="9">J7/(A7-A6)</f>
        <v>0.10000000008858501</v>
      </c>
      <c r="M7" s="6">
        <v>6.6744000000000003</v>
      </c>
      <c r="N7" s="35">
        <f t="shared" si="2"/>
        <v>798.48069999999996</v>
      </c>
      <c r="O7" s="24">
        <f t="shared" ref="O7:O12" si="10">(N7-N6)*1000</f>
        <v>0.199999999949796</v>
      </c>
      <c r="P7" s="25">
        <f t="shared" ref="P7:P12" si="11">P6+O7</f>
        <v>0.199999999949796</v>
      </c>
      <c r="Q7" s="26">
        <f t="shared" ref="Q7:Q12" si="12">O7/(A7-A6)</f>
        <v>0.199999999949796</v>
      </c>
      <c r="R7" s="41"/>
      <c r="S7" s="21">
        <f t="shared" si="3"/>
        <v>44972</v>
      </c>
      <c r="T7" s="42">
        <v>10.2203</v>
      </c>
      <c r="U7" s="43">
        <f t="shared" ref="U7:U12" si="13">(T7-T6)*1000</f>
        <v>-0.29999999999930099</v>
      </c>
      <c r="V7" s="44">
        <f t="shared" ref="V7:V12" si="14">V6+U7</f>
        <v>-0.29999999999930099</v>
      </c>
      <c r="W7" s="45">
        <f t="shared" ref="W7:W12" si="15">U7/(S6-S7)</f>
        <v>0.29999999999930099</v>
      </c>
      <c r="X7" s="6">
        <v>15.145200000000001</v>
      </c>
      <c r="Y7" s="43">
        <f t="shared" ref="Y7:Y12" si="16">(X7-X6)*1000</f>
        <v>-0.59999999999860198</v>
      </c>
      <c r="Z7" s="44">
        <f t="shared" ref="Z7:Z12" si="17">Z6+Y7</f>
        <v>-0.59999999999860198</v>
      </c>
      <c r="AA7" s="45">
        <f t="shared" ref="AA7:AA12" si="18">Y7/(S7-S6)</f>
        <v>-0.59999999999860198</v>
      </c>
      <c r="AB7" s="49">
        <v>10.3432</v>
      </c>
      <c r="AC7" s="43">
        <f t="shared" ref="AC7:AC12" si="19">(AB7-AB6)*1000</f>
        <v>-0.30000000000107702</v>
      </c>
      <c r="AD7" s="44">
        <f t="shared" ref="AD7:AD12" si="20">AD6+AC7</f>
        <v>-0.30000000000107702</v>
      </c>
      <c r="AE7" s="45">
        <f t="shared" ref="AE7:AE12" si="21">AC7/(S7-S6)</f>
        <v>-0.30000000000107702</v>
      </c>
      <c r="AF7" s="50">
        <v>80659</v>
      </c>
      <c r="AG7" s="58">
        <f t="shared" ref="AG7:AG12" si="22">AF7-80651</f>
        <v>8</v>
      </c>
      <c r="AH7" s="59"/>
      <c r="AI7" s="60"/>
      <c r="AJ7" s="61"/>
      <c r="AK7" s="62"/>
      <c r="AL7" s="52"/>
      <c r="AM7" s="52"/>
    </row>
    <row r="8" spans="1:48">
      <c r="A8" s="21">
        <v>44973</v>
      </c>
      <c r="B8" s="22">
        <v>791.80629999999996</v>
      </c>
      <c r="C8" s="6">
        <v>6.5519999999999996</v>
      </c>
      <c r="D8" s="23">
        <f t="shared" si="0"/>
        <v>798.35829999999999</v>
      </c>
      <c r="E8" s="24">
        <f t="shared" si="4"/>
        <v>-0.49999999998817701</v>
      </c>
      <c r="F8" s="25">
        <f t="shared" si="5"/>
        <v>-0.29999999992469401</v>
      </c>
      <c r="G8" s="26">
        <f t="shared" si="6"/>
        <v>-0.49999999998817701</v>
      </c>
      <c r="H8" s="6">
        <v>7.3842999999999996</v>
      </c>
      <c r="I8" s="35">
        <f t="shared" si="1"/>
        <v>799.19060000000002</v>
      </c>
      <c r="J8" s="24">
        <f t="shared" si="7"/>
        <v>-0.49999999998817701</v>
      </c>
      <c r="K8" s="25">
        <f t="shared" si="8"/>
        <v>-0.39999999989959201</v>
      </c>
      <c r="L8" s="26">
        <f t="shared" si="9"/>
        <v>-0.49999999998817701</v>
      </c>
      <c r="M8" s="6">
        <v>6.6740000000000004</v>
      </c>
      <c r="N8" s="35">
        <f t="shared" si="2"/>
        <v>798.48030000000006</v>
      </c>
      <c r="O8" s="24">
        <f t="shared" si="10"/>
        <v>-0.40000000001327901</v>
      </c>
      <c r="P8" s="25">
        <f t="shared" si="11"/>
        <v>-0.20000000006348301</v>
      </c>
      <c r="Q8" s="26">
        <f t="shared" si="12"/>
        <v>-0.40000000001327901</v>
      </c>
      <c r="R8" s="41"/>
      <c r="S8" s="21">
        <f t="shared" si="3"/>
        <v>44973</v>
      </c>
      <c r="T8" s="42">
        <v>10.2201</v>
      </c>
      <c r="U8" s="43">
        <f t="shared" si="13"/>
        <v>-0.19999999999953399</v>
      </c>
      <c r="V8" s="44">
        <f t="shared" si="14"/>
        <v>-0.49999999999883499</v>
      </c>
      <c r="W8" s="45">
        <f t="shared" si="15"/>
        <v>0.19999999999953399</v>
      </c>
      <c r="X8" s="6">
        <v>15.145300000000001</v>
      </c>
      <c r="Y8" s="43">
        <f t="shared" si="16"/>
        <v>9.99999999997669E-2</v>
      </c>
      <c r="Z8" s="44">
        <f t="shared" si="17"/>
        <v>-0.49999999999883499</v>
      </c>
      <c r="AA8" s="45">
        <f t="shared" si="18"/>
        <v>9.99999999997669E-2</v>
      </c>
      <c r="AB8" s="49">
        <v>10.343</v>
      </c>
      <c r="AC8" s="43">
        <f t="shared" si="19"/>
        <v>-0.19999999999953399</v>
      </c>
      <c r="AD8" s="44">
        <f t="shared" si="20"/>
        <v>-0.50000000000061096</v>
      </c>
      <c r="AE8" s="45">
        <f t="shared" si="21"/>
        <v>-0.19999999999953399</v>
      </c>
      <c r="AF8" s="50">
        <v>80662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44974</v>
      </c>
      <c r="B9" s="22">
        <v>791.80629999999996</v>
      </c>
      <c r="C9" s="6">
        <v>6.5518000000000001</v>
      </c>
      <c r="D9" s="23">
        <f t="shared" si="0"/>
        <v>798.35810000000004</v>
      </c>
      <c r="E9" s="24">
        <f t="shared" si="4"/>
        <v>-0.20000000006348301</v>
      </c>
      <c r="F9" s="25">
        <f t="shared" si="5"/>
        <v>-0.49999999998817701</v>
      </c>
      <c r="G9" s="26">
        <f t="shared" si="6"/>
        <v>-0.20000000006348301</v>
      </c>
      <c r="H9" s="6">
        <v>7.3841999999999999</v>
      </c>
      <c r="I9" s="35">
        <f t="shared" si="1"/>
        <v>799.19050000000004</v>
      </c>
      <c r="J9" s="24">
        <f t="shared" si="7"/>
        <v>-0.10000000008858501</v>
      </c>
      <c r="K9" s="25">
        <f t="shared" si="8"/>
        <v>-0.49999999998817701</v>
      </c>
      <c r="L9" s="26">
        <f t="shared" si="9"/>
        <v>-0.10000000008858501</v>
      </c>
      <c r="M9" s="6">
        <v>6.6734999999999998</v>
      </c>
      <c r="N9" s="35">
        <f t="shared" si="2"/>
        <v>798.47979999999995</v>
      </c>
      <c r="O9" s="24">
        <f t="shared" si="10"/>
        <v>-0.49999999998817701</v>
      </c>
      <c r="P9" s="25">
        <f t="shared" si="11"/>
        <v>-0.70000000005165897</v>
      </c>
      <c r="Q9" s="26">
        <f t="shared" si="12"/>
        <v>-0.49999999998817701</v>
      </c>
      <c r="R9" s="41"/>
      <c r="S9" s="21">
        <f t="shared" si="3"/>
        <v>44974</v>
      </c>
      <c r="T9" s="42">
        <v>10.2202</v>
      </c>
      <c r="U9" s="43">
        <f t="shared" si="13"/>
        <v>9.99999999997669E-2</v>
      </c>
      <c r="V9" s="44">
        <f t="shared" si="14"/>
        <v>-0.39999999999906799</v>
      </c>
      <c r="W9" s="45">
        <f t="shared" si="15"/>
        <v>-9.99999999997669E-2</v>
      </c>
      <c r="X9" s="6">
        <v>15.145</v>
      </c>
      <c r="Y9" s="43">
        <f t="shared" si="16"/>
        <v>-0.30000000000107702</v>
      </c>
      <c r="Z9" s="44">
        <f t="shared" si="17"/>
        <v>-0.799999999999912</v>
      </c>
      <c r="AA9" s="45">
        <f t="shared" si="18"/>
        <v>-0.30000000000107702</v>
      </c>
      <c r="AB9" s="49">
        <v>10.3429</v>
      </c>
      <c r="AC9" s="43">
        <f t="shared" si="19"/>
        <v>-9.99999999997669E-2</v>
      </c>
      <c r="AD9" s="44">
        <f t="shared" si="20"/>
        <v>-0.60000000000037801</v>
      </c>
      <c r="AE9" s="45">
        <f t="shared" si="21"/>
        <v>-9.99999999997669E-2</v>
      </c>
      <c r="AF9" s="50">
        <v>80665</v>
      </c>
      <c r="AG9" s="58">
        <f t="shared" si="22"/>
        <v>14</v>
      </c>
      <c r="AH9" s="61"/>
      <c r="AI9" s="60"/>
      <c r="AJ9"/>
      <c r="AK9"/>
      <c r="AL9"/>
      <c r="AM9"/>
    </row>
    <row r="10" spans="1:48">
      <c r="A10" s="21">
        <v>44975</v>
      </c>
      <c r="B10" s="22">
        <v>791.80629999999996</v>
      </c>
      <c r="C10" s="6">
        <v>6.5514000000000001</v>
      </c>
      <c r="D10" s="23">
        <f t="shared" si="0"/>
        <v>798.35770000000002</v>
      </c>
      <c r="E10" s="24">
        <f t="shared" si="4"/>
        <v>-0.40000000001327901</v>
      </c>
      <c r="F10" s="25">
        <f t="shared" si="5"/>
        <v>-0.90000000000145497</v>
      </c>
      <c r="G10" s="26">
        <f t="shared" si="6"/>
        <v>-0.40000000001327901</v>
      </c>
      <c r="H10" s="6">
        <v>7.3840000000000003</v>
      </c>
      <c r="I10" s="35">
        <f t="shared" si="1"/>
        <v>799.19029999999998</v>
      </c>
      <c r="J10" s="24">
        <f t="shared" si="7"/>
        <v>-0.199999999949796</v>
      </c>
      <c r="K10" s="25">
        <f t="shared" si="8"/>
        <v>-0.69999999993797202</v>
      </c>
      <c r="L10" s="26">
        <f t="shared" si="9"/>
        <v>-0.199999999949796</v>
      </c>
      <c r="M10" s="6">
        <v>6.673</v>
      </c>
      <c r="N10" s="35">
        <f t="shared" si="2"/>
        <v>798.47929999999997</v>
      </c>
      <c r="O10" s="24">
        <f t="shared" si="10"/>
        <v>-0.49999999998817701</v>
      </c>
      <c r="P10" s="25">
        <f t="shared" si="11"/>
        <v>-1.2000000000398401</v>
      </c>
      <c r="Q10" s="26">
        <f t="shared" si="12"/>
        <v>-0.49999999998817701</v>
      </c>
      <c r="R10" s="41"/>
      <c r="S10" s="21">
        <f t="shared" si="3"/>
        <v>44975</v>
      </c>
      <c r="T10" s="42">
        <v>10.219799999999999</v>
      </c>
      <c r="U10" s="43">
        <f t="shared" si="13"/>
        <v>-0.40000000000084401</v>
      </c>
      <c r="V10" s="44">
        <f t="shared" si="14"/>
        <v>-0.799999999999912</v>
      </c>
      <c r="W10" s="45">
        <f t="shared" si="15"/>
        <v>0.40000000000084401</v>
      </c>
      <c r="X10" s="6">
        <v>15.1448</v>
      </c>
      <c r="Y10" s="43">
        <f t="shared" si="16"/>
        <v>-0.19999999999953399</v>
      </c>
      <c r="Z10" s="44">
        <f t="shared" si="17"/>
        <v>-0.999999999999446</v>
      </c>
      <c r="AA10" s="45">
        <f t="shared" si="18"/>
        <v>-0.19999999999953399</v>
      </c>
      <c r="AB10" s="49">
        <v>10.342499999999999</v>
      </c>
      <c r="AC10" s="43">
        <f t="shared" si="19"/>
        <v>-0.40000000000084401</v>
      </c>
      <c r="AD10" s="44">
        <f t="shared" si="20"/>
        <v>-1.0000000000012199</v>
      </c>
      <c r="AE10" s="45">
        <f t="shared" si="21"/>
        <v>-0.40000000000084401</v>
      </c>
      <c r="AF10" s="50">
        <v>80668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44976</v>
      </c>
      <c r="B11" s="22">
        <v>791.80629999999996</v>
      </c>
      <c r="C11" s="6">
        <v>6.5514999999999999</v>
      </c>
      <c r="D11" s="23">
        <f t="shared" si="0"/>
        <v>798.3578</v>
      </c>
      <c r="E11" s="24">
        <f t="shared" si="4"/>
        <v>0.10000000008858501</v>
      </c>
      <c r="F11" s="25">
        <f t="shared" si="5"/>
        <v>-0.79999999991286996</v>
      </c>
      <c r="G11" s="26">
        <f t="shared" si="6"/>
        <v>0.10000000008858501</v>
      </c>
      <c r="H11" s="6">
        <v>7.3837999999999999</v>
      </c>
      <c r="I11" s="35">
        <f t="shared" si="1"/>
        <v>799.19010000000003</v>
      </c>
      <c r="J11" s="24">
        <f t="shared" si="7"/>
        <v>-0.20000000006348301</v>
      </c>
      <c r="K11" s="25">
        <f t="shared" si="8"/>
        <v>-0.90000000000145497</v>
      </c>
      <c r="L11" s="26">
        <f t="shared" si="9"/>
        <v>-0.20000000006348301</v>
      </c>
      <c r="M11" s="6">
        <v>6.6727999999999996</v>
      </c>
      <c r="N11" s="35">
        <f t="shared" si="2"/>
        <v>798.47910000000002</v>
      </c>
      <c r="O11" s="24">
        <f t="shared" si="10"/>
        <v>-0.199999999949796</v>
      </c>
      <c r="P11" s="25">
        <f t="shared" si="11"/>
        <v>-1.39999999998963</v>
      </c>
      <c r="Q11" s="26">
        <f t="shared" si="12"/>
        <v>-0.199999999949796</v>
      </c>
      <c r="R11" s="41"/>
      <c r="S11" s="21">
        <f t="shared" si="3"/>
        <v>44976</v>
      </c>
      <c r="T11" s="42">
        <v>10.2196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6">
        <v>15.144600000000001</v>
      </c>
      <c r="Y11" s="43">
        <f t="shared" si="16"/>
        <v>-0.19999999999953399</v>
      </c>
      <c r="Z11" s="44">
        <f t="shared" si="17"/>
        <v>-1.1999999999989801</v>
      </c>
      <c r="AA11" s="45">
        <f t="shared" si="18"/>
        <v>-0.19999999999953399</v>
      </c>
      <c r="AB11" s="49">
        <v>10.342599999999999</v>
      </c>
      <c r="AC11" s="43">
        <f t="shared" si="19"/>
        <v>9.99999999997669E-2</v>
      </c>
      <c r="AD11" s="44">
        <f t="shared" si="20"/>
        <v>-0.90000000000145497</v>
      </c>
      <c r="AE11" s="45">
        <f t="shared" si="21"/>
        <v>9.99999999997669E-2</v>
      </c>
      <c r="AF11" s="50">
        <v>80671</v>
      </c>
      <c r="AG11" s="58">
        <f t="shared" si="22"/>
        <v>20</v>
      </c>
      <c r="AH11" s="61"/>
      <c r="AI11" s="60"/>
      <c r="AJ11"/>
      <c r="AK11"/>
      <c r="AL11"/>
      <c r="AM11"/>
    </row>
    <row r="12" spans="1:48">
      <c r="A12" s="21">
        <v>44977</v>
      </c>
      <c r="B12" s="22">
        <v>791.80629999999996</v>
      </c>
      <c r="C12" s="6">
        <v>6.5513000000000003</v>
      </c>
      <c r="D12" s="23">
        <f t="shared" si="0"/>
        <v>798.35760000000005</v>
      </c>
      <c r="E12" s="24">
        <f t="shared" si="4"/>
        <v>-0.20000000006348301</v>
      </c>
      <c r="F12" s="25">
        <f t="shared" si="5"/>
        <v>-0.99999999997635303</v>
      </c>
      <c r="G12" s="26">
        <f t="shared" si="6"/>
        <v>-0.20000000006348301</v>
      </c>
      <c r="H12" s="6">
        <v>7.3838999999999997</v>
      </c>
      <c r="I12" s="35">
        <f t="shared" si="1"/>
        <v>799.1902</v>
      </c>
      <c r="J12" s="24">
        <f t="shared" si="7"/>
        <v>0.10000000008858501</v>
      </c>
      <c r="K12" s="25">
        <f t="shared" si="8"/>
        <v>-0.79999999991286996</v>
      </c>
      <c r="L12" s="26">
        <f t="shared" si="9"/>
        <v>0.10000000008858501</v>
      </c>
      <c r="M12" s="6">
        <v>6.6726999999999999</v>
      </c>
      <c r="N12" s="35">
        <f t="shared" si="2"/>
        <v>798.47900000000004</v>
      </c>
      <c r="O12" s="24">
        <f t="shared" si="10"/>
        <v>-0.10000000008858501</v>
      </c>
      <c r="P12" s="25">
        <f t="shared" si="11"/>
        <v>-1.5000000000782201</v>
      </c>
      <c r="Q12" s="26">
        <f t="shared" si="12"/>
        <v>-0.10000000008858501</v>
      </c>
      <c r="R12" s="41"/>
      <c r="S12" s="21">
        <f t="shared" si="3"/>
        <v>44977</v>
      </c>
      <c r="T12" s="42">
        <v>10.2195</v>
      </c>
      <c r="U12" s="43">
        <f t="shared" si="13"/>
        <v>-9.99999999997669E-2</v>
      </c>
      <c r="V12" s="44">
        <f t="shared" si="14"/>
        <v>-1.0999999999992101</v>
      </c>
      <c r="W12" s="45">
        <f t="shared" si="15"/>
        <v>9.99999999997669E-2</v>
      </c>
      <c r="X12" s="6">
        <v>15.144500000000001</v>
      </c>
      <c r="Y12" s="43">
        <f t="shared" si="16"/>
        <v>-9.99999999997669E-2</v>
      </c>
      <c r="Z12" s="44">
        <f t="shared" si="17"/>
        <v>-1.2999999999987499</v>
      </c>
      <c r="AA12" s="45">
        <f t="shared" si="18"/>
        <v>-9.99999999997669E-2</v>
      </c>
      <c r="AB12" s="49">
        <v>10.3424</v>
      </c>
      <c r="AC12" s="43">
        <f t="shared" si="19"/>
        <v>-0.19999999999953399</v>
      </c>
      <c r="AD12" s="44">
        <f t="shared" si="20"/>
        <v>-1.10000000000099</v>
      </c>
      <c r="AE12" s="45">
        <f t="shared" si="21"/>
        <v>-0.19999999999953399</v>
      </c>
      <c r="AF12" s="50">
        <v>80674</v>
      </c>
      <c r="AG12" s="58">
        <f t="shared" si="22"/>
        <v>23</v>
      </c>
      <c r="AH12" s="59"/>
      <c r="AI12" s="60"/>
      <c r="AJ12"/>
      <c r="AK12"/>
      <c r="AL12"/>
      <c r="AM12"/>
    </row>
    <row r="13" spans="1:48">
      <c r="A13" s="21">
        <v>44978</v>
      </c>
      <c r="B13" s="22">
        <v>791.80629999999996</v>
      </c>
      <c r="C13" s="6">
        <v>6.5510999999999999</v>
      </c>
      <c r="D13" s="23">
        <f t="shared" ref="D13:D20" si="23">C13+B13</f>
        <v>798.35739999999998</v>
      </c>
      <c r="E13" s="24">
        <f t="shared" ref="E13:E20" si="24">(D13-D12)*1000</f>
        <v>-0.199999999949796</v>
      </c>
      <c r="F13" s="25">
        <f t="shared" ref="F13:F20" si="25">F12+E13</f>
        <v>-1.1999999999261499</v>
      </c>
      <c r="G13" s="26">
        <f t="shared" ref="G13:G20" si="26">E13/(A13-A12)</f>
        <v>-0.199999999949796</v>
      </c>
      <c r="H13" s="6">
        <v>7.3834</v>
      </c>
      <c r="I13" s="35">
        <f t="shared" ref="I13:I20" si="27">H13+B13</f>
        <v>799.18970000000002</v>
      </c>
      <c r="J13" s="24">
        <f t="shared" ref="J13:J20" si="28">(I13-I12)*1000</f>
        <v>-0.49999999998817701</v>
      </c>
      <c r="K13" s="25">
        <f t="shared" ref="K13:K20" si="29">K12+J13</f>
        <v>-1.2999999999010501</v>
      </c>
      <c r="L13" s="26">
        <f t="shared" ref="L13:L20" si="30">J13/(A13-A12)</f>
        <v>-0.49999999998817701</v>
      </c>
      <c r="M13" s="6">
        <v>6.6723999999999997</v>
      </c>
      <c r="N13" s="35">
        <f t="shared" ref="N13:N20" si="31">M13+B13</f>
        <v>798.4787</v>
      </c>
      <c r="O13" s="24">
        <f t="shared" ref="O13:O20" si="32">(N13-N12)*1000</f>
        <v>-0.29999999992469401</v>
      </c>
      <c r="P13" s="25">
        <f t="shared" ref="P13:P20" si="33">P12+O13</f>
        <v>-1.8000000000029099</v>
      </c>
      <c r="Q13" s="26">
        <f t="shared" ref="Q13:Q20" si="34">O13/(A13-A12)</f>
        <v>-0.29999999992469401</v>
      </c>
      <c r="R13" s="41"/>
      <c r="S13" s="21">
        <f t="shared" ref="S13:S35" si="35">A13</f>
        <v>44978</v>
      </c>
      <c r="T13" s="42">
        <v>10.2194</v>
      </c>
      <c r="U13" s="43">
        <f t="shared" ref="U13:U25" si="36">(T13-T12)*1000</f>
        <v>-9.99999999997669E-2</v>
      </c>
      <c r="V13" s="44">
        <f t="shared" ref="V13:V25" si="37">V12+U13</f>
        <v>-1.1999999999989801</v>
      </c>
      <c r="W13" s="45">
        <f t="shared" ref="W13:W25" si="38">U13/(S12-S13)</f>
        <v>9.99999999997669E-2</v>
      </c>
      <c r="X13" s="6">
        <v>15.144</v>
      </c>
      <c r="Y13" s="43">
        <f t="shared" ref="Y13:Y25" si="39">(X13-X12)*1000</f>
        <v>-0.50000000000061096</v>
      </c>
      <c r="Z13" s="44">
        <f t="shared" ref="Z13:Z25" si="40">Z12+Y13</f>
        <v>-1.7999999999993599</v>
      </c>
      <c r="AA13" s="45">
        <f t="shared" ref="AA13:AA25" si="41">Y13/(S13-S12)</f>
        <v>-0.50000000000061096</v>
      </c>
      <c r="AB13" s="49">
        <v>10.3422</v>
      </c>
      <c r="AC13" s="43">
        <f t="shared" ref="AC13:AC25" si="42">(AB13-AB12)*1000</f>
        <v>-0.19999999999953399</v>
      </c>
      <c r="AD13" s="44">
        <f t="shared" ref="AD13:AD25" si="43">AD12+AC13</f>
        <v>-1.3000000000005201</v>
      </c>
      <c r="AE13" s="45">
        <f t="shared" ref="AE13:AE25" si="44">AC13/(S13-S12)</f>
        <v>-0.19999999999953399</v>
      </c>
      <c r="AF13" s="50">
        <v>80677</v>
      </c>
      <c r="AG13" s="58">
        <f t="shared" ref="AG13:AG35" si="45">AF13-80651</f>
        <v>26</v>
      </c>
      <c r="AH13" s="61"/>
      <c r="AI13" s="60"/>
      <c r="AJ13"/>
      <c r="AK13"/>
      <c r="AL13"/>
      <c r="AM13"/>
    </row>
    <row r="14" spans="1:48">
      <c r="A14" s="21">
        <v>44979</v>
      </c>
      <c r="B14" s="22">
        <v>791.80629999999996</v>
      </c>
      <c r="C14" s="6">
        <v>6.5507999999999997</v>
      </c>
      <c r="D14" s="23">
        <f t="shared" si="23"/>
        <v>798.35709999999995</v>
      </c>
      <c r="E14" s="24">
        <f t="shared" si="24"/>
        <v>-0.30000000003838101</v>
      </c>
      <c r="F14" s="25">
        <f t="shared" si="25"/>
        <v>-1.4999999999645299</v>
      </c>
      <c r="G14" s="26">
        <f t="shared" si="26"/>
        <v>-0.30000000003838101</v>
      </c>
      <c r="H14" s="6">
        <v>7.3832000000000004</v>
      </c>
      <c r="I14" s="35">
        <f t="shared" si="27"/>
        <v>799.18949999999995</v>
      </c>
      <c r="J14" s="24">
        <f t="shared" si="28"/>
        <v>-0.20000000006348301</v>
      </c>
      <c r="K14" s="25">
        <f t="shared" si="29"/>
        <v>-1.4999999999645299</v>
      </c>
      <c r="L14" s="26">
        <f t="shared" si="30"/>
        <v>-0.20000000006348301</v>
      </c>
      <c r="M14" s="6">
        <v>6.6722999999999999</v>
      </c>
      <c r="N14" s="35">
        <f t="shared" si="31"/>
        <v>798.47860000000003</v>
      </c>
      <c r="O14" s="24">
        <f t="shared" si="32"/>
        <v>-0.10000000008858501</v>
      </c>
      <c r="P14" s="25">
        <f t="shared" si="33"/>
        <v>-1.9000000000915001</v>
      </c>
      <c r="Q14" s="26">
        <f t="shared" si="34"/>
        <v>-0.10000000008858501</v>
      </c>
      <c r="R14" s="41"/>
      <c r="S14" s="21">
        <f t="shared" si="35"/>
        <v>44979</v>
      </c>
      <c r="T14" s="42">
        <v>10.2196</v>
      </c>
      <c r="U14" s="43">
        <f t="shared" si="36"/>
        <v>0.19999999999953399</v>
      </c>
      <c r="V14" s="44">
        <f t="shared" si="37"/>
        <v>-0.999999999999446</v>
      </c>
      <c r="W14" s="45">
        <f t="shared" si="38"/>
        <v>-0.19999999999953399</v>
      </c>
      <c r="X14" s="6">
        <v>15.143700000000001</v>
      </c>
      <c r="Y14" s="43">
        <f t="shared" si="39"/>
        <v>-0.29999999999930099</v>
      </c>
      <c r="Z14" s="44">
        <f t="shared" si="40"/>
        <v>-2.0999999999986598</v>
      </c>
      <c r="AA14" s="45">
        <f t="shared" si="41"/>
        <v>-0.29999999999930099</v>
      </c>
      <c r="AB14" s="49">
        <v>10.3421</v>
      </c>
      <c r="AC14" s="43">
        <f t="shared" si="42"/>
        <v>-9.99999999997669E-2</v>
      </c>
      <c r="AD14" s="44">
        <f t="shared" si="43"/>
        <v>-1.4000000000002899</v>
      </c>
      <c r="AE14" s="45">
        <f t="shared" si="44"/>
        <v>-9.99999999997669E-2</v>
      </c>
      <c r="AF14" s="50">
        <v>80680</v>
      </c>
      <c r="AG14" s="58">
        <f t="shared" si="45"/>
        <v>29</v>
      </c>
      <c r="AH14" s="59"/>
      <c r="AI14" s="60"/>
      <c r="AJ14"/>
      <c r="AK14"/>
      <c r="AL14"/>
      <c r="AM14"/>
    </row>
    <row r="15" spans="1:48">
      <c r="A15" s="21">
        <v>44980</v>
      </c>
      <c r="B15" s="22">
        <v>791.80629999999996</v>
      </c>
      <c r="C15" s="6">
        <v>6.5507</v>
      </c>
      <c r="D15" s="23">
        <f t="shared" si="23"/>
        <v>798.35699999999997</v>
      </c>
      <c r="E15" s="24">
        <f t="shared" si="24"/>
        <v>-9.9999999974897905E-2</v>
      </c>
      <c r="F15" s="25">
        <f t="shared" si="25"/>
        <v>-1.5999999999394301</v>
      </c>
      <c r="G15" s="26">
        <f t="shared" si="26"/>
        <v>-9.9999999974897905E-2</v>
      </c>
      <c r="H15" s="6">
        <v>7.3832000000000004</v>
      </c>
      <c r="I15" s="35">
        <f t="shared" si="27"/>
        <v>799.18949999999995</v>
      </c>
      <c r="J15" s="24">
        <f t="shared" si="28"/>
        <v>0</v>
      </c>
      <c r="K15" s="25">
        <f t="shared" si="29"/>
        <v>-1.4999999999645299</v>
      </c>
      <c r="L15" s="26">
        <f t="shared" si="30"/>
        <v>0</v>
      </c>
      <c r="M15" s="6">
        <v>6.6719999999999997</v>
      </c>
      <c r="N15" s="35">
        <f t="shared" si="31"/>
        <v>798.47829999999999</v>
      </c>
      <c r="O15" s="24">
        <f t="shared" si="32"/>
        <v>-0.29999999992469401</v>
      </c>
      <c r="P15" s="25">
        <f t="shared" si="33"/>
        <v>-2.2000000000161899</v>
      </c>
      <c r="Q15" s="26">
        <f t="shared" si="34"/>
        <v>-0.29999999992469401</v>
      </c>
      <c r="R15" s="41"/>
      <c r="S15" s="21">
        <f t="shared" si="35"/>
        <v>44980</v>
      </c>
      <c r="T15" s="42">
        <v>10.219200000000001</v>
      </c>
      <c r="U15" s="43">
        <f t="shared" si="36"/>
        <v>-0.39999999999906799</v>
      </c>
      <c r="V15" s="44">
        <f t="shared" si="37"/>
        <v>-1.39999999999851</v>
      </c>
      <c r="W15" s="45">
        <f t="shared" si="38"/>
        <v>0.39999999999906799</v>
      </c>
      <c r="X15" s="6">
        <v>15.1434</v>
      </c>
      <c r="Y15" s="43">
        <f t="shared" si="39"/>
        <v>-0.30000000000107702</v>
      </c>
      <c r="Z15" s="44">
        <f t="shared" si="40"/>
        <v>-2.3999999999997401</v>
      </c>
      <c r="AA15" s="45">
        <f t="shared" si="41"/>
        <v>-0.30000000000107702</v>
      </c>
      <c r="AB15" s="49">
        <v>10.341799999999999</v>
      </c>
      <c r="AC15" s="43">
        <f t="shared" si="42"/>
        <v>-0.30000000000107702</v>
      </c>
      <c r="AD15" s="44">
        <f t="shared" si="43"/>
        <v>-1.70000000000137</v>
      </c>
      <c r="AE15" s="45">
        <f t="shared" si="44"/>
        <v>-0.30000000000107702</v>
      </c>
      <c r="AF15" s="50">
        <v>80683</v>
      </c>
      <c r="AG15" s="58">
        <f t="shared" si="45"/>
        <v>32</v>
      </c>
      <c r="AH15" s="61"/>
      <c r="AI15" s="60"/>
      <c r="AJ15"/>
      <c r="AK15"/>
      <c r="AL15"/>
      <c r="AM15"/>
    </row>
    <row r="16" spans="1:48">
      <c r="A16" s="21">
        <v>44981</v>
      </c>
      <c r="B16" s="22">
        <v>791.80629999999996</v>
      </c>
      <c r="C16" s="6">
        <v>6.5505000000000004</v>
      </c>
      <c r="D16" s="23">
        <f t="shared" si="23"/>
        <v>798.35680000000002</v>
      </c>
      <c r="E16" s="24">
        <f t="shared" si="24"/>
        <v>-0.199999999949796</v>
      </c>
      <c r="F16" s="25">
        <f t="shared" si="25"/>
        <v>-1.79999999988922</v>
      </c>
      <c r="G16" s="26">
        <f t="shared" si="26"/>
        <v>-0.199999999949796</v>
      </c>
      <c r="H16" s="6">
        <v>7.3827999999999996</v>
      </c>
      <c r="I16" s="35">
        <f t="shared" si="27"/>
        <v>799.18910000000005</v>
      </c>
      <c r="J16" s="24">
        <f t="shared" si="28"/>
        <v>-0.40000000001327901</v>
      </c>
      <c r="K16" s="25">
        <f t="shared" si="29"/>
        <v>-1.8999999999778101</v>
      </c>
      <c r="L16" s="26">
        <f t="shared" si="30"/>
        <v>-0.40000000001327901</v>
      </c>
      <c r="M16" s="6">
        <v>6.6718000000000002</v>
      </c>
      <c r="N16" s="35">
        <f t="shared" si="31"/>
        <v>798.47810000000004</v>
      </c>
      <c r="O16" s="24">
        <f t="shared" si="32"/>
        <v>-0.20000000006348301</v>
      </c>
      <c r="P16" s="25">
        <f t="shared" si="33"/>
        <v>-2.40000000007967</v>
      </c>
      <c r="Q16" s="26">
        <f t="shared" si="34"/>
        <v>-0.20000000006348301</v>
      </c>
      <c r="R16" s="41"/>
      <c r="S16" s="21">
        <f t="shared" si="35"/>
        <v>44981</v>
      </c>
      <c r="T16" s="42">
        <v>10.219099999999999</v>
      </c>
      <c r="U16" s="43">
        <f t="shared" si="36"/>
        <v>-0.10000000000154299</v>
      </c>
      <c r="V16" s="44">
        <f t="shared" si="37"/>
        <v>-1.50000000000006</v>
      </c>
      <c r="W16" s="45">
        <f t="shared" si="38"/>
        <v>0.10000000000154299</v>
      </c>
      <c r="X16" s="6">
        <v>15.1433</v>
      </c>
      <c r="Y16" s="43">
        <f t="shared" si="39"/>
        <v>-9.99999999997669E-2</v>
      </c>
      <c r="Z16" s="44">
        <f t="shared" si="40"/>
        <v>-2.4999999999995</v>
      </c>
      <c r="AA16" s="45">
        <f t="shared" si="41"/>
        <v>-9.99999999997669E-2</v>
      </c>
      <c r="AB16" s="49">
        <v>10.3416</v>
      </c>
      <c r="AC16" s="43">
        <f t="shared" si="42"/>
        <v>-0.19999999999953399</v>
      </c>
      <c r="AD16" s="44">
        <f t="shared" si="43"/>
        <v>-1.9000000000009001</v>
      </c>
      <c r="AE16" s="45">
        <f t="shared" si="44"/>
        <v>-0.19999999999953399</v>
      </c>
      <c r="AF16" s="50">
        <v>80686</v>
      </c>
      <c r="AG16" s="58">
        <f t="shared" si="45"/>
        <v>35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44982</v>
      </c>
      <c r="B17" s="22">
        <v>791.80629999999996</v>
      </c>
      <c r="C17" s="6">
        <v>6.5506000000000002</v>
      </c>
      <c r="D17" s="23">
        <f t="shared" si="23"/>
        <v>798.3569</v>
      </c>
      <c r="E17" s="24">
        <f t="shared" si="24"/>
        <v>9.9999999974897905E-2</v>
      </c>
      <c r="F17" s="25">
        <f t="shared" si="25"/>
        <v>-1.69999999991433</v>
      </c>
      <c r="G17" s="26">
        <f t="shared" si="26"/>
        <v>9.9999999974897905E-2</v>
      </c>
      <c r="H17" s="6">
        <v>7.3826000000000001</v>
      </c>
      <c r="I17" s="35">
        <f t="shared" si="27"/>
        <v>799.18889999999999</v>
      </c>
      <c r="J17" s="24">
        <f t="shared" si="28"/>
        <v>-0.199999999949796</v>
      </c>
      <c r="K17" s="25">
        <f t="shared" si="29"/>
        <v>-2.0999999999275998</v>
      </c>
      <c r="L17" s="26">
        <f t="shared" si="30"/>
        <v>-0.199999999949796</v>
      </c>
      <c r="M17" s="6">
        <v>6.6715999999999998</v>
      </c>
      <c r="N17" s="35">
        <f t="shared" si="31"/>
        <v>798.47789999999998</v>
      </c>
      <c r="O17" s="24">
        <f t="shared" si="32"/>
        <v>-0.199999999949796</v>
      </c>
      <c r="P17" s="25">
        <f t="shared" si="33"/>
        <v>-2.6000000000294698</v>
      </c>
      <c r="Q17" s="26">
        <f t="shared" si="34"/>
        <v>-0.199999999949796</v>
      </c>
      <c r="R17" s="41"/>
      <c r="S17" s="21">
        <f t="shared" si="35"/>
        <v>44982</v>
      </c>
      <c r="T17" s="42">
        <v>10.2194</v>
      </c>
      <c r="U17" s="43">
        <f t="shared" si="36"/>
        <v>0.30000000000107702</v>
      </c>
      <c r="V17" s="44">
        <f t="shared" si="37"/>
        <v>-1.1999999999989801</v>
      </c>
      <c r="W17" s="45">
        <f t="shared" si="38"/>
        <v>-0.30000000000107702</v>
      </c>
      <c r="X17" s="6">
        <v>15.142799999999999</v>
      </c>
      <c r="Y17" s="43">
        <f t="shared" si="39"/>
        <v>-0.50000000000061096</v>
      </c>
      <c r="Z17" s="44">
        <f t="shared" si="40"/>
        <v>-3.0000000000001101</v>
      </c>
      <c r="AA17" s="45">
        <f t="shared" si="41"/>
        <v>-0.50000000000061096</v>
      </c>
      <c r="AB17" s="49">
        <v>10.3415</v>
      </c>
      <c r="AC17" s="43">
        <f t="shared" si="42"/>
        <v>-9.99999999997669E-2</v>
      </c>
      <c r="AD17" s="44">
        <f t="shared" si="43"/>
        <v>-2.0000000000006701</v>
      </c>
      <c r="AE17" s="45">
        <f t="shared" si="44"/>
        <v>-9.99999999997669E-2</v>
      </c>
      <c r="AF17" s="50">
        <v>80689</v>
      </c>
      <c r="AG17" s="58">
        <f t="shared" si="45"/>
        <v>38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44983</v>
      </c>
      <c r="B18" s="22">
        <v>791.80629999999996</v>
      </c>
      <c r="C18" s="6">
        <v>6.5500999999999996</v>
      </c>
      <c r="D18" s="23">
        <f t="shared" si="23"/>
        <v>798.35640000000001</v>
      </c>
      <c r="E18" s="24">
        <f t="shared" si="24"/>
        <v>-0.49999999998817701</v>
      </c>
      <c r="F18" s="25">
        <f t="shared" si="25"/>
        <v>-2.1999999999024999</v>
      </c>
      <c r="G18" s="26">
        <f t="shared" si="26"/>
        <v>-0.49999999998817701</v>
      </c>
      <c r="H18" s="6">
        <v>7.3825000000000003</v>
      </c>
      <c r="I18" s="35">
        <f t="shared" si="27"/>
        <v>799.18880000000001</v>
      </c>
      <c r="J18" s="24">
        <f t="shared" si="28"/>
        <v>-9.9999999974897905E-2</v>
      </c>
      <c r="K18" s="25">
        <f t="shared" si="29"/>
        <v>-2.1999999999024999</v>
      </c>
      <c r="L18" s="26">
        <f t="shared" si="30"/>
        <v>-9.9999999974897905E-2</v>
      </c>
      <c r="M18" s="6">
        <v>6.6715</v>
      </c>
      <c r="N18" s="35">
        <f t="shared" si="31"/>
        <v>798.4778</v>
      </c>
      <c r="O18" s="24">
        <f t="shared" si="32"/>
        <v>-9.9999999974897905E-2</v>
      </c>
      <c r="P18" s="25">
        <f t="shared" si="33"/>
        <v>-2.70000000000437</v>
      </c>
      <c r="Q18" s="26">
        <f t="shared" si="34"/>
        <v>-9.9999999974897905E-2</v>
      </c>
      <c r="R18" s="41"/>
      <c r="S18" s="21">
        <f t="shared" si="35"/>
        <v>44983</v>
      </c>
      <c r="T18" s="42">
        <v>10.2189</v>
      </c>
      <c r="U18" s="43">
        <f t="shared" si="36"/>
        <v>-0.50000000000061096</v>
      </c>
      <c r="V18" s="44">
        <f t="shared" si="37"/>
        <v>-1.6999999999995901</v>
      </c>
      <c r="W18" s="45">
        <f t="shared" si="38"/>
        <v>0.50000000000061096</v>
      </c>
      <c r="X18" s="6">
        <v>15.1425</v>
      </c>
      <c r="Y18" s="43">
        <f t="shared" si="39"/>
        <v>-0.29999999999930099</v>
      </c>
      <c r="Z18" s="44">
        <f t="shared" si="40"/>
        <v>-3.2999999999994101</v>
      </c>
      <c r="AA18" s="45">
        <f t="shared" si="41"/>
        <v>-0.29999999999930099</v>
      </c>
      <c r="AB18" s="49">
        <v>10.341200000000001</v>
      </c>
      <c r="AC18" s="43">
        <f t="shared" si="42"/>
        <v>-0.29999999999930099</v>
      </c>
      <c r="AD18" s="44">
        <f t="shared" si="43"/>
        <v>-2.2999999999999701</v>
      </c>
      <c r="AE18" s="45">
        <f t="shared" si="44"/>
        <v>-0.29999999999930099</v>
      </c>
      <c r="AF18" s="50">
        <v>80692</v>
      </c>
      <c r="AG18" s="58">
        <f t="shared" si="45"/>
        <v>41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44984</v>
      </c>
      <c r="B19" s="22">
        <v>791.80629999999996</v>
      </c>
      <c r="C19" s="6">
        <v>6.5499000000000001</v>
      </c>
      <c r="D19" s="23">
        <f t="shared" si="23"/>
        <v>798.35619999999994</v>
      </c>
      <c r="E19" s="24">
        <f t="shared" si="24"/>
        <v>-0.20000000006348301</v>
      </c>
      <c r="F19" s="25">
        <f t="shared" si="25"/>
        <v>-2.39999999996598</v>
      </c>
      <c r="G19" s="26">
        <f t="shared" si="26"/>
        <v>-0.20000000006348301</v>
      </c>
      <c r="H19" s="6">
        <v>7.3822000000000001</v>
      </c>
      <c r="I19" s="35">
        <f t="shared" si="27"/>
        <v>799.18849999999998</v>
      </c>
      <c r="J19" s="24">
        <f t="shared" si="28"/>
        <v>-0.30000000003838101</v>
      </c>
      <c r="K19" s="25">
        <f t="shared" si="29"/>
        <v>-2.4999999999408802</v>
      </c>
      <c r="L19" s="26">
        <f t="shared" si="30"/>
        <v>-0.30000000003838101</v>
      </c>
      <c r="M19" s="6">
        <v>6.6711999999999998</v>
      </c>
      <c r="N19" s="35">
        <f t="shared" si="31"/>
        <v>798.47749999999996</v>
      </c>
      <c r="O19" s="24">
        <f t="shared" si="32"/>
        <v>-0.30000000003838101</v>
      </c>
      <c r="P19" s="25">
        <f t="shared" si="33"/>
        <v>-3.0000000000427498</v>
      </c>
      <c r="Q19" s="26">
        <f t="shared" si="34"/>
        <v>-0.30000000003838101</v>
      </c>
      <c r="R19" s="41"/>
      <c r="S19" s="21">
        <f t="shared" si="35"/>
        <v>44984</v>
      </c>
      <c r="T19" s="42">
        <v>10.2188</v>
      </c>
      <c r="U19" s="43">
        <f t="shared" si="36"/>
        <v>-9.99999999997669E-2</v>
      </c>
      <c r="V19" s="44">
        <f t="shared" si="37"/>
        <v>-1.7999999999993599</v>
      </c>
      <c r="W19" s="45">
        <f t="shared" si="38"/>
        <v>9.99999999997669E-2</v>
      </c>
      <c r="X19" s="6">
        <v>15.1424</v>
      </c>
      <c r="Y19" s="43">
        <f t="shared" si="39"/>
        <v>-9.99999999997669E-2</v>
      </c>
      <c r="Z19" s="44">
        <f t="shared" si="40"/>
        <v>-3.3999999999991801</v>
      </c>
      <c r="AA19" s="45">
        <f t="shared" si="41"/>
        <v>-9.99999999997669E-2</v>
      </c>
      <c r="AB19" s="49">
        <v>10.340999999999999</v>
      </c>
      <c r="AC19" s="43">
        <f t="shared" si="42"/>
        <v>-0.20000000000130999</v>
      </c>
      <c r="AD19" s="44">
        <f t="shared" si="43"/>
        <v>-2.5000000000012799</v>
      </c>
      <c r="AE19" s="45">
        <f t="shared" si="44"/>
        <v>-0.20000000000130999</v>
      </c>
      <c r="AF19" s="50">
        <v>80695</v>
      </c>
      <c r="AG19" s="58">
        <f t="shared" si="45"/>
        <v>44</v>
      </c>
      <c r="AH19" s="61"/>
      <c r="AI19" s="60"/>
      <c r="AJ19"/>
      <c r="AK19"/>
      <c r="AL19"/>
      <c r="AM19"/>
    </row>
    <row r="20" spans="1:48">
      <c r="A20" s="21">
        <v>44985</v>
      </c>
      <c r="B20" s="22">
        <v>791.80629999999996</v>
      </c>
      <c r="C20" s="6">
        <v>6.55</v>
      </c>
      <c r="D20" s="23">
        <f t="shared" si="23"/>
        <v>798.35630000000003</v>
      </c>
      <c r="E20" s="24">
        <f t="shared" si="24"/>
        <v>9.9999999974897905E-2</v>
      </c>
      <c r="F20" s="25">
        <f t="shared" si="25"/>
        <v>-2.2999999999910901</v>
      </c>
      <c r="G20" s="26">
        <f t="shared" si="26"/>
        <v>9.9999999974897905E-2</v>
      </c>
      <c r="H20" s="6">
        <v>7.3819999999999997</v>
      </c>
      <c r="I20" s="35">
        <f t="shared" si="27"/>
        <v>799.18830000000003</v>
      </c>
      <c r="J20" s="24">
        <f t="shared" si="28"/>
        <v>-0.20000000006348301</v>
      </c>
      <c r="K20" s="25">
        <f t="shared" si="29"/>
        <v>-2.70000000000437</v>
      </c>
      <c r="L20" s="26">
        <f t="shared" si="30"/>
        <v>-0.20000000006348301</v>
      </c>
      <c r="M20" s="6">
        <v>6.6711999999999998</v>
      </c>
      <c r="N20" s="35">
        <f t="shared" si="31"/>
        <v>798.47749999999996</v>
      </c>
      <c r="O20" s="24">
        <f t="shared" si="32"/>
        <v>0</v>
      </c>
      <c r="P20" s="25">
        <f t="shared" si="33"/>
        <v>-3.0000000000427498</v>
      </c>
      <c r="Q20" s="26">
        <f t="shared" si="34"/>
        <v>0</v>
      </c>
      <c r="R20" s="41"/>
      <c r="S20" s="21">
        <f t="shared" si="35"/>
        <v>44985</v>
      </c>
      <c r="T20" s="42">
        <v>10.2187</v>
      </c>
      <c r="U20" s="43">
        <f t="shared" si="36"/>
        <v>-9.99999999997669E-2</v>
      </c>
      <c r="V20" s="44">
        <f t="shared" si="37"/>
        <v>-1.8999999999991199</v>
      </c>
      <c r="W20" s="45">
        <f t="shared" si="38"/>
        <v>9.99999999997669E-2</v>
      </c>
      <c r="X20" s="6">
        <v>15.1419</v>
      </c>
      <c r="Y20" s="43">
        <f t="shared" si="39"/>
        <v>-0.50000000000061096</v>
      </c>
      <c r="Z20" s="44">
        <f t="shared" si="40"/>
        <v>-3.8999999999997899</v>
      </c>
      <c r="AA20" s="45">
        <f t="shared" si="41"/>
        <v>-0.50000000000061096</v>
      </c>
      <c r="AB20" s="49">
        <v>10.3415</v>
      </c>
      <c r="AC20" s="43">
        <f t="shared" si="42"/>
        <v>0.50000000000061096</v>
      </c>
      <c r="AD20" s="44">
        <f t="shared" si="43"/>
        <v>-2.0000000000006701</v>
      </c>
      <c r="AE20" s="45">
        <f t="shared" si="44"/>
        <v>0.50000000000061096</v>
      </c>
      <c r="AF20" s="50">
        <v>80698</v>
      </c>
      <c r="AG20" s="58">
        <f t="shared" si="45"/>
        <v>47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44987</v>
      </c>
      <c r="B21" s="22">
        <v>791.80629999999996</v>
      </c>
      <c r="C21" s="6">
        <v>6.5495000000000001</v>
      </c>
      <c r="D21" s="23">
        <f t="shared" ref="D21:D35" si="46">C21+B21</f>
        <v>798.35580000000004</v>
      </c>
      <c r="E21" s="24">
        <f t="shared" ref="E21:E25" si="47">(D21-D20)*1000</f>
        <v>-0.49999999998817701</v>
      </c>
      <c r="F21" s="25">
        <f t="shared" ref="F21:F25" si="48">F20+E21</f>
        <v>-2.79999999997926</v>
      </c>
      <c r="G21" s="26">
        <f t="shared" ref="G21:G25" si="49">E21/(A21-A20)</f>
        <v>-0.24999999999408801</v>
      </c>
      <c r="H21" s="6">
        <v>7.3821000000000003</v>
      </c>
      <c r="I21" s="35">
        <f t="shared" ref="I21:I35" si="50">H21+B21</f>
        <v>799.1884</v>
      </c>
      <c r="J21" s="24">
        <f t="shared" ref="J21:J25" si="51">(I21-I20)*1000</f>
        <v>0.10000000008858501</v>
      </c>
      <c r="K21" s="25">
        <f t="shared" ref="K21:K25" si="52">K20+J21</f>
        <v>-2.5999999999157799</v>
      </c>
      <c r="L21" s="26">
        <f t="shared" ref="L21:L25" si="53">J21/(A21-A20)</f>
        <v>5.0000000044292399E-2</v>
      </c>
      <c r="M21" s="6">
        <v>6.6707999999999998</v>
      </c>
      <c r="N21" s="35">
        <f t="shared" ref="N21:N35" si="54">M21+B21</f>
        <v>798.47709999999995</v>
      </c>
      <c r="O21" s="24">
        <f t="shared" ref="O21:O25" si="55">(N21-N20)*1000</f>
        <v>-0.40000000001327901</v>
      </c>
      <c r="P21" s="25">
        <f t="shared" ref="P21:P25" si="56">P20+O21</f>
        <v>-3.40000000005602</v>
      </c>
      <c r="Q21" s="26">
        <f t="shared" ref="Q21:Q25" si="57">O21/(A21-A20)</f>
        <v>-0.20000000000663901</v>
      </c>
      <c r="R21" s="41"/>
      <c r="S21" s="21">
        <f t="shared" si="35"/>
        <v>44987</v>
      </c>
      <c r="T21" s="42">
        <v>10.218999999999999</v>
      </c>
      <c r="U21" s="43">
        <f t="shared" si="36"/>
        <v>0.29999999999930099</v>
      </c>
      <c r="V21" s="44">
        <f t="shared" si="37"/>
        <v>-1.59999999999982</v>
      </c>
      <c r="W21" s="45">
        <f t="shared" si="38"/>
        <v>-0.14999999999965</v>
      </c>
      <c r="X21" s="6">
        <v>15.141299999999999</v>
      </c>
      <c r="Y21" s="43">
        <f t="shared" si="39"/>
        <v>-0.60000000000037801</v>
      </c>
      <c r="Z21" s="44">
        <f t="shared" si="40"/>
        <v>-4.5000000000001696</v>
      </c>
      <c r="AA21" s="45">
        <f t="shared" si="41"/>
        <v>-0.300000000000189</v>
      </c>
      <c r="AB21" s="49">
        <v>10.3406</v>
      </c>
      <c r="AC21" s="43">
        <f t="shared" si="42"/>
        <v>-0.89999999999967895</v>
      </c>
      <c r="AD21" s="44">
        <f t="shared" si="43"/>
        <v>-2.9000000000003499</v>
      </c>
      <c r="AE21" s="45">
        <f t="shared" si="44"/>
        <v>-0.44999999999983897</v>
      </c>
      <c r="AF21" s="50">
        <v>80701</v>
      </c>
      <c r="AG21" s="58">
        <f t="shared" si="45"/>
        <v>50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44989</v>
      </c>
      <c r="B22" s="22">
        <v>791.80629999999996</v>
      </c>
      <c r="C22" s="6">
        <v>6.5492999999999997</v>
      </c>
      <c r="D22" s="23">
        <f t="shared" si="46"/>
        <v>798.35559999999998</v>
      </c>
      <c r="E22" s="24">
        <f t="shared" si="47"/>
        <v>-0.199999999949796</v>
      </c>
      <c r="F22" s="25">
        <f t="shared" si="48"/>
        <v>-2.9999999999290599</v>
      </c>
      <c r="G22" s="26">
        <f t="shared" si="49"/>
        <v>-9.9999999974897905E-2</v>
      </c>
      <c r="H22" s="6">
        <v>7.3815999999999997</v>
      </c>
      <c r="I22" s="35">
        <f t="shared" si="50"/>
        <v>799.18790000000001</v>
      </c>
      <c r="J22" s="24">
        <f t="shared" si="51"/>
        <v>-0.49999999998817701</v>
      </c>
      <c r="K22" s="25">
        <f t="shared" si="52"/>
        <v>-3.09999999990396</v>
      </c>
      <c r="L22" s="26">
        <f t="shared" si="53"/>
        <v>-0.24999999999408801</v>
      </c>
      <c r="M22" s="6">
        <v>6.6706000000000003</v>
      </c>
      <c r="N22" s="35">
        <f t="shared" si="54"/>
        <v>798.4769</v>
      </c>
      <c r="O22" s="24">
        <f t="shared" si="55"/>
        <v>-0.199999999949796</v>
      </c>
      <c r="P22" s="25">
        <f t="shared" si="56"/>
        <v>-3.6000000000058199</v>
      </c>
      <c r="Q22" s="26">
        <f t="shared" si="57"/>
        <v>-9.9999999974897905E-2</v>
      </c>
      <c r="R22" s="41"/>
      <c r="S22" s="21">
        <f t="shared" si="35"/>
        <v>44989</v>
      </c>
      <c r="T22" s="42">
        <v>10.218500000000001</v>
      </c>
      <c r="U22" s="43">
        <f t="shared" si="36"/>
        <v>-0.49999999999883499</v>
      </c>
      <c r="V22" s="44">
        <f t="shared" si="37"/>
        <v>-2.0999999999986598</v>
      </c>
      <c r="W22" s="45">
        <f t="shared" si="38"/>
        <v>0.24999999999941699</v>
      </c>
      <c r="X22" s="6">
        <v>15.141299999999999</v>
      </c>
      <c r="Y22" s="43">
        <f t="shared" si="39"/>
        <v>0</v>
      </c>
      <c r="Z22" s="44">
        <f t="shared" si="40"/>
        <v>-4.5000000000001696</v>
      </c>
      <c r="AA22" s="45">
        <f t="shared" si="41"/>
        <v>0</v>
      </c>
      <c r="AB22" s="49">
        <v>10.340400000000001</v>
      </c>
      <c r="AC22" s="43">
        <f t="shared" si="42"/>
        <v>-0.19999999999953399</v>
      </c>
      <c r="AD22" s="44">
        <f t="shared" si="43"/>
        <v>-3.0999999999998802</v>
      </c>
      <c r="AE22" s="45">
        <f t="shared" si="44"/>
        <v>-9.99999999997669E-2</v>
      </c>
      <c r="AF22" s="50">
        <v>80704</v>
      </c>
      <c r="AG22" s="58">
        <f t="shared" si="45"/>
        <v>53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44991</v>
      </c>
      <c r="B23" s="22">
        <v>791.80629999999996</v>
      </c>
      <c r="C23" s="6">
        <v>6.5491000000000001</v>
      </c>
      <c r="D23" s="23">
        <f t="shared" si="46"/>
        <v>798.35540000000003</v>
      </c>
      <c r="E23" s="24">
        <f t="shared" si="47"/>
        <v>-0.20000000006348301</v>
      </c>
      <c r="F23" s="25">
        <f t="shared" si="48"/>
        <v>-3.1999999999925399</v>
      </c>
      <c r="G23" s="26">
        <f t="shared" si="49"/>
        <v>-0.100000000031741</v>
      </c>
      <c r="H23" s="6">
        <v>7.38140000000001</v>
      </c>
      <c r="I23" s="35">
        <f t="shared" si="50"/>
        <v>799.18769999999995</v>
      </c>
      <c r="J23" s="24">
        <f t="shared" si="51"/>
        <v>-0.20000000006348301</v>
      </c>
      <c r="K23" s="25">
        <f t="shared" si="52"/>
        <v>-3.2999999999674401</v>
      </c>
      <c r="L23" s="26">
        <f t="shared" si="53"/>
        <v>-0.100000000031741</v>
      </c>
      <c r="M23" s="6">
        <v>6.6704999999999997</v>
      </c>
      <c r="N23" s="35">
        <f t="shared" si="54"/>
        <v>798.47680000000003</v>
      </c>
      <c r="O23" s="24">
        <f t="shared" si="55"/>
        <v>-0.10000000008858501</v>
      </c>
      <c r="P23" s="25">
        <f t="shared" si="56"/>
        <v>-3.70000000009441</v>
      </c>
      <c r="Q23" s="26">
        <f t="shared" si="57"/>
        <v>-5.0000000044292399E-2</v>
      </c>
      <c r="R23" s="41"/>
      <c r="S23" s="21">
        <f t="shared" si="35"/>
        <v>44991</v>
      </c>
      <c r="T23" s="42">
        <v>10.218400000000001</v>
      </c>
      <c r="U23" s="43">
        <f t="shared" si="36"/>
        <v>-9.99999999997669E-2</v>
      </c>
      <c r="V23" s="44">
        <f t="shared" si="37"/>
        <v>-2.1999999999984299</v>
      </c>
      <c r="W23" s="45">
        <f t="shared" si="38"/>
        <v>4.9999999999883499E-2</v>
      </c>
      <c r="X23" s="6">
        <v>15.141</v>
      </c>
      <c r="Y23" s="43">
        <f t="shared" si="39"/>
        <v>-0.29999999999930099</v>
      </c>
      <c r="Z23" s="44">
        <f t="shared" si="40"/>
        <v>-4.7999999999994696</v>
      </c>
      <c r="AA23" s="45">
        <f t="shared" si="41"/>
        <v>-0.14999999999965</v>
      </c>
      <c r="AB23" s="49">
        <v>10.340199999999999</v>
      </c>
      <c r="AC23" s="43">
        <f t="shared" si="42"/>
        <v>-0.20000000000130999</v>
      </c>
      <c r="AD23" s="44">
        <f t="shared" si="43"/>
        <v>-3.30000000000119</v>
      </c>
      <c r="AE23" s="45">
        <f t="shared" si="44"/>
        <v>-0.100000000000655</v>
      </c>
      <c r="AF23" s="50">
        <v>80707</v>
      </c>
      <c r="AG23" s="58">
        <f t="shared" si="45"/>
        <v>56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44993</v>
      </c>
      <c r="B24" s="22">
        <v>791.80629999999996</v>
      </c>
      <c r="C24" s="6">
        <v>6.5491999999999999</v>
      </c>
      <c r="D24" s="23">
        <f t="shared" si="46"/>
        <v>798.35550000000001</v>
      </c>
      <c r="E24" s="24">
        <f t="shared" si="47"/>
        <v>0.10000000008858501</v>
      </c>
      <c r="F24" s="25">
        <f t="shared" si="48"/>
        <v>-3.09999999990396</v>
      </c>
      <c r="G24" s="26">
        <f t="shared" si="49"/>
        <v>5.0000000044292399E-2</v>
      </c>
      <c r="H24" s="6">
        <v>7.3814000000000002</v>
      </c>
      <c r="I24" s="35">
        <f t="shared" si="50"/>
        <v>799.18769999999995</v>
      </c>
      <c r="J24" s="24">
        <f t="shared" si="51"/>
        <v>0</v>
      </c>
      <c r="K24" s="25">
        <f t="shared" si="52"/>
        <v>-3.2999999999674401</v>
      </c>
      <c r="L24" s="26">
        <f t="shared" si="53"/>
        <v>0</v>
      </c>
      <c r="M24" s="6">
        <v>6.6702000000000004</v>
      </c>
      <c r="N24" s="35">
        <f t="shared" si="54"/>
        <v>798.47649999999999</v>
      </c>
      <c r="O24" s="24">
        <f t="shared" si="55"/>
        <v>-0.29999999992469401</v>
      </c>
      <c r="P24" s="25">
        <f t="shared" si="56"/>
        <v>-4.0000000000191003</v>
      </c>
      <c r="Q24" s="26">
        <f t="shared" si="57"/>
        <v>-0.149999999962347</v>
      </c>
      <c r="R24" s="41"/>
      <c r="S24" s="21">
        <f t="shared" si="35"/>
        <v>44993</v>
      </c>
      <c r="T24" s="42">
        <v>10.218299999999999</v>
      </c>
      <c r="U24" s="43">
        <f t="shared" si="36"/>
        <v>-0.10000000000154299</v>
      </c>
      <c r="V24" s="44">
        <f t="shared" si="37"/>
        <v>-2.2999999999999701</v>
      </c>
      <c r="W24" s="45">
        <f t="shared" si="38"/>
        <v>5.0000000000771601E-2</v>
      </c>
      <c r="X24" s="6">
        <v>15.140700000000001</v>
      </c>
      <c r="Y24" s="43">
        <f t="shared" si="39"/>
        <v>-0.29999999999930099</v>
      </c>
      <c r="Z24" s="44">
        <f t="shared" si="40"/>
        <v>-5.0999999999987704</v>
      </c>
      <c r="AA24" s="45">
        <f t="shared" si="41"/>
        <v>-0.14999999999965</v>
      </c>
      <c r="AB24" s="49">
        <v>10.3405</v>
      </c>
      <c r="AC24" s="43">
        <f t="shared" si="42"/>
        <v>0.30000000000107702</v>
      </c>
      <c r="AD24" s="44">
        <f t="shared" si="43"/>
        <v>-3.0000000000001101</v>
      </c>
      <c r="AE24" s="45">
        <f t="shared" si="44"/>
        <v>0.15000000000053901</v>
      </c>
      <c r="AF24" s="50">
        <v>80710</v>
      </c>
      <c r="AG24" s="58">
        <f t="shared" si="45"/>
        <v>59</v>
      </c>
      <c r="AH24" s="59"/>
      <c r="AI24" s="60"/>
      <c r="AJ24" s="52"/>
      <c r="AK24" s="52"/>
      <c r="AL24" s="52"/>
      <c r="AM24" s="52"/>
    </row>
    <row r="25" spans="1:48">
      <c r="A25" s="21">
        <v>44995</v>
      </c>
      <c r="B25" s="22">
        <v>791.80629999999996</v>
      </c>
      <c r="C25" s="6">
        <v>6.5487000000000002</v>
      </c>
      <c r="D25" s="23">
        <f t="shared" si="46"/>
        <v>798.35500000000002</v>
      </c>
      <c r="E25" s="24">
        <f t="shared" si="47"/>
        <v>-0.49999999998817701</v>
      </c>
      <c r="F25" s="25">
        <f t="shared" si="48"/>
        <v>-3.5999999998921299</v>
      </c>
      <c r="G25" s="26">
        <f t="shared" si="49"/>
        <v>-0.24999999999408801</v>
      </c>
      <c r="H25" s="6">
        <v>7.3810000000000002</v>
      </c>
      <c r="I25" s="35">
        <f t="shared" si="50"/>
        <v>799.18730000000005</v>
      </c>
      <c r="J25" s="24">
        <f t="shared" si="51"/>
        <v>-0.40000000001327901</v>
      </c>
      <c r="K25" s="25">
        <f t="shared" si="52"/>
        <v>-3.69999999998072</v>
      </c>
      <c r="L25" s="26">
        <f t="shared" si="53"/>
        <v>-0.20000000000663901</v>
      </c>
      <c r="M25" s="6">
        <v>6.67</v>
      </c>
      <c r="N25" s="35">
        <f t="shared" si="54"/>
        <v>798.47630000000004</v>
      </c>
      <c r="O25" s="24">
        <f t="shared" si="55"/>
        <v>-0.20000000006348301</v>
      </c>
      <c r="P25" s="25">
        <f t="shared" si="56"/>
        <v>-4.2000000000825803</v>
      </c>
      <c r="Q25" s="26">
        <f t="shared" si="57"/>
        <v>-0.100000000031741</v>
      </c>
      <c r="R25" s="41"/>
      <c r="S25" s="21">
        <f t="shared" si="35"/>
        <v>44995</v>
      </c>
      <c r="T25" s="42">
        <v>10.218400000000001</v>
      </c>
      <c r="U25" s="43">
        <f t="shared" si="36"/>
        <v>0.10000000000154299</v>
      </c>
      <c r="V25" s="44">
        <f t="shared" si="37"/>
        <v>-2.1999999999984299</v>
      </c>
      <c r="W25" s="45">
        <f t="shared" si="38"/>
        <v>-5.0000000000771601E-2</v>
      </c>
      <c r="X25" s="6">
        <v>15.140599999999999</v>
      </c>
      <c r="Y25" s="43">
        <f t="shared" si="39"/>
        <v>-0.10000000000154299</v>
      </c>
      <c r="Z25" s="44">
        <f t="shared" si="40"/>
        <v>-5.2000000000003199</v>
      </c>
      <c r="AA25" s="45">
        <f t="shared" si="41"/>
        <v>-5.0000000000771601E-2</v>
      </c>
      <c r="AB25" s="49">
        <v>10.3398</v>
      </c>
      <c r="AC25" s="43">
        <f t="shared" si="42"/>
        <v>-0.70000000000014495</v>
      </c>
      <c r="AD25" s="44">
        <f t="shared" si="43"/>
        <v>-3.70000000000026</v>
      </c>
      <c r="AE25" s="45">
        <f t="shared" si="44"/>
        <v>-0.35000000000007198</v>
      </c>
      <c r="AF25" s="50">
        <v>80713</v>
      </c>
      <c r="AG25" s="58">
        <f t="shared" si="45"/>
        <v>62</v>
      </c>
      <c r="AH25" s="61"/>
      <c r="AI25" s="60"/>
      <c r="AJ25" s="52"/>
      <c r="AK25" s="52"/>
      <c r="AL25" s="52"/>
      <c r="AM25" s="52"/>
    </row>
    <row r="26" spans="1:48">
      <c r="A26" s="21">
        <v>44997</v>
      </c>
      <c r="B26" s="22">
        <v>791.80629999999996</v>
      </c>
      <c r="C26" s="6">
        <v>6.5484</v>
      </c>
      <c r="D26" s="23">
        <f t="shared" si="46"/>
        <v>798.35469999999998</v>
      </c>
      <c r="E26" s="24">
        <f t="shared" ref="E26:E27" si="58">(D26-D25)*1000</f>
        <v>-0.30000000003838101</v>
      </c>
      <c r="F26" s="25">
        <f t="shared" ref="F26:F27" si="59">F25+E26</f>
        <v>-3.8999999999305102</v>
      </c>
      <c r="G26" s="26">
        <f t="shared" ref="G26:G27" si="60">E26/(A26-A25)</f>
        <v>-0.15000000001919001</v>
      </c>
      <c r="H26" s="6">
        <v>7.3811</v>
      </c>
      <c r="I26" s="35">
        <f t="shared" si="50"/>
        <v>799.18740000000003</v>
      </c>
      <c r="J26" s="24">
        <f t="shared" ref="J26:J27" si="61">(I26-I25)*1000</f>
        <v>9.9999999974897905E-2</v>
      </c>
      <c r="K26" s="25">
        <f t="shared" ref="K26:K27" si="62">K25+J26</f>
        <v>-3.6000000000058199</v>
      </c>
      <c r="L26" s="26">
        <f t="shared" ref="L26:L27" si="63">J26/(A26-A25)</f>
        <v>4.9999999987449001E-2</v>
      </c>
      <c r="M26" s="6">
        <v>6.6703000000000001</v>
      </c>
      <c r="N26" s="35">
        <f t="shared" si="54"/>
        <v>798.47659999999996</v>
      </c>
      <c r="O26" s="24">
        <f t="shared" ref="O26:O27" si="64">(N26-N25)*1000</f>
        <v>0.30000000003838101</v>
      </c>
      <c r="P26" s="25">
        <f t="shared" ref="P26:P27" si="65">P25+O26</f>
        <v>-3.9000000000442001</v>
      </c>
      <c r="Q26" s="26">
        <f t="shared" ref="Q26:Q27" si="66">O26/(A26-A25)</f>
        <v>0.15000000001919001</v>
      </c>
      <c r="R26" s="41"/>
      <c r="S26" s="21">
        <f t="shared" si="35"/>
        <v>44997</v>
      </c>
      <c r="T26" s="42">
        <v>10.218299999999999</v>
      </c>
      <c r="U26" s="43">
        <f t="shared" ref="U26:U27" si="67">(T26-T25)*1000</f>
        <v>-0.10000000000154299</v>
      </c>
      <c r="V26" s="44">
        <f t="shared" ref="V26:V27" si="68">V25+U26</f>
        <v>-2.2999999999999701</v>
      </c>
      <c r="W26" s="45">
        <f t="shared" ref="W26:W27" si="69">U26/(S25-S26)</f>
        <v>5.0000000000771601E-2</v>
      </c>
      <c r="X26" s="6">
        <v>15.1403</v>
      </c>
      <c r="Y26" s="43">
        <f t="shared" ref="Y26:Y27" si="70">(X26-X25)*1000</f>
        <v>-0.29999999999930099</v>
      </c>
      <c r="Z26" s="44">
        <f t="shared" ref="Z26:Z27" si="71">Z25+Y26</f>
        <v>-5.4999999999996199</v>
      </c>
      <c r="AA26" s="45">
        <f t="shared" ref="AA26:AA27" si="72">Y26/(S26-S25)</f>
        <v>-0.14999999999965</v>
      </c>
      <c r="AB26" s="49">
        <v>10.339399999999999</v>
      </c>
      <c r="AC26" s="43">
        <f t="shared" ref="AC26:AC27" si="73">(AB26-AB25)*1000</f>
        <v>-0.40000000000084401</v>
      </c>
      <c r="AD26" s="44">
        <f t="shared" ref="AD26:AD27" si="74">AD25+AC26</f>
        <v>-4.1000000000011001</v>
      </c>
      <c r="AE26" s="45">
        <f t="shared" ref="AE26:AE27" si="75">AC26/(S26-S25)</f>
        <v>-0.20000000000042201</v>
      </c>
      <c r="AF26" s="50">
        <v>80718</v>
      </c>
      <c r="AG26" s="58">
        <f t="shared" si="45"/>
        <v>67</v>
      </c>
      <c r="AH26" s="61"/>
      <c r="AI26" s="60"/>
      <c r="AJ26" s="52"/>
      <c r="AK26" s="52"/>
      <c r="AL26" s="52"/>
      <c r="AM26" s="52"/>
    </row>
    <row r="27" spans="1:48">
      <c r="A27" s="21">
        <v>44999</v>
      </c>
      <c r="B27" s="22">
        <v>791.80629999999996</v>
      </c>
      <c r="C27" s="6">
        <v>6.5484999999999998</v>
      </c>
      <c r="D27" s="23">
        <f t="shared" si="46"/>
        <v>798.35479999999995</v>
      </c>
      <c r="E27" s="24">
        <f t="shared" si="58"/>
        <v>9.9999999974897905E-2</v>
      </c>
      <c r="F27" s="25">
        <f t="shared" si="59"/>
        <v>-3.7999999999556202</v>
      </c>
      <c r="G27" s="26">
        <f t="shared" si="60"/>
        <v>4.9999999987449001E-2</v>
      </c>
      <c r="H27" s="6">
        <v>7.3807999999999998</v>
      </c>
      <c r="I27" s="35">
        <f t="shared" si="50"/>
        <v>799.18709999999999</v>
      </c>
      <c r="J27" s="24">
        <f t="shared" si="61"/>
        <v>-0.29999999992469401</v>
      </c>
      <c r="K27" s="25">
        <f t="shared" si="62"/>
        <v>-3.8999999999305102</v>
      </c>
      <c r="L27" s="26">
        <f t="shared" si="63"/>
        <v>-0.149999999962347</v>
      </c>
      <c r="M27" s="6">
        <v>6.6698000000000004</v>
      </c>
      <c r="N27" s="35">
        <f t="shared" si="54"/>
        <v>798.47609999999997</v>
      </c>
      <c r="O27" s="24">
        <f t="shared" si="64"/>
        <v>-0.49999999998817701</v>
      </c>
      <c r="P27" s="25">
        <f t="shared" si="65"/>
        <v>-4.4000000000323798</v>
      </c>
      <c r="Q27" s="26">
        <f t="shared" si="66"/>
        <v>-0.24999999999408801</v>
      </c>
      <c r="R27" s="41"/>
      <c r="S27" s="21">
        <f t="shared" si="35"/>
        <v>44999</v>
      </c>
      <c r="T27" s="42">
        <v>10.2181</v>
      </c>
      <c r="U27" s="43">
        <f t="shared" si="67"/>
        <v>-0.19999999999953399</v>
      </c>
      <c r="V27" s="44">
        <f t="shared" si="68"/>
        <v>-2.4999999999995</v>
      </c>
      <c r="W27" s="45">
        <f t="shared" si="69"/>
        <v>9.99999999997669E-2</v>
      </c>
      <c r="X27" s="6">
        <v>15.1401</v>
      </c>
      <c r="Y27" s="43">
        <f t="shared" si="70"/>
        <v>-0.19999999999953399</v>
      </c>
      <c r="Z27" s="44">
        <f t="shared" si="71"/>
        <v>-5.6999999999991502</v>
      </c>
      <c r="AA27" s="45">
        <f t="shared" si="72"/>
        <v>-9.99999999997669E-2</v>
      </c>
      <c r="AB27" s="49">
        <v>10.339600000000001</v>
      </c>
      <c r="AC27" s="43">
        <f t="shared" si="73"/>
        <v>0.20000000000130999</v>
      </c>
      <c r="AD27" s="44">
        <f t="shared" si="74"/>
        <v>-3.8999999999997899</v>
      </c>
      <c r="AE27" s="45">
        <f t="shared" si="75"/>
        <v>0.100000000000655</v>
      </c>
      <c r="AF27" s="50">
        <v>80724</v>
      </c>
      <c r="AG27" s="58">
        <f t="shared" si="45"/>
        <v>73</v>
      </c>
      <c r="AH27" s="59"/>
      <c r="AI27" s="60"/>
      <c r="AJ27" s="61"/>
      <c r="AK27" s="62"/>
      <c r="AL27" s="60"/>
      <c r="AM27" s="64"/>
    </row>
    <row r="28" spans="1:48">
      <c r="A28" s="21">
        <v>45001</v>
      </c>
      <c r="B28" s="22">
        <v>791.80629999999996</v>
      </c>
      <c r="C28" s="6">
        <v>6.5480999999999998</v>
      </c>
      <c r="D28" s="23">
        <f t="shared" si="46"/>
        <v>798.35440000000006</v>
      </c>
      <c r="E28" s="24">
        <f t="shared" ref="E28:E35" si="76">(D28-D27)*1000</f>
        <v>-0.40000000001327901</v>
      </c>
      <c r="F28" s="25">
        <f t="shared" ref="F28:F35" si="77">F27+E28</f>
        <v>-4.1999999999688997</v>
      </c>
      <c r="G28" s="26">
        <f t="shared" ref="G28:G35" si="78">E28/(A28-A27)</f>
        <v>-0.20000000000663901</v>
      </c>
      <c r="H28" s="6">
        <v>7.3803999999999998</v>
      </c>
      <c r="I28" s="35">
        <f t="shared" si="50"/>
        <v>799.18669999999997</v>
      </c>
      <c r="J28" s="24">
        <f t="shared" ref="J28:J35" si="79">(I28-I27)*1000</f>
        <v>-0.40000000001327901</v>
      </c>
      <c r="K28" s="25">
        <f t="shared" ref="K28:K35" si="80">K27+J28</f>
        <v>-4.2999999999437897</v>
      </c>
      <c r="L28" s="26">
        <f t="shared" ref="L28:L35" si="81">J28/(A28-A27)</f>
        <v>-0.20000000000663901</v>
      </c>
      <c r="M28" s="6">
        <v>6.6695000000000002</v>
      </c>
      <c r="N28" s="35">
        <f t="shared" si="54"/>
        <v>798.47580000000005</v>
      </c>
      <c r="O28" s="24">
        <f t="shared" ref="O28:O35" si="82">(N28-N27)*1000</f>
        <v>-0.30000000003838101</v>
      </c>
      <c r="P28" s="25">
        <f t="shared" ref="P28:P35" si="83">P27+O28</f>
        <v>-4.7000000000707596</v>
      </c>
      <c r="Q28" s="26">
        <f t="shared" ref="Q28:Q35" si="84">O28/(A28-A27)</f>
        <v>-0.15000000001919001</v>
      </c>
      <c r="R28" s="41"/>
      <c r="S28" s="21">
        <f t="shared" si="35"/>
        <v>45001</v>
      </c>
      <c r="T28" s="42">
        <v>10.218</v>
      </c>
      <c r="U28" s="43">
        <f t="shared" ref="U28:U35" si="85">(T28-T27)*1000</f>
        <v>-9.99999999997669E-2</v>
      </c>
      <c r="V28" s="44">
        <f t="shared" ref="V28:V35" si="86">V27+U28</f>
        <v>-2.59999999999927</v>
      </c>
      <c r="W28" s="45">
        <f t="shared" ref="W28:W35" si="87">U28/(S27-S28)</f>
        <v>4.9999999999883499E-2</v>
      </c>
      <c r="X28" s="6">
        <v>15.1404</v>
      </c>
      <c r="Y28" s="43">
        <f t="shared" ref="Y28:Y35" si="88">(X28-X27)*1000</f>
        <v>0.29999999999930099</v>
      </c>
      <c r="Z28" s="44">
        <f t="shared" ref="Z28:Z35" si="89">Z27+Y28</f>
        <v>-5.3999999999998503</v>
      </c>
      <c r="AA28" s="45">
        <f t="shared" ref="AA28:AA35" si="90">Y28/(S28-S27)</f>
        <v>0.14999999999965</v>
      </c>
      <c r="AB28" s="49">
        <v>10.3392</v>
      </c>
      <c r="AC28" s="43">
        <f t="shared" ref="AC28:AC35" si="91">(AB28-AB27)*1000</f>
        <v>-0.40000000000084401</v>
      </c>
      <c r="AD28" s="44">
        <f t="shared" ref="AD28:AD35" si="92">AD27+AC28</f>
        <v>-4.3000000000006402</v>
      </c>
      <c r="AE28" s="45">
        <f t="shared" ref="AE28:AE35" si="93">AC28/(S28-S27)</f>
        <v>-0.20000000000042201</v>
      </c>
      <c r="AF28" s="50">
        <v>80730</v>
      </c>
      <c r="AG28" s="58">
        <f t="shared" si="45"/>
        <v>79</v>
      </c>
      <c r="AH28" s="59"/>
      <c r="AI28" s="60"/>
      <c r="AJ28" s="61"/>
      <c r="AK28" s="62"/>
      <c r="AL28" s="60"/>
      <c r="AM28" s="64"/>
    </row>
    <row r="29" spans="1:48">
      <c r="A29" s="21">
        <v>45003</v>
      </c>
      <c r="B29" s="22">
        <v>791.80629999999996</v>
      </c>
      <c r="C29" s="6">
        <v>6.5483000000000002</v>
      </c>
      <c r="D29" s="23">
        <f t="shared" si="46"/>
        <v>798.3546</v>
      </c>
      <c r="E29" s="24">
        <f t="shared" si="76"/>
        <v>0.20000000006348301</v>
      </c>
      <c r="F29" s="25">
        <f t="shared" si="77"/>
        <v>-3.9999999999054099</v>
      </c>
      <c r="G29" s="26">
        <f t="shared" si="78"/>
        <v>0.100000000031741</v>
      </c>
      <c r="H29" s="6">
        <v>7.3808999999999996</v>
      </c>
      <c r="I29" s="35">
        <f t="shared" si="50"/>
        <v>799.18719999999996</v>
      </c>
      <c r="J29" s="24">
        <f t="shared" si="79"/>
        <v>0.49999999998817701</v>
      </c>
      <c r="K29" s="25">
        <f t="shared" si="80"/>
        <v>-3.7999999999556202</v>
      </c>
      <c r="L29" s="26">
        <f t="shared" si="81"/>
        <v>0.24999999999408801</v>
      </c>
      <c r="M29" s="6">
        <v>6.6696999999999997</v>
      </c>
      <c r="N29" s="35">
        <f t="shared" si="54"/>
        <v>798.476</v>
      </c>
      <c r="O29" s="24">
        <f t="shared" si="82"/>
        <v>0.20000000006348301</v>
      </c>
      <c r="P29" s="25">
        <f t="shared" si="83"/>
        <v>-4.5000000000072804</v>
      </c>
      <c r="Q29" s="26">
        <f t="shared" si="84"/>
        <v>0.100000000031741</v>
      </c>
      <c r="R29" s="41"/>
      <c r="S29" s="21">
        <f t="shared" si="35"/>
        <v>45003</v>
      </c>
      <c r="T29" s="42">
        <v>10.218400000000001</v>
      </c>
      <c r="U29" s="43">
        <f t="shared" si="85"/>
        <v>0.40000000000084401</v>
      </c>
      <c r="V29" s="44">
        <f t="shared" si="86"/>
        <v>-2.1999999999984299</v>
      </c>
      <c r="W29" s="45">
        <f t="shared" si="87"/>
        <v>-0.20000000000042201</v>
      </c>
      <c r="X29" s="6">
        <v>15.140599999999999</v>
      </c>
      <c r="Y29" s="43">
        <f t="shared" si="88"/>
        <v>0.19999999999953399</v>
      </c>
      <c r="Z29" s="44">
        <f t="shared" si="89"/>
        <v>-5.2000000000003199</v>
      </c>
      <c r="AA29" s="45">
        <f t="shared" si="90"/>
        <v>9.99999999997669E-2</v>
      </c>
      <c r="AB29" s="49">
        <v>10.3393</v>
      </c>
      <c r="AC29" s="43">
        <f t="shared" si="91"/>
        <v>9.99999999997669E-2</v>
      </c>
      <c r="AD29" s="44">
        <f t="shared" si="92"/>
        <v>-4.2000000000008697</v>
      </c>
      <c r="AE29" s="45">
        <f t="shared" si="93"/>
        <v>4.9999999999883499E-2</v>
      </c>
      <c r="AF29" s="50">
        <v>80736</v>
      </c>
      <c r="AG29" s="58">
        <f t="shared" si="45"/>
        <v>85</v>
      </c>
      <c r="AH29" s="59"/>
      <c r="AI29" s="60"/>
      <c r="AJ29" s="61"/>
      <c r="AK29" s="62"/>
      <c r="AL29" s="60"/>
      <c r="AM29" s="64"/>
    </row>
    <row r="30" spans="1:48">
      <c r="A30" s="21">
        <v>45005</v>
      </c>
      <c r="B30" s="22">
        <v>791.80629999999996</v>
      </c>
      <c r="C30" s="6">
        <v>6.5486000000000004</v>
      </c>
      <c r="D30" s="23">
        <f t="shared" si="46"/>
        <v>798.35490000000004</v>
      </c>
      <c r="E30" s="24">
        <f t="shared" si="76"/>
        <v>0.29999999992469401</v>
      </c>
      <c r="F30" s="25">
        <f t="shared" si="77"/>
        <v>-3.69999999998072</v>
      </c>
      <c r="G30" s="26">
        <f t="shared" si="78"/>
        <v>0.149999999962347</v>
      </c>
      <c r="H30" s="6">
        <v>7.3810000000000002</v>
      </c>
      <c r="I30" s="35">
        <f t="shared" si="50"/>
        <v>799.18730000000005</v>
      </c>
      <c r="J30" s="24">
        <f t="shared" si="79"/>
        <v>9.9999999974897905E-2</v>
      </c>
      <c r="K30" s="25">
        <f t="shared" si="80"/>
        <v>-3.69999999998072</v>
      </c>
      <c r="L30" s="26">
        <f t="shared" si="81"/>
        <v>4.9999999987449001E-2</v>
      </c>
      <c r="M30" s="6">
        <v>6.67</v>
      </c>
      <c r="N30" s="35">
        <f t="shared" si="54"/>
        <v>798.47630000000004</v>
      </c>
      <c r="O30" s="24">
        <f t="shared" si="82"/>
        <v>0.29999999992469401</v>
      </c>
      <c r="P30" s="25">
        <f t="shared" si="83"/>
        <v>-4.2000000000825803</v>
      </c>
      <c r="Q30" s="26">
        <f t="shared" si="84"/>
        <v>0.149999999962347</v>
      </c>
      <c r="R30" s="41"/>
      <c r="S30" s="21">
        <f t="shared" si="35"/>
        <v>45005</v>
      </c>
      <c r="T30" s="42">
        <v>10.218299999999999</v>
      </c>
      <c r="U30" s="43">
        <f t="shared" si="85"/>
        <v>-0.10000000000154299</v>
      </c>
      <c r="V30" s="44">
        <f t="shared" si="86"/>
        <v>-2.2999999999999701</v>
      </c>
      <c r="W30" s="45">
        <f t="shared" si="87"/>
        <v>5.0000000000771601E-2</v>
      </c>
      <c r="X30" s="6">
        <v>15.1403</v>
      </c>
      <c r="Y30" s="43">
        <f t="shared" si="88"/>
        <v>-0.29999999999930099</v>
      </c>
      <c r="Z30" s="44">
        <f t="shared" si="89"/>
        <v>-5.4999999999996199</v>
      </c>
      <c r="AA30" s="45">
        <f t="shared" si="90"/>
        <v>-0.14999999999965</v>
      </c>
      <c r="AB30" s="49">
        <v>10.3398</v>
      </c>
      <c r="AC30" s="43">
        <f t="shared" si="91"/>
        <v>0.50000000000061096</v>
      </c>
      <c r="AD30" s="44">
        <f t="shared" si="92"/>
        <v>-3.70000000000026</v>
      </c>
      <c r="AE30" s="45">
        <f t="shared" si="93"/>
        <v>0.25000000000030598</v>
      </c>
      <c r="AF30" s="50">
        <v>80742</v>
      </c>
      <c r="AG30" s="58">
        <f t="shared" si="45"/>
        <v>91</v>
      </c>
      <c r="AH30" s="59"/>
      <c r="AI30" s="60"/>
      <c r="AJ30" s="61"/>
      <c r="AK30" s="62"/>
      <c r="AL30" s="60"/>
      <c r="AM30" s="64"/>
    </row>
    <row r="31" spans="1:48">
      <c r="A31" s="21">
        <v>45007</v>
      </c>
      <c r="B31" s="22">
        <v>791.80629999999996</v>
      </c>
      <c r="C31" s="6">
        <v>6.5484</v>
      </c>
      <c r="D31" s="23">
        <f t="shared" si="46"/>
        <v>798.35469999999998</v>
      </c>
      <c r="E31" s="24">
        <f t="shared" si="76"/>
        <v>-0.199999999949796</v>
      </c>
      <c r="F31" s="25">
        <f t="shared" si="77"/>
        <v>-3.8999999999305102</v>
      </c>
      <c r="G31" s="26">
        <f t="shared" si="78"/>
        <v>-9.9999999974897905E-2</v>
      </c>
      <c r="H31" s="6">
        <v>7.3807</v>
      </c>
      <c r="I31" s="35">
        <f t="shared" si="50"/>
        <v>799.18700000000001</v>
      </c>
      <c r="J31" s="24">
        <f t="shared" si="79"/>
        <v>-0.29999999992469401</v>
      </c>
      <c r="K31" s="25">
        <f t="shared" si="80"/>
        <v>-3.9999999999054099</v>
      </c>
      <c r="L31" s="26">
        <f t="shared" si="81"/>
        <v>-0.149999999962347</v>
      </c>
      <c r="M31" s="6">
        <v>6.6698000000000004</v>
      </c>
      <c r="N31" s="35">
        <f t="shared" si="54"/>
        <v>798.47609999999997</v>
      </c>
      <c r="O31" s="24">
        <f t="shared" si="82"/>
        <v>-0.199999999949796</v>
      </c>
      <c r="P31" s="25">
        <f t="shared" si="83"/>
        <v>-4.4000000000323798</v>
      </c>
      <c r="Q31" s="26">
        <f t="shared" si="84"/>
        <v>-9.9999999974897905E-2</v>
      </c>
      <c r="R31" s="41"/>
      <c r="S31" s="21">
        <f t="shared" si="35"/>
        <v>45007</v>
      </c>
      <c r="T31" s="42">
        <v>10.2181</v>
      </c>
      <c r="U31" s="43">
        <f t="shared" si="85"/>
        <v>-0.19999999999953399</v>
      </c>
      <c r="V31" s="44">
        <f t="shared" si="86"/>
        <v>-2.4999999999995</v>
      </c>
      <c r="W31" s="45">
        <f t="shared" si="87"/>
        <v>9.99999999997669E-2</v>
      </c>
      <c r="X31" s="6">
        <v>15.1401</v>
      </c>
      <c r="Y31" s="43">
        <f t="shared" si="88"/>
        <v>-0.19999999999953399</v>
      </c>
      <c r="Z31" s="44">
        <f t="shared" si="89"/>
        <v>-5.6999999999991502</v>
      </c>
      <c r="AA31" s="45">
        <f t="shared" si="90"/>
        <v>-9.99999999997669E-2</v>
      </c>
      <c r="AB31" s="49">
        <v>10.339499999999999</v>
      </c>
      <c r="AC31" s="43">
        <f t="shared" si="91"/>
        <v>-0.30000000000107702</v>
      </c>
      <c r="AD31" s="44">
        <f t="shared" si="92"/>
        <v>-4.0000000000013403</v>
      </c>
      <c r="AE31" s="45">
        <f t="shared" si="93"/>
        <v>-0.15000000000053901</v>
      </c>
      <c r="AF31" s="50">
        <v>80748</v>
      </c>
      <c r="AG31" s="58">
        <f t="shared" si="45"/>
        <v>97</v>
      </c>
      <c r="AH31" s="59"/>
      <c r="AI31" s="60"/>
      <c r="AJ31" s="61"/>
      <c r="AK31" s="62"/>
      <c r="AL31" s="60"/>
      <c r="AM31" s="64"/>
    </row>
    <row r="32" spans="1:48">
      <c r="A32" s="21">
        <v>45009</v>
      </c>
      <c r="B32" s="22">
        <v>791.80629999999996</v>
      </c>
      <c r="C32" s="6">
        <v>6.5488</v>
      </c>
      <c r="D32" s="23">
        <f t="shared" si="46"/>
        <v>798.35509999999999</v>
      </c>
      <c r="E32" s="24">
        <f t="shared" si="76"/>
        <v>0.40000000001327901</v>
      </c>
      <c r="F32" s="25">
        <f t="shared" si="77"/>
        <v>-3.49999999991724</v>
      </c>
      <c r="G32" s="26">
        <f t="shared" si="78"/>
        <v>0.20000000000663901</v>
      </c>
      <c r="H32" s="6">
        <v>7.3810000000000002</v>
      </c>
      <c r="I32" s="35">
        <f t="shared" si="50"/>
        <v>799.18730000000005</v>
      </c>
      <c r="J32" s="24">
        <f t="shared" si="79"/>
        <v>0.29999999992469401</v>
      </c>
      <c r="K32" s="25">
        <f t="shared" si="80"/>
        <v>-3.69999999998072</v>
      </c>
      <c r="L32" s="26">
        <f t="shared" si="81"/>
        <v>0.149999999962347</v>
      </c>
      <c r="M32" s="6">
        <v>6.6699000000000002</v>
      </c>
      <c r="N32" s="35">
        <f t="shared" si="54"/>
        <v>798.47619999999995</v>
      </c>
      <c r="O32" s="24">
        <f t="shared" si="82"/>
        <v>9.9999999974897905E-2</v>
      </c>
      <c r="P32" s="25">
        <f t="shared" si="83"/>
        <v>-4.3000000000574801</v>
      </c>
      <c r="Q32" s="26">
        <f t="shared" si="84"/>
        <v>4.9999999987449001E-2</v>
      </c>
      <c r="R32" s="41"/>
      <c r="S32" s="21">
        <f t="shared" si="35"/>
        <v>45009</v>
      </c>
      <c r="T32" s="42">
        <v>10.2186</v>
      </c>
      <c r="U32" s="43">
        <f t="shared" si="85"/>
        <v>0.50000000000061096</v>
      </c>
      <c r="V32" s="44">
        <f t="shared" si="86"/>
        <v>-1.99999999999889</v>
      </c>
      <c r="W32" s="45">
        <f t="shared" si="87"/>
        <v>-0.25000000000030598</v>
      </c>
      <c r="X32" s="6">
        <v>15.1404</v>
      </c>
      <c r="Y32" s="43">
        <f t="shared" si="88"/>
        <v>0.29999999999930099</v>
      </c>
      <c r="Z32" s="44">
        <f t="shared" si="89"/>
        <v>-5.3999999999998503</v>
      </c>
      <c r="AA32" s="45">
        <f t="shared" si="90"/>
        <v>0.14999999999965</v>
      </c>
      <c r="AB32" s="49">
        <v>10.339399999999999</v>
      </c>
      <c r="AC32" s="43">
        <f t="shared" si="91"/>
        <v>-9.99999999997669E-2</v>
      </c>
      <c r="AD32" s="44">
        <f t="shared" si="92"/>
        <v>-4.1000000000011001</v>
      </c>
      <c r="AE32" s="45">
        <f t="shared" si="93"/>
        <v>-4.9999999999883499E-2</v>
      </c>
      <c r="AF32" s="50">
        <v>80754</v>
      </c>
      <c r="AG32" s="58">
        <f t="shared" si="45"/>
        <v>103</v>
      </c>
      <c r="AH32" s="59"/>
      <c r="AI32" s="60"/>
      <c r="AJ32" s="61"/>
      <c r="AK32" s="62"/>
      <c r="AL32" s="60"/>
      <c r="AM32" s="64"/>
    </row>
    <row r="33" spans="1:39">
      <c r="A33" s="21">
        <v>45011</v>
      </c>
      <c r="B33" s="22">
        <v>791.80629999999996</v>
      </c>
      <c r="C33" s="6">
        <v>6.5487000000000002</v>
      </c>
      <c r="D33" s="23">
        <f t="shared" si="46"/>
        <v>798.35500000000002</v>
      </c>
      <c r="E33" s="24">
        <f t="shared" si="76"/>
        <v>-9.9999999974897905E-2</v>
      </c>
      <c r="F33" s="25">
        <f t="shared" si="77"/>
        <v>-3.5999999998921299</v>
      </c>
      <c r="G33" s="26">
        <f t="shared" si="78"/>
        <v>-4.9999999987449001E-2</v>
      </c>
      <c r="H33" s="6">
        <v>7.3811999999999998</v>
      </c>
      <c r="I33" s="35">
        <f t="shared" si="50"/>
        <v>799.1875</v>
      </c>
      <c r="J33" s="24">
        <f t="shared" si="79"/>
        <v>0.20000000006348301</v>
      </c>
      <c r="K33" s="25">
        <f t="shared" si="80"/>
        <v>-3.49999999991724</v>
      </c>
      <c r="L33" s="26">
        <f t="shared" si="81"/>
        <v>0.100000000031741</v>
      </c>
      <c r="M33" s="6">
        <v>6.6702000000000004</v>
      </c>
      <c r="N33" s="35">
        <f t="shared" si="54"/>
        <v>798.47649999999999</v>
      </c>
      <c r="O33" s="24">
        <f t="shared" si="82"/>
        <v>0.30000000003838101</v>
      </c>
      <c r="P33" s="25">
        <f t="shared" si="83"/>
        <v>-4.0000000000191003</v>
      </c>
      <c r="Q33" s="26">
        <f t="shared" si="84"/>
        <v>0.15000000001919001</v>
      </c>
      <c r="R33" s="41"/>
      <c r="S33" s="21">
        <f t="shared" si="35"/>
        <v>45011</v>
      </c>
      <c r="T33" s="42">
        <v>10.218500000000001</v>
      </c>
      <c r="U33" s="43">
        <f t="shared" si="85"/>
        <v>-9.99999999997669E-2</v>
      </c>
      <c r="V33" s="44">
        <f t="shared" si="86"/>
        <v>-2.0999999999986598</v>
      </c>
      <c r="W33" s="45">
        <f t="shared" si="87"/>
        <v>4.9999999999883499E-2</v>
      </c>
      <c r="X33" s="6">
        <v>15.140499999999999</v>
      </c>
      <c r="Y33" s="43">
        <f t="shared" si="88"/>
        <v>9.99999999997669E-2</v>
      </c>
      <c r="Z33" s="44">
        <f t="shared" si="89"/>
        <v>-5.3000000000000798</v>
      </c>
      <c r="AA33" s="45">
        <f t="shared" si="90"/>
        <v>4.9999999999883499E-2</v>
      </c>
      <c r="AB33" s="49">
        <v>10.34</v>
      </c>
      <c r="AC33" s="43">
        <f t="shared" si="91"/>
        <v>0.60000000000037801</v>
      </c>
      <c r="AD33" s="44">
        <f t="shared" si="92"/>
        <v>-3.5000000000007199</v>
      </c>
      <c r="AE33" s="45">
        <f t="shared" si="93"/>
        <v>0.300000000000189</v>
      </c>
      <c r="AF33" s="50">
        <v>80760</v>
      </c>
      <c r="AG33" s="58">
        <f t="shared" si="45"/>
        <v>109</v>
      </c>
      <c r="AH33" s="61"/>
      <c r="AI33" s="60"/>
      <c r="AJ33"/>
      <c r="AK33"/>
      <c r="AL33"/>
      <c r="AM33"/>
    </row>
    <row r="34" spans="1:39">
      <c r="A34" s="21">
        <v>45013</v>
      </c>
      <c r="B34" s="22">
        <v>791.80629999999996</v>
      </c>
      <c r="C34" s="6">
        <v>6.5488999999999997</v>
      </c>
      <c r="D34" s="23">
        <f t="shared" si="46"/>
        <v>798.35519999999997</v>
      </c>
      <c r="E34" s="24">
        <f t="shared" si="76"/>
        <v>0.199999999949796</v>
      </c>
      <c r="F34" s="25">
        <f t="shared" si="77"/>
        <v>-3.3999999999423398</v>
      </c>
      <c r="G34" s="26">
        <f t="shared" si="78"/>
        <v>9.9999999974897905E-2</v>
      </c>
      <c r="H34" s="6">
        <v>7.3811</v>
      </c>
      <c r="I34" s="35">
        <f t="shared" si="50"/>
        <v>799.18740000000003</v>
      </c>
      <c r="J34" s="24">
        <f t="shared" si="79"/>
        <v>-0.10000000008858501</v>
      </c>
      <c r="K34" s="25">
        <f t="shared" si="80"/>
        <v>-3.6000000000058199</v>
      </c>
      <c r="L34" s="26">
        <f t="shared" si="81"/>
        <v>-5.0000000044292399E-2</v>
      </c>
      <c r="M34" s="6">
        <v>6.6698000000000004</v>
      </c>
      <c r="N34" s="35">
        <f t="shared" si="54"/>
        <v>798.47609999999997</v>
      </c>
      <c r="O34" s="24">
        <f t="shared" si="82"/>
        <v>-0.40000000001327901</v>
      </c>
      <c r="P34" s="25">
        <f t="shared" si="83"/>
        <v>-4.4000000000323798</v>
      </c>
      <c r="Q34" s="26">
        <f t="shared" si="84"/>
        <v>-0.20000000000663901</v>
      </c>
      <c r="R34" s="41"/>
      <c r="S34" s="21">
        <f t="shared" si="35"/>
        <v>45013</v>
      </c>
      <c r="T34" s="42">
        <v>10.2188</v>
      </c>
      <c r="U34" s="43">
        <f t="shared" si="85"/>
        <v>0.29999999999930099</v>
      </c>
      <c r="V34" s="44">
        <f t="shared" si="86"/>
        <v>-1.7999999999993599</v>
      </c>
      <c r="W34" s="45">
        <f t="shared" si="87"/>
        <v>-0.14999999999965</v>
      </c>
      <c r="X34" s="6">
        <v>15.1408</v>
      </c>
      <c r="Y34" s="43">
        <f t="shared" si="88"/>
        <v>0.30000000000107702</v>
      </c>
      <c r="Z34" s="44">
        <f t="shared" si="89"/>
        <v>-4.9999999999990097</v>
      </c>
      <c r="AA34" s="45">
        <f t="shared" si="90"/>
        <v>0.15000000000053901</v>
      </c>
      <c r="AB34" s="49">
        <v>10.339700000000001</v>
      </c>
      <c r="AC34" s="43">
        <f t="shared" si="91"/>
        <v>-0.29999999999930099</v>
      </c>
      <c r="AD34" s="44">
        <f t="shared" si="92"/>
        <v>-3.80000000000003</v>
      </c>
      <c r="AE34" s="45">
        <f t="shared" si="93"/>
        <v>-0.14999999999965</v>
      </c>
      <c r="AF34" s="50">
        <v>80766</v>
      </c>
      <c r="AG34" s="58">
        <f t="shared" si="45"/>
        <v>115</v>
      </c>
      <c r="AH34" s="61"/>
      <c r="AI34" s="60"/>
      <c r="AJ34"/>
      <c r="AK34"/>
      <c r="AL34"/>
      <c r="AM34"/>
    </row>
    <row r="35" spans="1:39">
      <c r="A35" s="21">
        <v>45017</v>
      </c>
      <c r="B35" s="22">
        <v>791.80629999999996</v>
      </c>
      <c r="C35" s="6">
        <v>6.5488</v>
      </c>
      <c r="D35" s="23">
        <f t="shared" si="46"/>
        <v>798.35509999999999</v>
      </c>
      <c r="E35" s="24">
        <f t="shared" si="76"/>
        <v>-9.9999999974897905E-2</v>
      </c>
      <c r="F35" s="25">
        <f t="shared" si="77"/>
        <v>-3.49999999991724</v>
      </c>
      <c r="G35" s="26">
        <f t="shared" si="78"/>
        <v>-2.49999999937245E-2</v>
      </c>
      <c r="H35" s="6">
        <v>7.3814000000000002</v>
      </c>
      <c r="I35" s="35">
        <f t="shared" si="50"/>
        <v>799.18769999999995</v>
      </c>
      <c r="J35" s="24">
        <f t="shared" si="79"/>
        <v>0.30000000003838101</v>
      </c>
      <c r="K35" s="25">
        <f t="shared" si="80"/>
        <v>-3.2999999999674401</v>
      </c>
      <c r="L35" s="26">
        <f t="shared" si="81"/>
        <v>7.5000000009595197E-2</v>
      </c>
      <c r="M35" s="6">
        <v>6.6703999999999999</v>
      </c>
      <c r="N35" s="35">
        <f t="shared" si="54"/>
        <v>798.47670000000005</v>
      </c>
      <c r="O35" s="24">
        <f t="shared" si="82"/>
        <v>0.59999999996307496</v>
      </c>
      <c r="P35" s="25">
        <f t="shared" si="83"/>
        <v>-3.8000000000692999</v>
      </c>
      <c r="Q35" s="26">
        <f t="shared" si="84"/>
        <v>0.14999999999076899</v>
      </c>
      <c r="R35" s="41"/>
      <c r="S35" s="21">
        <f t="shared" si="35"/>
        <v>45017</v>
      </c>
      <c r="T35" s="42">
        <v>10.2187</v>
      </c>
      <c r="U35" s="43">
        <f t="shared" si="85"/>
        <v>-9.99999999997669E-2</v>
      </c>
      <c r="V35" s="44">
        <f t="shared" si="86"/>
        <v>-1.8999999999991199</v>
      </c>
      <c r="W35" s="45">
        <f t="shared" si="87"/>
        <v>2.4999999999941701E-2</v>
      </c>
      <c r="X35" s="6">
        <v>15.140700000000001</v>
      </c>
      <c r="Y35" s="43">
        <f t="shared" si="88"/>
        <v>-9.99999999997669E-2</v>
      </c>
      <c r="Z35" s="44">
        <f t="shared" si="89"/>
        <v>-5.0999999999987704</v>
      </c>
      <c r="AA35" s="45">
        <f t="shared" si="90"/>
        <v>-2.4999999999941701E-2</v>
      </c>
      <c r="AB35" s="49">
        <v>10.340199999999999</v>
      </c>
      <c r="AC35" s="43">
        <f t="shared" si="91"/>
        <v>0.49999999999883499</v>
      </c>
      <c r="AD35" s="44">
        <f t="shared" si="92"/>
        <v>-3.30000000000119</v>
      </c>
      <c r="AE35" s="45">
        <f t="shared" si="93"/>
        <v>0.124999999999709</v>
      </c>
      <c r="AF35" s="50">
        <v>80778</v>
      </c>
      <c r="AG35" s="58">
        <f t="shared" si="45"/>
        <v>127</v>
      </c>
      <c r="AH35" s="61"/>
      <c r="AI35" s="60"/>
      <c r="AJ35" s="61"/>
      <c r="AK35" s="62"/>
      <c r="AL35" s="60"/>
      <c r="AM35" s="64"/>
    </row>
    <row r="36" spans="1:39">
      <c r="A36" s="21"/>
      <c r="B36" s="22"/>
      <c r="C36" s="27"/>
      <c r="D36" s="23"/>
      <c r="E36" s="65">
        <f>F35-F30</f>
        <v>0.20000000006348301</v>
      </c>
      <c r="F36" s="33">
        <f>K35-K30</f>
        <v>0.40000000001327901</v>
      </c>
      <c r="G36" s="33">
        <f>P35-P30</f>
        <v>0.40000000001327901</v>
      </c>
      <c r="H36" s="33">
        <f>F35</f>
        <v>-3.49999999991724</v>
      </c>
      <c r="I36" s="66">
        <f>K35</f>
        <v>-3.2999999999674401</v>
      </c>
      <c r="J36" s="65">
        <f>P35</f>
        <v>-3.8000000000692999</v>
      </c>
      <c r="K36" s="33">
        <f>(P35-P30)/12</f>
        <v>3.3333333334439899E-2</v>
      </c>
      <c r="L36" s="26"/>
      <c r="N36" s="35"/>
      <c r="O36" s="24"/>
      <c r="P36" s="25"/>
      <c r="Q36" s="26"/>
      <c r="R36" s="41"/>
      <c r="S36" s="21"/>
      <c r="T36" s="42"/>
      <c r="U36" s="65">
        <f>V35-V30</f>
        <v>0.40000000000084401</v>
      </c>
      <c r="V36" s="33">
        <f>Z35-Z30</f>
        <v>0.40000000000084401</v>
      </c>
      <c r="W36" s="33">
        <f>AD35-AD30</f>
        <v>0.39999999999906799</v>
      </c>
      <c r="X36" s="33">
        <f>V35</f>
        <v>-1.8999999999991199</v>
      </c>
      <c r="Y36" s="65">
        <f>Z35</f>
        <v>-5.0999999999987704</v>
      </c>
      <c r="Z36" s="33">
        <f>AD35</f>
        <v>-3.30000000000119</v>
      </c>
      <c r="AA36" s="33">
        <f>(AD35-AD30)/12</f>
        <v>3.3333333333255603E-2</v>
      </c>
      <c r="AB36" s="49"/>
      <c r="AC36" s="43"/>
      <c r="AD36" s="44"/>
      <c r="AE36" s="45"/>
      <c r="AF36" s="50"/>
      <c r="AG36" s="58"/>
      <c r="AH36" s="61"/>
      <c r="AI36" s="60"/>
      <c r="AJ36"/>
      <c r="AK36"/>
      <c r="AL36"/>
      <c r="AM36"/>
    </row>
    <row r="37" spans="1:39">
      <c r="A37" s="21"/>
      <c r="B37" s="22"/>
      <c r="C37" s="27"/>
      <c r="D37" s="23"/>
      <c r="E37" s="24"/>
      <c r="F37" s="25"/>
      <c r="G37" s="26"/>
      <c r="I37" s="35"/>
      <c r="J37" s="24"/>
      <c r="K37" s="25"/>
      <c r="L37" s="26"/>
      <c r="N37" s="35"/>
      <c r="O37" s="24"/>
      <c r="P37" s="25"/>
      <c r="Q37" s="26"/>
      <c r="R37" s="41"/>
      <c r="S37" s="21"/>
      <c r="T37" s="42"/>
      <c r="U37" s="43"/>
      <c r="V37" s="44"/>
      <c r="W37" s="45"/>
      <c r="X37" s="29"/>
      <c r="Y37" s="43"/>
      <c r="Z37" s="44"/>
      <c r="AA37" s="45"/>
      <c r="AB37" s="49"/>
      <c r="AC37" s="43"/>
      <c r="AD37" s="44"/>
      <c r="AE37" s="45"/>
      <c r="AF37" s="50"/>
      <c r="AG37" s="58"/>
      <c r="AH37" s="61"/>
      <c r="AI37" s="60"/>
      <c r="AJ37" s="61"/>
      <c r="AK37" s="62"/>
      <c r="AL37" s="60"/>
      <c r="AM37" s="64"/>
    </row>
    <row r="38" spans="1:39">
      <c r="A38" s="21"/>
      <c r="B38" s="22"/>
      <c r="C38" s="27"/>
      <c r="D38" s="23"/>
      <c r="E38" s="24"/>
      <c r="F38" s="25"/>
      <c r="G38" s="26"/>
      <c r="I38" s="35"/>
      <c r="J38" s="24"/>
      <c r="K38" s="25"/>
      <c r="L38" s="26"/>
      <c r="N38" s="35"/>
      <c r="O38" s="24"/>
      <c r="P38" s="25"/>
      <c r="Q38" s="26"/>
      <c r="R38" s="41"/>
      <c r="S38" s="21"/>
      <c r="T38" s="42"/>
      <c r="U38" s="43"/>
      <c r="V38" s="44"/>
      <c r="W38" s="45"/>
      <c r="X38" s="29"/>
      <c r="Y38" s="43"/>
      <c r="Z38" s="44"/>
      <c r="AA38" s="45"/>
      <c r="AB38" s="49"/>
      <c r="AC38" s="43"/>
      <c r="AD38" s="44"/>
      <c r="AE38" s="45"/>
      <c r="AF38" s="50"/>
      <c r="AG38" s="58"/>
      <c r="AH38" s="61"/>
      <c r="AI38" s="60"/>
      <c r="AJ38" s="61"/>
      <c r="AK38" s="62"/>
      <c r="AL38" s="60"/>
      <c r="AM38" s="64"/>
    </row>
    <row r="39" spans="1:39">
      <c r="A39" s="21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50"/>
      <c r="AG39" s="58"/>
      <c r="AH39" s="61"/>
      <c r="AI39" s="60"/>
      <c r="AJ39" s="61"/>
      <c r="AK39" s="62"/>
      <c r="AL39" s="60"/>
      <c r="AM39" s="64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6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50"/>
      <c r="AG41" s="58"/>
      <c r="AH41" s="51"/>
    </row>
    <row r="42" spans="1:39">
      <c r="A42" s="30"/>
      <c r="B42" s="22"/>
      <c r="C42" s="22"/>
      <c r="D42" s="28"/>
      <c r="E42" s="24"/>
      <c r="F42" s="25"/>
      <c r="G42" s="26"/>
      <c r="H42" s="29"/>
      <c r="I42" s="35"/>
      <c r="J42" s="24"/>
      <c r="K42" s="25"/>
      <c r="L42" s="26"/>
      <c r="M42" s="29"/>
      <c r="N42" s="35"/>
      <c r="O42" s="24"/>
      <c r="P42" s="25"/>
      <c r="Q42" s="26"/>
      <c r="R42" s="41"/>
      <c r="S42" s="30"/>
      <c r="T42" s="46"/>
      <c r="U42" s="24"/>
      <c r="V42" s="25"/>
      <c r="W42" s="26"/>
      <c r="X42" s="29"/>
      <c r="Y42" s="24"/>
      <c r="Z42" s="25"/>
      <c r="AA42" s="26"/>
      <c r="AB42" s="29"/>
      <c r="AC42" s="24"/>
      <c r="AD42" s="25"/>
      <c r="AE42" s="26"/>
      <c r="AF42" s="50"/>
      <c r="AG42" s="58"/>
      <c r="AH42" s="51"/>
    </row>
    <row r="43" spans="1:39">
      <c r="A43" s="30"/>
      <c r="B43" s="22"/>
      <c r="C43" s="22"/>
      <c r="D43" s="28"/>
      <c r="E43" s="24"/>
      <c r="F43" s="25"/>
      <c r="G43" s="26"/>
      <c r="H43" s="29"/>
      <c r="I43" s="35"/>
      <c r="J43" s="24"/>
      <c r="K43" s="25"/>
      <c r="L43" s="26"/>
      <c r="M43" s="29"/>
      <c r="N43" s="35"/>
      <c r="O43" s="24"/>
      <c r="P43" s="25"/>
      <c r="Q43" s="26"/>
      <c r="R43" s="41"/>
      <c r="S43" s="30"/>
      <c r="T43" s="46"/>
      <c r="U43" s="24"/>
      <c r="V43" s="25"/>
      <c r="W43" s="26"/>
      <c r="X43" s="47"/>
      <c r="Y43" s="24"/>
      <c r="Z43" s="25"/>
      <c r="AA43" s="26"/>
      <c r="AB43" s="47"/>
      <c r="AC43" s="24"/>
      <c r="AD43" s="25"/>
      <c r="AE43" s="26"/>
      <c r="AF43" s="50"/>
      <c r="AG43" s="58"/>
      <c r="AH43" s="51"/>
    </row>
    <row r="44" spans="1:39">
      <c r="A44" s="30"/>
      <c r="B44" s="22"/>
      <c r="C44" s="22"/>
      <c r="D44" s="28"/>
      <c r="E44" s="24"/>
      <c r="F44" s="25"/>
      <c r="G44" s="26"/>
      <c r="H44" s="29"/>
      <c r="I44" s="35"/>
      <c r="J44" s="24"/>
      <c r="K44" s="25"/>
      <c r="L44" s="26"/>
      <c r="M44" s="29"/>
      <c r="N44" s="35"/>
      <c r="O44" s="24"/>
      <c r="P44" s="25"/>
      <c r="Q44" s="26"/>
      <c r="R44" s="41"/>
      <c r="S44" s="30"/>
      <c r="T44" s="46"/>
      <c r="U44" s="24"/>
      <c r="V44" s="25"/>
      <c r="W44" s="26"/>
      <c r="X44" s="29"/>
      <c r="Y44" s="24"/>
      <c r="Z44" s="25"/>
      <c r="AA44" s="26"/>
      <c r="AB44" s="29"/>
      <c r="AC44" s="24"/>
      <c r="AD44" s="25"/>
      <c r="AE44" s="26"/>
      <c r="AF44" s="50"/>
      <c r="AG44" s="58"/>
      <c r="AH44" s="51"/>
    </row>
    <row r="45" spans="1:39">
      <c r="A45" s="30"/>
      <c r="B45" s="22"/>
      <c r="C45" s="22"/>
      <c r="D45" s="28"/>
      <c r="E45" s="24"/>
      <c r="F45" s="25"/>
      <c r="G45" s="26"/>
      <c r="H45" s="29"/>
      <c r="I45" s="35"/>
      <c r="J45" s="24"/>
      <c r="K45" s="25"/>
      <c r="L45" s="26"/>
      <c r="M45" s="29"/>
      <c r="N45" s="35"/>
      <c r="O45" s="24"/>
      <c r="P45" s="25"/>
      <c r="Q45" s="26"/>
      <c r="R45" s="41"/>
      <c r="S45" s="30"/>
      <c r="T45" s="42"/>
      <c r="U45" s="24"/>
      <c r="V45" s="25"/>
      <c r="W45" s="26"/>
      <c r="X45" s="29"/>
      <c r="Y45" s="24"/>
      <c r="Z45" s="25"/>
      <c r="AA45" s="26"/>
      <c r="AB45" s="29"/>
      <c r="AC45" s="24"/>
      <c r="AD45" s="25"/>
      <c r="AE45" s="26"/>
      <c r="AF45" s="26"/>
      <c r="AG45" s="26"/>
      <c r="AH45" s="51"/>
    </row>
    <row r="46" spans="1:39">
      <c r="A46" s="31"/>
      <c r="B46" s="30"/>
      <c r="C46" s="32"/>
      <c r="E46" s="24"/>
      <c r="F46" s="25"/>
      <c r="G46" s="26"/>
      <c r="H46" s="29"/>
      <c r="J46" s="24"/>
      <c r="K46" s="25"/>
      <c r="L46" s="26"/>
      <c r="M46" s="29"/>
      <c r="O46" s="24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0"/>
      <c r="C47" s="32"/>
      <c r="D47" s="32"/>
      <c r="E47" s="24"/>
      <c r="F47" s="25"/>
      <c r="G47" s="26"/>
      <c r="H47" s="29"/>
      <c r="I47" s="29"/>
      <c r="J47" s="24"/>
      <c r="K47" s="25"/>
      <c r="L47" s="26"/>
      <c r="M47" s="29"/>
      <c r="O47" s="24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>
        <v>3</v>
      </c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B52" s="31"/>
      <c r="C52" s="32"/>
      <c r="D52" s="32"/>
      <c r="E52" s="33"/>
      <c r="F52" s="25"/>
      <c r="G52" s="26"/>
      <c r="H52" s="29"/>
      <c r="I52" s="29"/>
      <c r="J52" s="33"/>
      <c r="K52" s="25"/>
      <c r="L52" s="26"/>
      <c r="M52" s="29"/>
      <c r="N52" s="29"/>
      <c r="O52" s="33"/>
      <c r="P52" s="25"/>
      <c r="Q52" s="26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B53" s="31"/>
      <c r="C53" s="32"/>
      <c r="D53" s="32"/>
      <c r="E53" s="33"/>
      <c r="F53" s="25"/>
      <c r="G53" s="26"/>
      <c r="H53" s="29"/>
      <c r="I53" s="29"/>
      <c r="J53" s="33"/>
      <c r="K53" s="25"/>
      <c r="L53" s="26"/>
      <c r="M53" s="29"/>
      <c r="N53" s="29"/>
      <c r="O53" s="33"/>
      <c r="P53" s="25"/>
      <c r="Q53" s="26"/>
      <c r="R53" s="41"/>
      <c r="S53" s="30"/>
      <c r="T53" s="42"/>
      <c r="U53" s="33"/>
      <c r="V53" s="25"/>
      <c r="W53" s="26"/>
      <c r="X53" s="29"/>
      <c r="Y53" s="33"/>
      <c r="Z53" s="25"/>
      <c r="AA53" s="26"/>
      <c r="AB53" s="29"/>
      <c r="AC53" s="33"/>
      <c r="AD53" s="25"/>
      <c r="AE53" s="26"/>
      <c r="AF53" s="26"/>
      <c r="AG53" s="26"/>
      <c r="AH53" s="51"/>
    </row>
    <row r="54" spans="1:34">
      <c r="A54" s="31"/>
      <c r="B54" s="31"/>
      <c r="C54" s="32"/>
      <c r="D54" s="32"/>
      <c r="E54" s="33"/>
      <c r="F54" s="25"/>
      <c r="G54" s="26"/>
      <c r="H54" s="29"/>
      <c r="I54" s="29"/>
      <c r="J54" s="33"/>
      <c r="K54" s="25"/>
      <c r="L54" s="26"/>
      <c r="M54" s="29"/>
      <c r="N54" s="29"/>
      <c r="O54" s="33"/>
      <c r="P54" s="25"/>
      <c r="Q54" s="26"/>
      <c r="R54" s="41"/>
      <c r="S54" s="30"/>
      <c r="T54" s="42"/>
      <c r="U54" s="33"/>
      <c r="V54" s="25"/>
      <c r="W54" s="26"/>
      <c r="X54" s="29"/>
      <c r="Y54" s="33"/>
      <c r="Z54" s="25"/>
      <c r="AA54" s="26"/>
      <c r="AB54" s="29"/>
      <c r="AC54" s="33"/>
      <c r="AD54" s="25"/>
      <c r="AE54" s="26"/>
      <c r="AF54" s="26"/>
      <c r="AG54" s="26"/>
      <c r="AH54" s="51"/>
    </row>
    <row r="55" spans="1:34">
      <c r="A55" s="31"/>
      <c r="B55" s="31"/>
      <c r="C55" s="32"/>
      <c r="D55" s="32"/>
      <c r="E55" s="33"/>
      <c r="F55" s="25"/>
      <c r="G55" s="26"/>
      <c r="H55" s="29"/>
      <c r="I55" s="29"/>
      <c r="J55" s="33"/>
      <c r="K55" s="25"/>
      <c r="L55" s="26"/>
      <c r="M55" s="29"/>
      <c r="N55" s="29"/>
      <c r="O55" s="33"/>
      <c r="P55" s="25"/>
      <c r="Q55" s="26"/>
      <c r="R55" s="41"/>
      <c r="S55" s="30"/>
      <c r="T55" s="42"/>
      <c r="U55" s="33"/>
      <c r="V55" s="25"/>
      <c r="W55" s="26"/>
      <c r="X55" s="29"/>
      <c r="Y55" s="33"/>
      <c r="Z55" s="25"/>
      <c r="AA55" s="26"/>
      <c r="AB55" s="29"/>
      <c r="AC55" s="33"/>
      <c r="AD55" s="25"/>
      <c r="AE55" s="26"/>
      <c r="AF55" s="26"/>
      <c r="AG55" s="26"/>
      <c r="AH55" s="51"/>
    </row>
    <row r="56" spans="1:34">
      <c r="A56" s="31"/>
      <c r="C56" s="32"/>
      <c r="H56" s="29"/>
      <c r="M56" s="29"/>
      <c r="R56" s="41"/>
      <c r="S56" s="30"/>
      <c r="T56" s="42"/>
      <c r="U56" s="33"/>
      <c r="V56" s="25"/>
      <c r="W56" s="26"/>
      <c r="X56" s="29"/>
      <c r="Y56" s="33"/>
      <c r="Z56" s="25"/>
      <c r="AA56" s="26"/>
      <c r="AB56" s="29"/>
      <c r="AC56" s="33"/>
      <c r="AD56" s="25"/>
      <c r="AE56" s="26"/>
      <c r="AF56" s="26"/>
      <c r="AG56" s="26"/>
      <c r="AH56" s="51"/>
    </row>
    <row r="57" spans="1:34">
      <c r="A57" s="31"/>
      <c r="C57" s="32"/>
      <c r="H57" s="29"/>
      <c r="M57" s="29"/>
      <c r="R57" s="41"/>
      <c r="AH57" s="51"/>
    </row>
    <row r="58" spans="1:34">
      <c r="A58" s="31"/>
      <c r="C58" s="32"/>
      <c r="H58" s="29"/>
      <c r="M58" s="29"/>
      <c r="R58" s="41"/>
      <c r="AH58" s="51"/>
    </row>
    <row r="59" spans="1:34">
      <c r="A59" s="31"/>
      <c r="C59" s="32"/>
      <c r="H59" s="29"/>
      <c r="M59" s="29"/>
      <c r="R59" s="41"/>
      <c r="AH59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Q19" workbookViewId="0">
      <selection activeCell="U31" sqref="U31:AA31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84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44984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44984</v>
      </c>
      <c r="B6" s="22">
        <v>791.80629999999996</v>
      </c>
      <c r="C6" s="6">
        <v>6.5236999999999998</v>
      </c>
      <c r="D6" s="23">
        <f t="shared" ref="D6:D23" si="0">C6+B6</f>
        <v>798.33</v>
      </c>
      <c r="E6" s="24">
        <v>0</v>
      </c>
      <c r="F6" s="25">
        <v>0</v>
      </c>
      <c r="G6" s="26">
        <v>0</v>
      </c>
      <c r="H6" s="6">
        <v>7.3122999999999996</v>
      </c>
      <c r="I6" s="35">
        <f t="shared" ref="I6:I23" si="1">H6+B6</f>
        <v>799.11860000000001</v>
      </c>
      <c r="J6" s="24">
        <v>0</v>
      </c>
      <c r="K6" s="25">
        <v>0</v>
      </c>
      <c r="L6" s="26">
        <v>0</v>
      </c>
      <c r="M6" s="6">
        <v>6.4726999999999997</v>
      </c>
      <c r="N6" s="35">
        <f t="shared" ref="N6:N23" si="2">M6+B6</f>
        <v>798.279</v>
      </c>
      <c r="O6" s="24">
        <v>0</v>
      </c>
      <c r="P6" s="25">
        <v>0</v>
      </c>
      <c r="Q6" s="26">
        <v>0</v>
      </c>
      <c r="R6" s="41"/>
      <c r="S6" s="21">
        <f t="shared" ref="S6:S23" si="3">A6</f>
        <v>44984</v>
      </c>
      <c r="T6" s="42">
        <v>8.8742000000000001</v>
      </c>
      <c r="U6" s="43">
        <v>0</v>
      </c>
      <c r="V6" s="44">
        <v>0</v>
      </c>
      <c r="W6" s="45">
        <f>U6/(S6-S11)</f>
        <v>0</v>
      </c>
      <c r="X6" s="6">
        <v>12.2347</v>
      </c>
      <c r="Y6" s="43">
        <v>0</v>
      </c>
      <c r="Z6" s="44">
        <v>0</v>
      </c>
      <c r="AA6" s="45">
        <v>0</v>
      </c>
      <c r="AB6" s="49">
        <v>8.8892000000000007</v>
      </c>
      <c r="AC6" s="43">
        <v>0</v>
      </c>
      <c r="AD6" s="44">
        <v>0</v>
      </c>
      <c r="AE6" s="45">
        <v>0</v>
      </c>
      <c r="AF6" s="50">
        <v>80695</v>
      </c>
      <c r="AG6" s="58">
        <f>AF6-80690</f>
        <v>5</v>
      </c>
      <c r="AH6" s="59"/>
      <c r="AI6" s="60"/>
      <c r="AJ6" s="61"/>
      <c r="AK6" s="62"/>
      <c r="AL6" s="52"/>
      <c r="AM6" s="52"/>
    </row>
    <row r="7" spans="1:48">
      <c r="A7" s="21">
        <v>44985</v>
      </c>
      <c r="B7" s="22">
        <v>791.80629999999996</v>
      </c>
      <c r="C7" s="6">
        <v>6.5235000000000003</v>
      </c>
      <c r="D7" s="23">
        <f t="shared" si="0"/>
        <v>798.32979999999998</v>
      </c>
      <c r="E7" s="24">
        <f t="shared" ref="E7:E26" si="4">(D7-D6)*1000</f>
        <v>-0.199999999949796</v>
      </c>
      <c r="F7" s="25">
        <f t="shared" ref="F7:F26" si="5">F6+E7</f>
        <v>-0.199999999949796</v>
      </c>
      <c r="G7" s="26">
        <f t="shared" ref="G7:G26" si="6">E7/(A7-A6)</f>
        <v>-0.199999999949796</v>
      </c>
      <c r="H7" s="6">
        <v>7.3121999999999998</v>
      </c>
      <c r="I7" s="35">
        <f t="shared" si="1"/>
        <v>799.11850000000004</v>
      </c>
      <c r="J7" s="24">
        <f t="shared" ref="J7:J26" si="7">(I7-I6)*1000</f>
        <v>-0.10000000008858501</v>
      </c>
      <c r="K7" s="25">
        <f t="shared" ref="K7:K26" si="8">K6+J7</f>
        <v>-0.10000000008858501</v>
      </c>
      <c r="L7" s="26">
        <f t="shared" ref="L7:L26" si="9">J7/(A7-A6)</f>
        <v>-0.10000000008858501</v>
      </c>
      <c r="M7" s="6">
        <v>6.4725000000000001</v>
      </c>
      <c r="N7" s="35">
        <f t="shared" si="2"/>
        <v>798.27880000000005</v>
      </c>
      <c r="O7" s="24">
        <f t="shared" ref="O7:O26" si="10">(N7-N6)*1000</f>
        <v>-0.20000000006348301</v>
      </c>
      <c r="P7" s="25">
        <f t="shared" ref="P7:P26" si="11">P6+O7</f>
        <v>-0.20000000006348301</v>
      </c>
      <c r="Q7" s="26">
        <f t="shared" ref="Q7:Q26" si="12">O7/(A7-A6)</f>
        <v>-0.20000000006348301</v>
      </c>
      <c r="R7" s="41"/>
      <c r="S7" s="21">
        <f t="shared" si="3"/>
        <v>44985</v>
      </c>
      <c r="T7" s="42">
        <v>8.8740000000000006</v>
      </c>
      <c r="U7" s="43">
        <f t="shared" ref="U7:U26" si="13">(T7-T6)*1000</f>
        <v>-0.19999999999953399</v>
      </c>
      <c r="V7" s="44">
        <f t="shared" ref="V7:V26" si="14">V6+U7</f>
        <v>-0.19999999999953399</v>
      </c>
      <c r="W7" s="45">
        <f t="shared" ref="W7:W26" si="15">U7/(S6-S7)</f>
        <v>0.19999999999953399</v>
      </c>
      <c r="X7" s="6">
        <v>12.2342</v>
      </c>
      <c r="Y7" s="43">
        <f t="shared" ref="Y7:Y26" si="16">(X7-X6)*1000</f>
        <v>-0.50000000000061096</v>
      </c>
      <c r="Z7" s="44">
        <f t="shared" ref="Z7:Z26" si="17">Z6+Y7</f>
        <v>-0.50000000000061096</v>
      </c>
      <c r="AA7" s="45">
        <f t="shared" ref="AA7:AA26" si="18">Y7/(S7-S6)</f>
        <v>-0.50000000000061096</v>
      </c>
      <c r="AB7" s="49">
        <v>8.8889999999999993</v>
      </c>
      <c r="AC7" s="43">
        <f t="shared" ref="AC7:AC26" si="19">(AB7-AB6)*1000</f>
        <v>-0.20000000000130999</v>
      </c>
      <c r="AD7" s="44">
        <f t="shared" ref="AD7:AD26" si="20">AD6+AC7</f>
        <v>-0.20000000000130999</v>
      </c>
      <c r="AE7" s="45">
        <f t="shared" ref="AE7:AE26" si="21">AC7/(S7-S6)</f>
        <v>-0.20000000000130999</v>
      </c>
      <c r="AF7" s="50">
        <v>80698</v>
      </c>
      <c r="AG7" s="58">
        <f t="shared" ref="AG7:AG27" si="22">AF7-80690</f>
        <v>8</v>
      </c>
      <c r="AH7" s="59"/>
      <c r="AI7" s="60"/>
      <c r="AJ7" s="61"/>
      <c r="AK7" s="62"/>
      <c r="AL7" s="52"/>
      <c r="AM7" s="52"/>
    </row>
    <row r="8" spans="1:48">
      <c r="A8" s="21">
        <v>44986</v>
      </c>
      <c r="B8" s="22">
        <v>791.80629999999996</v>
      </c>
      <c r="C8" s="6">
        <v>6.5236000000000001</v>
      </c>
      <c r="D8" s="23">
        <f t="shared" si="0"/>
        <v>798.32989999999995</v>
      </c>
      <c r="E8" s="24">
        <f t="shared" si="4"/>
        <v>9.9999999974897905E-2</v>
      </c>
      <c r="F8" s="25">
        <f t="shared" si="5"/>
        <v>-9.9999999974897905E-2</v>
      </c>
      <c r="G8" s="26">
        <f t="shared" si="6"/>
        <v>9.9999999974897905E-2</v>
      </c>
      <c r="H8" s="6">
        <v>7.3120000000000003</v>
      </c>
      <c r="I8" s="35">
        <f t="shared" si="1"/>
        <v>799.11829999999998</v>
      </c>
      <c r="J8" s="24">
        <f t="shared" si="7"/>
        <v>-0.199999999949796</v>
      </c>
      <c r="K8" s="25">
        <f t="shared" si="8"/>
        <v>-0.30000000003838101</v>
      </c>
      <c r="L8" s="26">
        <f t="shared" si="9"/>
        <v>-0.199999999949796</v>
      </c>
      <c r="M8" s="6">
        <v>6.4725999999999999</v>
      </c>
      <c r="N8" s="35">
        <f t="shared" si="2"/>
        <v>798.27890000000002</v>
      </c>
      <c r="O8" s="24">
        <f t="shared" si="10"/>
        <v>0.10000000008858501</v>
      </c>
      <c r="P8" s="25">
        <f t="shared" si="11"/>
        <v>-9.9999999974897905E-2</v>
      </c>
      <c r="Q8" s="26">
        <f t="shared" si="12"/>
        <v>0.10000000008858501</v>
      </c>
      <c r="R8" s="41"/>
      <c r="S8" s="21">
        <f t="shared" si="3"/>
        <v>44986</v>
      </c>
      <c r="T8" s="42">
        <v>8.8737999999999992</v>
      </c>
      <c r="U8" s="43">
        <f t="shared" si="13"/>
        <v>-0.20000000000130999</v>
      </c>
      <c r="V8" s="44">
        <f t="shared" si="14"/>
        <v>-0.40000000000084401</v>
      </c>
      <c r="W8" s="45">
        <f t="shared" si="15"/>
        <v>0.20000000000130999</v>
      </c>
      <c r="X8" s="6">
        <v>12.234500000000001</v>
      </c>
      <c r="Y8" s="43">
        <f t="shared" si="16"/>
        <v>0.30000000000107702</v>
      </c>
      <c r="Z8" s="44">
        <f t="shared" si="17"/>
        <v>-0.19999999999953399</v>
      </c>
      <c r="AA8" s="45">
        <f t="shared" si="18"/>
        <v>0.30000000000107702</v>
      </c>
      <c r="AB8" s="49">
        <v>8.8890999999999991</v>
      </c>
      <c r="AC8" s="43">
        <f t="shared" si="19"/>
        <v>9.99999999997669E-2</v>
      </c>
      <c r="AD8" s="44">
        <f t="shared" si="20"/>
        <v>-0.10000000000154299</v>
      </c>
      <c r="AE8" s="45">
        <f t="shared" si="21"/>
        <v>9.99999999997669E-2</v>
      </c>
      <c r="AF8" s="50">
        <v>80701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44987</v>
      </c>
      <c r="B9" s="22">
        <v>791.80629999999996</v>
      </c>
      <c r="C9" s="6">
        <v>6.5233999999999996</v>
      </c>
      <c r="D9" s="23">
        <f t="shared" si="0"/>
        <v>798.3297</v>
      </c>
      <c r="E9" s="24">
        <f t="shared" si="4"/>
        <v>-0.199999999949796</v>
      </c>
      <c r="F9" s="25">
        <f t="shared" si="5"/>
        <v>-0.29999999992469401</v>
      </c>
      <c r="G9" s="26">
        <f t="shared" si="6"/>
        <v>-0.199999999949796</v>
      </c>
      <c r="H9" s="6">
        <v>7.3117999999999999</v>
      </c>
      <c r="I9" s="35">
        <f t="shared" si="1"/>
        <v>799.11810000000003</v>
      </c>
      <c r="J9" s="24">
        <f t="shared" si="7"/>
        <v>-0.20000000006348301</v>
      </c>
      <c r="K9" s="25">
        <f t="shared" si="8"/>
        <v>-0.50000000010186296</v>
      </c>
      <c r="L9" s="26">
        <f t="shared" si="9"/>
        <v>-0.20000000006348301</v>
      </c>
      <c r="M9" s="6">
        <v>6.4721000000000002</v>
      </c>
      <c r="N9" s="35">
        <f t="shared" si="2"/>
        <v>798.27840000000003</v>
      </c>
      <c r="O9" s="24">
        <f t="shared" si="10"/>
        <v>-0.50000000010186296</v>
      </c>
      <c r="P9" s="25">
        <f t="shared" si="11"/>
        <v>-0.60000000007676102</v>
      </c>
      <c r="Q9" s="26">
        <f t="shared" si="12"/>
        <v>-0.50000000010186296</v>
      </c>
      <c r="R9" s="41"/>
      <c r="S9" s="21">
        <f t="shared" si="3"/>
        <v>44987</v>
      </c>
      <c r="T9" s="42">
        <v>8.8739000000000008</v>
      </c>
      <c r="U9" s="43">
        <f t="shared" si="13"/>
        <v>0.10000000000154299</v>
      </c>
      <c r="V9" s="44">
        <f t="shared" si="14"/>
        <v>-0.29999999999930099</v>
      </c>
      <c r="W9" s="45">
        <f t="shared" si="15"/>
        <v>-0.10000000000154299</v>
      </c>
      <c r="X9" s="6">
        <v>12.234299999999999</v>
      </c>
      <c r="Y9" s="43">
        <f t="shared" si="16"/>
        <v>-0.20000000000130999</v>
      </c>
      <c r="Z9" s="44">
        <f t="shared" si="17"/>
        <v>-0.40000000000084401</v>
      </c>
      <c r="AA9" s="45">
        <f t="shared" si="18"/>
        <v>-0.20000000000130999</v>
      </c>
      <c r="AB9" s="49">
        <v>8.8886000000000003</v>
      </c>
      <c r="AC9" s="43">
        <f t="shared" si="19"/>
        <v>-0.49999999999883499</v>
      </c>
      <c r="AD9" s="44">
        <f t="shared" si="20"/>
        <v>-0.60000000000037801</v>
      </c>
      <c r="AE9" s="45">
        <f t="shared" si="21"/>
        <v>-0.49999999999883499</v>
      </c>
      <c r="AF9" s="50">
        <v>80704</v>
      </c>
      <c r="AG9" s="58">
        <f t="shared" si="22"/>
        <v>14</v>
      </c>
      <c r="AH9" s="61"/>
      <c r="AI9" s="60"/>
      <c r="AJ9"/>
      <c r="AK9"/>
      <c r="AL9"/>
      <c r="AM9"/>
    </row>
    <row r="10" spans="1:48">
      <c r="A10" s="21">
        <v>44988</v>
      </c>
      <c r="B10" s="22">
        <v>791.80629999999996</v>
      </c>
      <c r="C10" s="6">
        <v>6.5232000000000001</v>
      </c>
      <c r="D10" s="23">
        <f t="shared" si="0"/>
        <v>798.32950000000005</v>
      </c>
      <c r="E10" s="24">
        <f t="shared" si="4"/>
        <v>-0.20000000006348301</v>
      </c>
      <c r="F10" s="25">
        <f t="shared" si="5"/>
        <v>-0.49999999998817701</v>
      </c>
      <c r="G10" s="26">
        <f t="shared" si="6"/>
        <v>-0.20000000006348301</v>
      </c>
      <c r="H10" s="6">
        <v>7.3114999999999997</v>
      </c>
      <c r="I10" s="35">
        <f t="shared" si="1"/>
        <v>799.11779999999999</v>
      </c>
      <c r="J10" s="24">
        <f t="shared" si="7"/>
        <v>-0.29999999992469401</v>
      </c>
      <c r="K10" s="25">
        <f t="shared" si="8"/>
        <v>-0.80000000002655702</v>
      </c>
      <c r="L10" s="26">
        <f t="shared" si="9"/>
        <v>-0.29999999992469401</v>
      </c>
      <c r="M10" s="6">
        <v>6.4718999999999998</v>
      </c>
      <c r="N10" s="35">
        <f t="shared" si="2"/>
        <v>798.27819999999997</v>
      </c>
      <c r="O10" s="24">
        <f t="shared" si="10"/>
        <v>-0.199999999949796</v>
      </c>
      <c r="P10" s="25">
        <f t="shared" si="11"/>
        <v>-0.80000000002655702</v>
      </c>
      <c r="Q10" s="26">
        <f t="shared" si="12"/>
        <v>-0.199999999949796</v>
      </c>
      <c r="R10" s="41"/>
      <c r="S10" s="21">
        <f t="shared" si="3"/>
        <v>44988</v>
      </c>
      <c r="T10" s="42">
        <v>8.8734000000000002</v>
      </c>
      <c r="U10" s="43">
        <f t="shared" si="13"/>
        <v>-0.50000000000061096</v>
      </c>
      <c r="V10" s="44">
        <f t="shared" si="14"/>
        <v>-0.799999999999912</v>
      </c>
      <c r="W10" s="45">
        <f t="shared" si="15"/>
        <v>0.50000000000061096</v>
      </c>
      <c r="X10" s="6">
        <v>12.2341</v>
      </c>
      <c r="Y10" s="43">
        <f t="shared" si="16"/>
        <v>-0.19999999999953399</v>
      </c>
      <c r="Z10" s="44">
        <f t="shared" si="17"/>
        <v>-0.60000000000037801</v>
      </c>
      <c r="AA10" s="45">
        <f t="shared" si="18"/>
        <v>-0.19999999999953399</v>
      </c>
      <c r="AB10" s="49">
        <v>8.8884000000000007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80707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44989</v>
      </c>
      <c r="B11" s="22">
        <v>791.80629999999996</v>
      </c>
      <c r="C11" s="6">
        <v>6.5232000000000001</v>
      </c>
      <c r="D11" s="23">
        <f t="shared" si="0"/>
        <v>798.32950000000005</v>
      </c>
      <c r="E11" s="24">
        <f t="shared" si="4"/>
        <v>0</v>
      </c>
      <c r="F11" s="25">
        <f t="shared" si="5"/>
        <v>-0.49999999998817701</v>
      </c>
      <c r="G11" s="26">
        <f t="shared" si="6"/>
        <v>0</v>
      </c>
      <c r="H11" s="6">
        <v>7.3113999999999999</v>
      </c>
      <c r="I11" s="35">
        <f t="shared" si="1"/>
        <v>799.11770000000001</v>
      </c>
      <c r="J11" s="24">
        <f t="shared" si="7"/>
        <v>-9.9999999974897905E-2</v>
      </c>
      <c r="K11" s="25">
        <f t="shared" si="8"/>
        <v>-0.90000000000145497</v>
      </c>
      <c r="L11" s="26">
        <f t="shared" si="9"/>
        <v>-9.9999999974897905E-2</v>
      </c>
      <c r="M11" s="6">
        <v>6.4717000000000002</v>
      </c>
      <c r="N11" s="35">
        <f t="shared" si="2"/>
        <v>798.27800000000002</v>
      </c>
      <c r="O11" s="24">
        <f t="shared" si="10"/>
        <v>-0.199999999949796</v>
      </c>
      <c r="P11" s="25">
        <f t="shared" si="11"/>
        <v>-0.99999999997635303</v>
      </c>
      <c r="Q11" s="26">
        <f t="shared" si="12"/>
        <v>-0.199999999949796</v>
      </c>
      <c r="R11" s="41"/>
      <c r="S11" s="21">
        <f t="shared" si="3"/>
        <v>44989</v>
      </c>
      <c r="T11" s="42">
        <v>8.8732000000000006</v>
      </c>
      <c r="U11" s="43">
        <f t="shared" si="13"/>
        <v>-0.19999999999953399</v>
      </c>
      <c r="V11" s="44">
        <f t="shared" si="14"/>
        <v>-0.999999999999446</v>
      </c>
      <c r="W11" s="45">
        <f t="shared" si="15"/>
        <v>0.19999999999953399</v>
      </c>
      <c r="X11" s="6">
        <v>12.2339</v>
      </c>
      <c r="Y11" s="43">
        <f t="shared" si="16"/>
        <v>-0.19999999999953399</v>
      </c>
      <c r="Z11" s="44">
        <f t="shared" si="17"/>
        <v>-0.799999999999912</v>
      </c>
      <c r="AA11" s="45">
        <f t="shared" si="18"/>
        <v>-0.19999999999953399</v>
      </c>
      <c r="AB11" s="49">
        <v>8.8881999999999906</v>
      </c>
      <c r="AC11" s="43">
        <f t="shared" si="19"/>
        <v>-0.200000000010192</v>
      </c>
      <c r="AD11" s="44">
        <f t="shared" si="20"/>
        <v>-1.0000000000100999</v>
      </c>
      <c r="AE11" s="45">
        <f t="shared" si="21"/>
        <v>-0.200000000010192</v>
      </c>
      <c r="AF11" s="50">
        <v>80710</v>
      </c>
      <c r="AG11" s="58">
        <f t="shared" si="22"/>
        <v>20</v>
      </c>
      <c r="AH11" s="61"/>
      <c r="AI11" s="60"/>
      <c r="AJ11"/>
      <c r="AK11"/>
      <c r="AL11"/>
      <c r="AM11"/>
    </row>
    <row r="12" spans="1:48">
      <c r="A12" s="21">
        <v>44990</v>
      </c>
      <c r="B12" s="22">
        <v>791.80629999999996</v>
      </c>
      <c r="C12" s="6">
        <v>6.5228000000000002</v>
      </c>
      <c r="D12" s="23">
        <f t="shared" si="0"/>
        <v>798.32910000000004</v>
      </c>
      <c r="E12" s="24">
        <f t="shared" si="4"/>
        <v>-0.40000000001327901</v>
      </c>
      <c r="F12" s="25">
        <f t="shared" si="5"/>
        <v>-0.90000000000145497</v>
      </c>
      <c r="G12" s="26">
        <f t="shared" si="6"/>
        <v>-0.40000000001327901</v>
      </c>
      <c r="H12" s="6">
        <v>7.3112000000000004</v>
      </c>
      <c r="I12" s="35">
        <f t="shared" si="1"/>
        <v>799.11749999999995</v>
      </c>
      <c r="J12" s="24">
        <f t="shared" si="7"/>
        <v>-0.20000000006348301</v>
      </c>
      <c r="K12" s="25">
        <f t="shared" si="8"/>
        <v>-1.1000000000649399</v>
      </c>
      <c r="L12" s="26">
        <f t="shared" si="9"/>
        <v>-0.20000000006348301</v>
      </c>
      <c r="M12" s="6">
        <v>6.4714</v>
      </c>
      <c r="N12" s="35">
        <f t="shared" si="2"/>
        <v>798.27769999999998</v>
      </c>
      <c r="O12" s="24">
        <f t="shared" si="10"/>
        <v>-0.30000000003838101</v>
      </c>
      <c r="P12" s="25">
        <f t="shared" si="11"/>
        <v>-1.30000000001473</v>
      </c>
      <c r="Q12" s="26">
        <f t="shared" si="12"/>
        <v>-0.30000000003838101</v>
      </c>
      <c r="R12" s="41"/>
      <c r="S12" s="21">
        <f t="shared" si="3"/>
        <v>44990</v>
      </c>
      <c r="T12" s="42">
        <v>8.8729999999999993</v>
      </c>
      <c r="U12" s="43">
        <f t="shared" si="13"/>
        <v>-0.20000000000130999</v>
      </c>
      <c r="V12" s="44">
        <f t="shared" si="14"/>
        <v>-1.20000000000076</v>
      </c>
      <c r="W12" s="45">
        <f t="shared" si="15"/>
        <v>0.20000000000130999</v>
      </c>
      <c r="X12" s="6">
        <v>12.233499999999999</v>
      </c>
      <c r="Y12" s="43">
        <f t="shared" si="16"/>
        <v>-0.40000000000084401</v>
      </c>
      <c r="Z12" s="44">
        <f t="shared" si="17"/>
        <v>-1.20000000000076</v>
      </c>
      <c r="AA12" s="45">
        <f t="shared" si="18"/>
        <v>-0.40000000000084401</v>
      </c>
      <c r="AB12" s="49">
        <v>8.8882999999999992</v>
      </c>
      <c r="AC12" s="43">
        <f t="shared" si="19"/>
        <v>0.100000000008649</v>
      </c>
      <c r="AD12" s="44">
        <f t="shared" si="20"/>
        <v>-0.90000000000145497</v>
      </c>
      <c r="AE12" s="45">
        <f t="shared" si="21"/>
        <v>0.100000000008649</v>
      </c>
      <c r="AF12" s="50">
        <v>80713</v>
      </c>
      <c r="AG12" s="58">
        <f t="shared" si="22"/>
        <v>23</v>
      </c>
      <c r="AH12" s="59"/>
      <c r="AI12" s="60"/>
      <c r="AJ12"/>
      <c r="AK12"/>
      <c r="AL12"/>
      <c r="AM12"/>
    </row>
    <row r="13" spans="1:48">
      <c r="A13" s="21">
        <v>44991</v>
      </c>
      <c r="B13" s="22">
        <v>791.80629999999996</v>
      </c>
      <c r="C13" s="6">
        <v>6.5225</v>
      </c>
      <c r="D13" s="23">
        <f t="shared" si="0"/>
        <v>798.3288</v>
      </c>
      <c r="E13" s="24">
        <f t="shared" si="4"/>
        <v>-0.29999999992469401</v>
      </c>
      <c r="F13" s="25">
        <f t="shared" si="5"/>
        <v>-1.1999999999261499</v>
      </c>
      <c r="G13" s="26">
        <f t="shared" si="6"/>
        <v>-0.29999999992469401</v>
      </c>
      <c r="H13" s="6">
        <v>7.3110999999999997</v>
      </c>
      <c r="I13" s="35">
        <f t="shared" si="1"/>
        <v>799.11739999999998</v>
      </c>
      <c r="J13" s="24">
        <f t="shared" si="7"/>
        <v>-9.9999999974897905E-2</v>
      </c>
      <c r="K13" s="25">
        <f t="shared" si="8"/>
        <v>-1.2000000000398401</v>
      </c>
      <c r="L13" s="26">
        <f t="shared" si="9"/>
        <v>-9.9999999974897905E-2</v>
      </c>
      <c r="M13" s="6">
        <v>6.4713000000000003</v>
      </c>
      <c r="N13" s="35">
        <f t="shared" si="2"/>
        <v>798.27760000000001</v>
      </c>
      <c r="O13" s="24">
        <f t="shared" si="10"/>
        <v>-9.9999999974897905E-2</v>
      </c>
      <c r="P13" s="25">
        <f t="shared" si="11"/>
        <v>-1.39999999998963</v>
      </c>
      <c r="Q13" s="26">
        <f t="shared" si="12"/>
        <v>-9.9999999974897905E-2</v>
      </c>
      <c r="R13" s="41"/>
      <c r="S13" s="21">
        <f t="shared" si="3"/>
        <v>44991</v>
      </c>
      <c r="T13" s="42">
        <v>8.8731000000000009</v>
      </c>
      <c r="U13" s="43">
        <f t="shared" si="13"/>
        <v>0.10000000000154299</v>
      </c>
      <c r="V13" s="44">
        <f t="shared" si="14"/>
        <v>-1.0999999999992101</v>
      </c>
      <c r="W13" s="45">
        <f t="shared" si="15"/>
        <v>-0.10000000000154299</v>
      </c>
      <c r="X13" s="6">
        <v>12.233499999999999</v>
      </c>
      <c r="Y13" s="43">
        <f t="shared" si="16"/>
        <v>0</v>
      </c>
      <c r="Z13" s="44">
        <f t="shared" si="17"/>
        <v>-1.20000000000076</v>
      </c>
      <c r="AA13" s="45">
        <f t="shared" si="18"/>
        <v>0</v>
      </c>
      <c r="AB13" s="49">
        <v>8.8877999999999897</v>
      </c>
      <c r="AC13" s="43">
        <f t="shared" si="19"/>
        <v>-0.50000000000949296</v>
      </c>
      <c r="AD13" s="44">
        <f t="shared" si="20"/>
        <v>-1.40000000001095</v>
      </c>
      <c r="AE13" s="45">
        <f t="shared" si="21"/>
        <v>-0.50000000000949296</v>
      </c>
      <c r="AF13" s="50">
        <v>80716</v>
      </c>
      <c r="AG13" s="58">
        <f t="shared" si="22"/>
        <v>26</v>
      </c>
      <c r="AH13" s="61"/>
      <c r="AI13" s="60"/>
      <c r="AJ13"/>
      <c r="AK13"/>
      <c r="AL13"/>
      <c r="AM13"/>
    </row>
    <row r="14" spans="1:48">
      <c r="A14" s="21">
        <v>44992</v>
      </c>
      <c r="B14" s="22">
        <v>791.80629999999996</v>
      </c>
      <c r="C14" s="6">
        <v>6.5224000000000002</v>
      </c>
      <c r="D14" s="23">
        <f t="shared" si="0"/>
        <v>798.32870000000003</v>
      </c>
      <c r="E14" s="24">
        <f t="shared" si="4"/>
        <v>-0.10000000008858501</v>
      </c>
      <c r="F14" s="25">
        <f t="shared" si="5"/>
        <v>-1.30000000001473</v>
      </c>
      <c r="G14" s="26">
        <f t="shared" si="6"/>
        <v>-0.10000000008858501</v>
      </c>
      <c r="H14" s="6">
        <v>7.3108000000000004</v>
      </c>
      <c r="I14" s="35">
        <f t="shared" si="1"/>
        <v>799.11710000000005</v>
      </c>
      <c r="J14" s="24">
        <f t="shared" si="7"/>
        <v>-0.30000000003838101</v>
      </c>
      <c r="K14" s="25">
        <f t="shared" si="8"/>
        <v>-1.5000000000782201</v>
      </c>
      <c r="L14" s="26">
        <f t="shared" si="9"/>
        <v>-0.30000000003838101</v>
      </c>
      <c r="M14" s="6">
        <v>6.4710999999999999</v>
      </c>
      <c r="N14" s="35">
        <f t="shared" si="2"/>
        <v>798.27739999999994</v>
      </c>
      <c r="O14" s="24">
        <f t="shared" si="10"/>
        <v>-0.20000000006348301</v>
      </c>
      <c r="P14" s="25">
        <f t="shared" si="11"/>
        <v>-1.60000000005311</v>
      </c>
      <c r="Q14" s="26">
        <f t="shared" si="12"/>
        <v>-0.20000000006348301</v>
      </c>
      <c r="R14" s="41"/>
      <c r="S14" s="21">
        <f t="shared" si="3"/>
        <v>44992</v>
      </c>
      <c r="T14" s="42">
        <v>8.8726000000000003</v>
      </c>
      <c r="U14" s="43">
        <f t="shared" si="13"/>
        <v>-0.50000000000061096</v>
      </c>
      <c r="V14" s="44">
        <f t="shared" si="14"/>
        <v>-1.59999999999982</v>
      </c>
      <c r="W14" s="45">
        <f t="shared" si="15"/>
        <v>0.50000000000061096</v>
      </c>
      <c r="X14" s="6">
        <v>12.2333</v>
      </c>
      <c r="Y14" s="43">
        <f t="shared" si="16"/>
        <v>-0.19999999999953399</v>
      </c>
      <c r="Z14" s="44">
        <f t="shared" si="17"/>
        <v>-1.4000000000002899</v>
      </c>
      <c r="AA14" s="45">
        <f t="shared" si="18"/>
        <v>-0.19999999999953399</v>
      </c>
      <c r="AB14" s="49">
        <v>8.8875999999999902</v>
      </c>
      <c r="AC14" s="43">
        <f t="shared" si="19"/>
        <v>-0.19999999999953399</v>
      </c>
      <c r="AD14" s="44">
        <f t="shared" si="20"/>
        <v>-1.6000000000104799</v>
      </c>
      <c r="AE14" s="45">
        <f t="shared" si="21"/>
        <v>-0.19999999999953399</v>
      </c>
      <c r="AF14" s="50">
        <v>80719</v>
      </c>
      <c r="AG14" s="58">
        <f t="shared" si="22"/>
        <v>29</v>
      </c>
      <c r="AH14" s="59"/>
      <c r="AI14" s="60"/>
      <c r="AJ14"/>
      <c r="AK14"/>
      <c r="AL14"/>
      <c r="AM14"/>
    </row>
    <row r="15" spans="1:48">
      <c r="A15" s="21">
        <v>44993</v>
      </c>
      <c r="B15" s="22">
        <v>791.80629999999996</v>
      </c>
      <c r="C15" s="6">
        <v>6.5221999999999998</v>
      </c>
      <c r="D15" s="23">
        <f t="shared" si="0"/>
        <v>798.32849999999996</v>
      </c>
      <c r="E15" s="24">
        <f t="shared" si="4"/>
        <v>-0.199999999949796</v>
      </c>
      <c r="F15" s="25">
        <f t="shared" si="5"/>
        <v>-1.4999999999645299</v>
      </c>
      <c r="G15" s="26">
        <f t="shared" si="6"/>
        <v>-0.199999999949796</v>
      </c>
      <c r="H15" s="6">
        <v>7.3106</v>
      </c>
      <c r="I15" s="35">
        <f t="shared" si="1"/>
        <v>799.11689999999999</v>
      </c>
      <c r="J15" s="24">
        <f t="shared" si="7"/>
        <v>-0.199999999949796</v>
      </c>
      <c r="K15" s="25">
        <f t="shared" si="8"/>
        <v>-1.70000000002801</v>
      </c>
      <c r="L15" s="26">
        <f t="shared" si="9"/>
        <v>-0.199999999949796</v>
      </c>
      <c r="M15" s="6">
        <v>6.4710000000000001</v>
      </c>
      <c r="N15" s="35">
        <f t="shared" si="2"/>
        <v>798.27729999999997</v>
      </c>
      <c r="O15" s="24">
        <f t="shared" si="10"/>
        <v>-9.9999999974897905E-2</v>
      </c>
      <c r="P15" s="25">
        <f t="shared" si="11"/>
        <v>-1.70000000002801</v>
      </c>
      <c r="Q15" s="26">
        <f t="shared" si="12"/>
        <v>-9.9999999974897905E-2</v>
      </c>
      <c r="R15" s="41"/>
      <c r="S15" s="21">
        <f t="shared" si="3"/>
        <v>44993</v>
      </c>
      <c r="T15" s="42">
        <v>8.8724000000000007</v>
      </c>
      <c r="U15" s="43">
        <f t="shared" si="13"/>
        <v>-0.19999999999953399</v>
      </c>
      <c r="V15" s="44">
        <f t="shared" si="14"/>
        <v>-1.7999999999993599</v>
      </c>
      <c r="W15" s="45">
        <f t="shared" si="15"/>
        <v>0.19999999999953399</v>
      </c>
      <c r="X15" s="6">
        <v>12.2331</v>
      </c>
      <c r="Y15" s="43">
        <f t="shared" si="16"/>
        <v>-0.19999999999953399</v>
      </c>
      <c r="Z15" s="44">
        <f t="shared" si="17"/>
        <v>-1.59999999999982</v>
      </c>
      <c r="AA15" s="45">
        <f t="shared" si="18"/>
        <v>-0.19999999999953399</v>
      </c>
      <c r="AB15" s="49">
        <v>8.8873999999999906</v>
      </c>
      <c r="AC15" s="43">
        <f t="shared" si="19"/>
        <v>-0.19999999999953399</v>
      </c>
      <c r="AD15" s="44">
        <f t="shared" si="20"/>
        <v>-1.80000000001002</v>
      </c>
      <c r="AE15" s="45">
        <f t="shared" si="21"/>
        <v>-0.19999999999953399</v>
      </c>
      <c r="AF15" s="50">
        <v>80722</v>
      </c>
      <c r="AG15" s="58">
        <f t="shared" si="22"/>
        <v>32</v>
      </c>
      <c r="AH15" s="61"/>
      <c r="AI15" s="60"/>
      <c r="AJ15"/>
      <c r="AK15"/>
      <c r="AL15"/>
      <c r="AM15"/>
    </row>
    <row r="16" spans="1:48">
      <c r="A16" s="21">
        <v>44994</v>
      </c>
      <c r="B16" s="22">
        <v>791.80629999999996</v>
      </c>
      <c r="C16" s="6">
        <v>6.5221</v>
      </c>
      <c r="D16" s="23">
        <f t="shared" si="0"/>
        <v>798.32839999999999</v>
      </c>
      <c r="E16" s="24">
        <f t="shared" si="4"/>
        <v>-9.9999999974897905E-2</v>
      </c>
      <c r="F16" s="25">
        <f t="shared" si="5"/>
        <v>-1.5999999999394301</v>
      </c>
      <c r="G16" s="26">
        <f t="shared" si="6"/>
        <v>-9.9999999974897905E-2</v>
      </c>
      <c r="H16" s="6">
        <v>7.3102999999999998</v>
      </c>
      <c r="I16" s="35">
        <f t="shared" si="1"/>
        <v>799.11659999999995</v>
      </c>
      <c r="J16" s="24">
        <f t="shared" si="7"/>
        <v>-0.30000000003838101</v>
      </c>
      <c r="K16" s="25">
        <f t="shared" si="8"/>
        <v>-2.00000000006639</v>
      </c>
      <c r="L16" s="26">
        <f t="shared" si="9"/>
        <v>-0.30000000003838101</v>
      </c>
      <c r="M16" s="6">
        <v>6.4706999999999999</v>
      </c>
      <c r="N16" s="35">
        <f t="shared" si="2"/>
        <v>798.27700000000004</v>
      </c>
      <c r="O16" s="24">
        <f t="shared" si="10"/>
        <v>-0.30000000003838101</v>
      </c>
      <c r="P16" s="25">
        <f t="shared" si="11"/>
        <v>-2.00000000006639</v>
      </c>
      <c r="Q16" s="26">
        <f t="shared" si="12"/>
        <v>-0.30000000003838101</v>
      </c>
      <c r="R16" s="41"/>
      <c r="S16" s="21">
        <f t="shared" si="3"/>
        <v>44994</v>
      </c>
      <c r="T16" s="42">
        <v>8.8725000000000005</v>
      </c>
      <c r="U16" s="43">
        <f t="shared" si="13"/>
        <v>9.99999999997669E-2</v>
      </c>
      <c r="V16" s="44">
        <f t="shared" si="14"/>
        <v>-1.6999999999995901</v>
      </c>
      <c r="W16" s="45">
        <f t="shared" si="15"/>
        <v>-9.99999999997669E-2</v>
      </c>
      <c r="X16" s="6">
        <v>12.232900000000001</v>
      </c>
      <c r="Y16" s="43">
        <f t="shared" si="16"/>
        <v>-0.19999999999953399</v>
      </c>
      <c r="Z16" s="44">
        <f t="shared" si="17"/>
        <v>-1.7999999999993599</v>
      </c>
      <c r="AA16" s="45">
        <f t="shared" si="18"/>
        <v>-0.19999999999953399</v>
      </c>
      <c r="AB16" s="49">
        <v>8.8874999999999993</v>
      </c>
      <c r="AC16" s="43">
        <f t="shared" si="19"/>
        <v>0.100000000008649</v>
      </c>
      <c r="AD16" s="44">
        <f t="shared" si="20"/>
        <v>-1.70000000000137</v>
      </c>
      <c r="AE16" s="45">
        <f t="shared" si="21"/>
        <v>0.100000000008649</v>
      </c>
      <c r="AF16" s="50">
        <v>80725</v>
      </c>
      <c r="AG16" s="58">
        <f t="shared" si="22"/>
        <v>35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44995</v>
      </c>
      <c r="B17" s="22">
        <v>791.80629999999996</v>
      </c>
      <c r="C17" s="6">
        <v>6.5217999999999998</v>
      </c>
      <c r="D17" s="23">
        <f t="shared" si="0"/>
        <v>798.32809999999995</v>
      </c>
      <c r="E17" s="24">
        <f t="shared" si="4"/>
        <v>-0.30000000003838101</v>
      </c>
      <c r="F17" s="25">
        <f t="shared" si="5"/>
        <v>-1.8999999999778101</v>
      </c>
      <c r="G17" s="26">
        <f t="shared" si="6"/>
        <v>-0.30000000003838101</v>
      </c>
      <c r="H17" s="6">
        <v>7.3102</v>
      </c>
      <c r="I17" s="35">
        <f t="shared" si="1"/>
        <v>799.11649999999997</v>
      </c>
      <c r="J17" s="24">
        <f t="shared" si="7"/>
        <v>-9.9999999974897905E-2</v>
      </c>
      <c r="K17" s="25">
        <f t="shared" si="8"/>
        <v>-2.1000000000412902</v>
      </c>
      <c r="L17" s="26">
        <f t="shared" si="9"/>
        <v>-9.9999999974897905E-2</v>
      </c>
      <c r="M17" s="6">
        <v>6.4705000000000004</v>
      </c>
      <c r="N17" s="35">
        <f t="shared" si="2"/>
        <v>798.27679999999998</v>
      </c>
      <c r="O17" s="24">
        <f t="shared" si="10"/>
        <v>-0.199999999949796</v>
      </c>
      <c r="P17" s="25">
        <f t="shared" si="11"/>
        <v>-2.2000000000161899</v>
      </c>
      <c r="Q17" s="26">
        <f t="shared" si="12"/>
        <v>-0.199999999949796</v>
      </c>
      <c r="R17" s="41"/>
      <c r="S17" s="21">
        <f t="shared" si="3"/>
        <v>44995</v>
      </c>
      <c r="T17" s="42">
        <v>8.8720000000000105</v>
      </c>
      <c r="U17" s="43">
        <f t="shared" si="13"/>
        <v>-0.49999999998995298</v>
      </c>
      <c r="V17" s="44">
        <f t="shared" si="14"/>
        <v>-2.1999999999895401</v>
      </c>
      <c r="W17" s="45">
        <f t="shared" si="15"/>
        <v>0.49999999998995298</v>
      </c>
      <c r="X17" s="6">
        <v>12.232699999999999</v>
      </c>
      <c r="Y17" s="43">
        <f t="shared" si="16"/>
        <v>-0.20000000000130999</v>
      </c>
      <c r="Z17" s="44">
        <f t="shared" si="17"/>
        <v>-2.0000000000006701</v>
      </c>
      <c r="AA17" s="45">
        <f t="shared" si="18"/>
        <v>-0.20000000000130999</v>
      </c>
      <c r="AB17" s="49">
        <v>8.8869999999999898</v>
      </c>
      <c r="AC17" s="43">
        <f t="shared" si="19"/>
        <v>-0.50000000000949296</v>
      </c>
      <c r="AD17" s="44">
        <f t="shared" si="20"/>
        <v>-2.2000000000108599</v>
      </c>
      <c r="AE17" s="45">
        <f t="shared" si="21"/>
        <v>-0.50000000000949296</v>
      </c>
      <c r="AF17" s="50">
        <v>80728</v>
      </c>
      <c r="AG17" s="58">
        <f t="shared" si="22"/>
        <v>38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44996</v>
      </c>
      <c r="B18" s="22">
        <v>791.80629999999996</v>
      </c>
      <c r="C18" s="6">
        <v>6.5216000000000003</v>
      </c>
      <c r="D18" s="23">
        <f t="shared" si="0"/>
        <v>798.3279</v>
      </c>
      <c r="E18" s="24">
        <f t="shared" si="4"/>
        <v>-0.199999999949796</v>
      </c>
      <c r="F18" s="25">
        <f t="shared" si="5"/>
        <v>-2.0999999999275998</v>
      </c>
      <c r="G18" s="26">
        <f t="shared" si="6"/>
        <v>-0.199999999949796</v>
      </c>
      <c r="H18" s="6">
        <v>7.31</v>
      </c>
      <c r="I18" s="35">
        <f t="shared" si="1"/>
        <v>799.11630000000002</v>
      </c>
      <c r="J18" s="24">
        <f t="shared" si="7"/>
        <v>-0.20000000006348301</v>
      </c>
      <c r="K18" s="25">
        <f t="shared" si="8"/>
        <v>-2.3000000001047698</v>
      </c>
      <c r="L18" s="26">
        <f t="shared" si="9"/>
        <v>-0.20000000006348301</v>
      </c>
      <c r="M18" s="6">
        <v>6.4703000000000097</v>
      </c>
      <c r="N18" s="35">
        <f t="shared" si="2"/>
        <v>798.27660000000003</v>
      </c>
      <c r="O18" s="24">
        <f t="shared" si="10"/>
        <v>-0.199999999949796</v>
      </c>
      <c r="P18" s="25">
        <f t="shared" si="11"/>
        <v>-2.39999999996598</v>
      </c>
      <c r="Q18" s="26">
        <f t="shared" si="12"/>
        <v>-0.199999999949796</v>
      </c>
      <c r="R18" s="41"/>
      <c r="S18" s="21">
        <f t="shared" si="3"/>
        <v>44996</v>
      </c>
      <c r="T18" s="42">
        <v>8.8718000000000092</v>
      </c>
      <c r="U18" s="43">
        <f t="shared" si="13"/>
        <v>-0.20000000000130999</v>
      </c>
      <c r="V18" s="44">
        <f t="shared" si="14"/>
        <v>-2.3999999999908499</v>
      </c>
      <c r="W18" s="45">
        <f t="shared" si="15"/>
        <v>0.20000000000130999</v>
      </c>
      <c r="X18" s="6">
        <v>12.2326</v>
      </c>
      <c r="Y18" s="43">
        <f t="shared" si="16"/>
        <v>-9.99999999997669E-2</v>
      </c>
      <c r="Z18" s="44">
        <f t="shared" si="17"/>
        <v>-2.10000000000043</v>
      </c>
      <c r="AA18" s="45">
        <f t="shared" si="18"/>
        <v>-9.99999999997669E-2</v>
      </c>
      <c r="AB18" s="49">
        <v>8.8867999999999796</v>
      </c>
      <c r="AC18" s="43">
        <f t="shared" si="19"/>
        <v>-0.200000000010192</v>
      </c>
      <c r="AD18" s="44">
        <f t="shared" si="20"/>
        <v>-2.4000000000210502</v>
      </c>
      <c r="AE18" s="45">
        <f t="shared" si="21"/>
        <v>-0.200000000010192</v>
      </c>
      <c r="AF18" s="50">
        <v>80731</v>
      </c>
      <c r="AG18" s="58">
        <f t="shared" si="22"/>
        <v>41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44997</v>
      </c>
      <c r="B19" s="22">
        <v>791.80629999999996</v>
      </c>
      <c r="C19" s="6">
        <v>6.5214999999999996</v>
      </c>
      <c r="D19" s="23">
        <f t="shared" si="0"/>
        <v>798.32780000000002</v>
      </c>
      <c r="E19" s="24">
        <f t="shared" si="4"/>
        <v>-0.10000000008858501</v>
      </c>
      <c r="F19" s="25">
        <f t="shared" si="5"/>
        <v>-2.2000000000161899</v>
      </c>
      <c r="G19" s="26">
        <f t="shared" si="6"/>
        <v>-0.10000000008858501</v>
      </c>
      <c r="H19" s="6">
        <v>7.3098000000000098</v>
      </c>
      <c r="I19" s="35">
        <f t="shared" si="1"/>
        <v>799.11609999999996</v>
      </c>
      <c r="J19" s="24">
        <f t="shared" si="7"/>
        <v>-0.199999999949796</v>
      </c>
      <c r="K19" s="25">
        <f t="shared" si="8"/>
        <v>-2.5000000000545701</v>
      </c>
      <c r="L19" s="26">
        <f t="shared" si="9"/>
        <v>-0.199999999949796</v>
      </c>
      <c r="M19" s="6">
        <v>6.4705000000000004</v>
      </c>
      <c r="N19" s="35">
        <f t="shared" si="2"/>
        <v>798.27679999999998</v>
      </c>
      <c r="O19" s="24">
        <f t="shared" si="10"/>
        <v>0.199999999949796</v>
      </c>
      <c r="P19" s="25">
        <f t="shared" si="11"/>
        <v>-2.2000000000161899</v>
      </c>
      <c r="Q19" s="26">
        <f t="shared" si="12"/>
        <v>0.199999999949796</v>
      </c>
      <c r="R19" s="41"/>
      <c r="S19" s="21">
        <f t="shared" si="3"/>
        <v>44997</v>
      </c>
      <c r="T19" s="42">
        <v>8.8713999999999995</v>
      </c>
      <c r="U19" s="43">
        <f t="shared" si="13"/>
        <v>-0.40000000000972602</v>
      </c>
      <c r="V19" s="44">
        <f t="shared" si="14"/>
        <v>-2.8000000000005798</v>
      </c>
      <c r="W19" s="45">
        <f t="shared" si="15"/>
        <v>0.40000000000972602</v>
      </c>
      <c r="X19" s="6">
        <v>12.2323</v>
      </c>
      <c r="Y19" s="43">
        <f t="shared" si="16"/>
        <v>-0.29999999999930099</v>
      </c>
      <c r="Z19" s="44">
        <f t="shared" si="17"/>
        <v>-2.3999999999997401</v>
      </c>
      <c r="AA19" s="45">
        <f t="shared" si="18"/>
        <v>-0.29999999999930099</v>
      </c>
      <c r="AB19" s="49">
        <v>8.8865999999999801</v>
      </c>
      <c r="AC19" s="43">
        <f t="shared" si="19"/>
        <v>-0.19999999999953399</v>
      </c>
      <c r="AD19" s="44">
        <f t="shared" si="20"/>
        <v>-2.6000000000205898</v>
      </c>
      <c r="AE19" s="45">
        <f t="shared" si="21"/>
        <v>-0.19999999999953399</v>
      </c>
      <c r="AF19" s="50">
        <v>80734</v>
      </c>
      <c r="AG19" s="58">
        <f t="shared" si="22"/>
        <v>44</v>
      </c>
      <c r="AH19" s="61"/>
      <c r="AI19" s="60"/>
      <c r="AJ19"/>
      <c r="AK19"/>
      <c r="AL19"/>
      <c r="AM19"/>
    </row>
    <row r="20" spans="1:48">
      <c r="A20" s="21">
        <v>44998</v>
      </c>
      <c r="B20" s="22">
        <v>791.80629999999996</v>
      </c>
      <c r="C20" s="6">
        <v>6.5211999999999897</v>
      </c>
      <c r="D20" s="23">
        <f t="shared" si="0"/>
        <v>798.32749999999999</v>
      </c>
      <c r="E20" s="24">
        <f t="shared" si="4"/>
        <v>-0.29999999992469401</v>
      </c>
      <c r="F20" s="25">
        <f t="shared" si="5"/>
        <v>-2.4999999999408802</v>
      </c>
      <c r="G20" s="26">
        <f t="shared" si="6"/>
        <v>-0.29999999992469401</v>
      </c>
      <c r="H20" s="6">
        <v>7.31</v>
      </c>
      <c r="I20" s="35">
        <f t="shared" si="1"/>
        <v>799.11630000000002</v>
      </c>
      <c r="J20" s="24">
        <f t="shared" si="7"/>
        <v>0.199999999949796</v>
      </c>
      <c r="K20" s="25">
        <f t="shared" si="8"/>
        <v>-2.3000000001047698</v>
      </c>
      <c r="L20" s="26">
        <f t="shared" si="9"/>
        <v>0.199999999949796</v>
      </c>
      <c r="M20" s="6">
        <v>6.4699000000000098</v>
      </c>
      <c r="N20" s="35">
        <f t="shared" si="2"/>
        <v>798.27620000000002</v>
      </c>
      <c r="O20" s="24">
        <f t="shared" si="10"/>
        <v>-0.59999999996307496</v>
      </c>
      <c r="P20" s="25">
        <f t="shared" si="11"/>
        <v>-2.79999999997926</v>
      </c>
      <c r="Q20" s="26">
        <f t="shared" si="12"/>
        <v>-0.59999999996307496</v>
      </c>
      <c r="R20" s="41"/>
      <c r="S20" s="21">
        <f t="shared" si="3"/>
        <v>44998</v>
      </c>
      <c r="T20" s="42">
        <v>8.8714000000000102</v>
      </c>
      <c r="U20" s="43">
        <f t="shared" si="13"/>
        <v>1.06581410364015E-11</v>
      </c>
      <c r="V20" s="44">
        <f t="shared" si="14"/>
        <v>-2.7999999999899199</v>
      </c>
      <c r="W20" s="45">
        <f t="shared" si="15"/>
        <v>-1.06581410364015E-11</v>
      </c>
      <c r="X20" s="6">
        <v>12.232100000000001</v>
      </c>
      <c r="Y20" s="43">
        <f t="shared" si="16"/>
        <v>-0.19999999999953399</v>
      </c>
      <c r="Z20" s="44">
        <f t="shared" si="17"/>
        <v>-2.59999999999927</v>
      </c>
      <c r="AA20" s="45">
        <f t="shared" si="18"/>
        <v>-0.19999999999953399</v>
      </c>
      <c r="AB20" s="49">
        <v>8.8864999999999998</v>
      </c>
      <c r="AC20" s="43">
        <f t="shared" si="19"/>
        <v>-9.9999999980227003E-2</v>
      </c>
      <c r="AD20" s="44">
        <f t="shared" si="20"/>
        <v>-2.7000000000008102</v>
      </c>
      <c r="AE20" s="45">
        <f t="shared" si="21"/>
        <v>-9.9999999980227003E-2</v>
      </c>
      <c r="AF20" s="50">
        <v>80737</v>
      </c>
      <c r="AG20" s="58">
        <f t="shared" si="22"/>
        <v>47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45000</v>
      </c>
      <c r="B21" s="22">
        <v>791.80629999999996</v>
      </c>
      <c r="C21" s="6">
        <v>6.5209999999999901</v>
      </c>
      <c r="D21" s="23">
        <f t="shared" si="0"/>
        <v>798.32730000000004</v>
      </c>
      <c r="E21" s="24">
        <f t="shared" si="4"/>
        <v>-0.20000000006348301</v>
      </c>
      <c r="F21" s="25">
        <f t="shared" si="5"/>
        <v>-2.70000000000437</v>
      </c>
      <c r="G21" s="26">
        <f t="shared" si="6"/>
        <v>-0.100000000031741</v>
      </c>
      <c r="H21" s="6">
        <v>7.3094000000000099</v>
      </c>
      <c r="I21" s="35">
        <f t="shared" si="1"/>
        <v>799.11569999999995</v>
      </c>
      <c r="J21" s="24">
        <f t="shared" si="7"/>
        <v>-0.59999999996307496</v>
      </c>
      <c r="K21" s="25">
        <f t="shared" si="8"/>
        <v>-2.9000000000678501</v>
      </c>
      <c r="L21" s="26">
        <f t="shared" si="9"/>
        <v>-0.29999999998153698</v>
      </c>
      <c r="M21" s="6">
        <v>6.4697000000000102</v>
      </c>
      <c r="N21" s="35">
        <f t="shared" si="2"/>
        <v>798.27599999999995</v>
      </c>
      <c r="O21" s="24">
        <f t="shared" si="10"/>
        <v>-0.20000000006348301</v>
      </c>
      <c r="P21" s="25">
        <f t="shared" si="11"/>
        <v>-3.0000000000427498</v>
      </c>
      <c r="Q21" s="26">
        <f t="shared" si="12"/>
        <v>-0.100000000031741</v>
      </c>
      <c r="R21" s="41"/>
      <c r="S21" s="21">
        <f t="shared" si="3"/>
        <v>45000</v>
      </c>
      <c r="T21" s="42">
        <v>8.8712000000000106</v>
      </c>
      <c r="U21" s="43">
        <f t="shared" si="13"/>
        <v>-0.19999999999953399</v>
      </c>
      <c r="V21" s="44">
        <f t="shared" si="14"/>
        <v>-2.99999999998946</v>
      </c>
      <c r="W21" s="45">
        <f t="shared" si="15"/>
        <v>9.99999999997669E-2</v>
      </c>
      <c r="X21" s="6">
        <v>12.232200000000001</v>
      </c>
      <c r="Y21" s="43">
        <f t="shared" si="16"/>
        <v>9.99999999997669E-2</v>
      </c>
      <c r="Z21" s="44">
        <f t="shared" si="17"/>
        <v>-2.4999999999995</v>
      </c>
      <c r="AA21" s="45">
        <f t="shared" si="18"/>
        <v>4.9999999999883499E-2</v>
      </c>
      <c r="AB21" s="49">
        <v>8.8861999999999792</v>
      </c>
      <c r="AC21" s="43">
        <f t="shared" si="19"/>
        <v>-0.300000000020617</v>
      </c>
      <c r="AD21" s="44">
        <f t="shared" si="20"/>
        <v>-3.00000000002143</v>
      </c>
      <c r="AE21" s="45">
        <f t="shared" si="21"/>
        <v>-0.150000000010309</v>
      </c>
      <c r="AF21" s="50">
        <v>80740</v>
      </c>
      <c r="AG21" s="58">
        <f t="shared" si="22"/>
        <v>50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45002</v>
      </c>
      <c r="B22" s="22">
        <v>791.80629999999996</v>
      </c>
      <c r="C22" s="6">
        <v>6.5210999999999997</v>
      </c>
      <c r="D22" s="23">
        <f t="shared" si="0"/>
        <v>798.32740000000001</v>
      </c>
      <c r="E22" s="24">
        <f t="shared" si="4"/>
        <v>0.10000000008858501</v>
      </c>
      <c r="F22" s="25">
        <f t="shared" si="5"/>
        <v>-2.5999999999157799</v>
      </c>
      <c r="G22" s="26">
        <f t="shared" si="6"/>
        <v>5.0000000044292399E-2</v>
      </c>
      <c r="H22" s="6">
        <v>7.3092000000000104</v>
      </c>
      <c r="I22" s="35">
        <f t="shared" si="1"/>
        <v>799.1155</v>
      </c>
      <c r="J22" s="24">
        <f t="shared" si="7"/>
        <v>-0.199999999949796</v>
      </c>
      <c r="K22" s="25">
        <f t="shared" si="8"/>
        <v>-3.1000000000176402</v>
      </c>
      <c r="L22" s="26">
        <f t="shared" si="9"/>
        <v>-9.9999999974897905E-2</v>
      </c>
      <c r="M22" s="6">
        <v>6.4695999999999998</v>
      </c>
      <c r="N22" s="35">
        <f t="shared" si="2"/>
        <v>798.27589999999998</v>
      </c>
      <c r="O22" s="24">
        <f t="shared" si="10"/>
        <v>-9.9999999974897905E-2</v>
      </c>
      <c r="P22" s="25">
        <f t="shared" si="11"/>
        <v>-3.1000000000176402</v>
      </c>
      <c r="Q22" s="26">
        <f t="shared" si="12"/>
        <v>-4.9999999987449001E-2</v>
      </c>
      <c r="R22" s="41"/>
      <c r="S22" s="21">
        <f t="shared" si="3"/>
        <v>45002</v>
      </c>
      <c r="T22" s="42">
        <v>8.8712999999999997</v>
      </c>
      <c r="U22" s="43">
        <f t="shared" si="13"/>
        <v>9.9999999989108801E-2</v>
      </c>
      <c r="V22" s="44">
        <f t="shared" si="14"/>
        <v>-2.9000000000003499</v>
      </c>
      <c r="W22" s="45">
        <f t="shared" si="15"/>
        <v>-4.99999999945544E-2</v>
      </c>
      <c r="X22" s="6">
        <v>12.2317</v>
      </c>
      <c r="Y22" s="43">
        <f t="shared" si="16"/>
        <v>-0.50000000000061096</v>
      </c>
      <c r="Z22" s="44">
        <f t="shared" si="17"/>
        <v>-3.0000000000001101</v>
      </c>
      <c r="AA22" s="45">
        <f t="shared" si="18"/>
        <v>-0.25000000000030598</v>
      </c>
      <c r="AB22" s="49">
        <v>8.8859999999999797</v>
      </c>
      <c r="AC22" s="43">
        <f t="shared" si="19"/>
        <v>-0.19999999999953399</v>
      </c>
      <c r="AD22" s="44">
        <f t="shared" si="20"/>
        <v>-3.2000000000209599</v>
      </c>
      <c r="AE22" s="45">
        <f t="shared" si="21"/>
        <v>-9.99999999997669E-2</v>
      </c>
      <c r="AF22" s="50">
        <v>80743</v>
      </c>
      <c r="AG22" s="58">
        <f t="shared" si="22"/>
        <v>53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45004</v>
      </c>
      <c r="B23" s="22">
        <v>791.80629999999996</v>
      </c>
      <c r="C23" s="6">
        <v>6.5209999999999999</v>
      </c>
      <c r="D23" s="23">
        <f t="shared" si="0"/>
        <v>798.32730000000004</v>
      </c>
      <c r="E23" s="24">
        <f t="shared" si="4"/>
        <v>-0.10000000008858501</v>
      </c>
      <c r="F23" s="25">
        <f t="shared" si="5"/>
        <v>-2.70000000000437</v>
      </c>
      <c r="G23" s="26">
        <f t="shared" si="6"/>
        <v>-5.0000000044292399E-2</v>
      </c>
      <c r="H23" s="6">
        <v>7.3090999999999999</v>
      </c>
      <c r="I23" s="35">
        <f t="shared" si="1"/>
        <v>799.11540000000002</v>
      </c>
      <c r="J23" s="24">
        <f t="shared" si="7"/>
        <v>-0.10000000008858501</v>
      </c>
      <c r="K23" s="25">
        <f t="shared" si="8"/>
        <v>-3.2000000001062299</v>
      </c>
      <c r="L23" s="26">
        <f t="shared" si="9"/>
        <v>-5.0000000044292399E-2</v>
      </c>
      <c r="M23" s="6">
        <v>6.4698000000000002</v>
      </c>
      <c r="N23" s="35">
        <f t="shared" si="2"/>
        <v>798.27610000000004</v>
      </c>
      <c r="O23" s="24">
        <f t="shared" si="10"/>
        <v>0.199999999949796</v>
      </c>
      <c r="P23" s="25">
        <f t="shared" si="11"/>
        <v>-2.9000000000678501</v>
      </c>
      <c r="Q23" s="26">
        <f t="shared" si="12"/>
        <v>9.9999999974897905E-2</v>
      </c>
      <c r="R23" s="41"/>
      <c r="S23" s="21">
        <f t="shared" si="3"/>
        <v>45004</v>
      </c>
      <c r="T23" s="42">
        <v>8.8712</v>
      </c>
      <c r="U23" s="43">
        <f t="shared" si="13"/>
        <v>-9.99999999997669E-2</v>
      </c>
      <c r="V23" s="44">
        <f t="shared" si="14"/>
        <v>-3.0000000000001101</v>
      </c>
      <c r="W23" s="45">
        <f t="shared" si="15"/>
        <v>4.9999999999883499E-2</v>
      </c>
      <c r="X23" s="6">
        <v>12.2315</v>
      </c>
      <c r="Y23" s="43">
        <f t="shared" si="16"/>
        <v>-0.19999999999953399</v>
      </c>
      <c r="Z23" s="44">
        <f t="shared" si="17"/>
        <v>-3.1999999999996498</v>
      </c>
      <c r="AA23" s="45">
        <f t="shared" si="18"/>
        <v>-9.99999999997669E-2</v>
      </c>
      <c r="AB23" s="49">
        <v>8.8861000000000008</v>
      </c>
      <c r="AC23" s="43">
        <f t="shared" si="19"/>
        <v>0.100000000021083</v>
      </c>
      <c r="AD23" s="44">
        <f t="shared" si="20"/>
        <v>-3.0999999999998802</v>
      </c>
      <c r="AE23" s="45">
        <f t="shared" si="21"/>
        <v>5.0000000010541598E-2</v>
      </c>
      <c r="AF23" s="50">
        <v>80746</v>
      </c>
      <c r="AG23" s="58">
        <f t="shared" si="22"/>
        <v>56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45006</v>
      </c>
      <c r="B24" s="22">
        <v>791.80629999999996</v>
      </c>
      <c r="C24" s="6">
        <v>6.5209000000000001</v>
      </c>
      <c r="D24" s="23">
        <f t="shared" ref="D24:D30" si="23">C24+B24</f>
        <v>798.32719999999995</v>
      </c>
      <c r="E24" s="24">
        <f t="shared" si="4"/>
        <v>-9.9999999974897905E-2</v>
      </c>
      <c r="F24" s="25">
        <f t="shared" si="5"/>
        <v>-2.79999999997926</v>
      </c>
      <c r="G24" s="26">
        <f t="shared" si="6"/>
        <v>-4.9999999987449001E-2</v>
      </c>
      <c r="H24" s="6">
        <v>7.3089999999999904</v>
      </c>
      <c r="I24" s="35">
        <f t="shared" ref="I24:I30" si="24">H24+B24</f>
        <v>799.11530000000005</v>
      </c>
      <c r="J24" s="24">
        <f t="shared" si="7"/>
        <v>-9.9999999974897905E-2</v>
      </c>
      <c r="K24" s="25">
        <f t="shared" si="8"/>
        <v>-3.30000000008113</v>
      </c>
      <c r="L24" s="26">
        <f t="shared" si="9"/>
        <v>-4.9999999987449001E-2</v>
      </c>
      <c r="M24" s="6">
        <v>6.47</v>
      </c>
      <c r="N24" s="35">
        <f t="shared" ref="N24:N30" si="25">M24+B24</f>
        <v>798.27629999999999</v>
      </c>
      <c r="O24" s="24">
        <f t="shared" si="10"/>
        <v>0.20000000006348301</v>
      </c>
      <c r="P24" s="25">
        <f t="shared" si="11"/>
        <v>-2.70000000000437</v>
      </c>
      <c r="Q24" s="26">
        <f t="shared" si="12"/>
        <v>0.100000000031741</v>
      </c>
      <c r="R24" s="41"/>
      <c r="S24" s="21">
        <f t="shared" ref="S24:S30" si="26">A24</f>
        <v>45006</v>
      </c>
      <c r="T24" s="42">
        <v>8.8711000000000002</v>
      </c>
      <c r="U24" s="43">
        <f t="shared" si="13"/>
        <v>-9.99999999997669E-2</v>
      </c>
      <c r="V24" s="44">
        <f t="shared" si="14"/>
        <v>-3.0999999999998802</v>
      </c>
      <c r="W24" s="45">
        <f t="shared" si="15"/>
        <v>4.9999999999883499E-2</v>
      </c>
      <c r="X24" s="6">
        <v>12.231299999999999</v>
      </c>
      <c r="Y24" s="43">
        <f t="shared" si="16"/>
        <v>-0.20000000000130999</v>
      </c>
      <c r="Z24" s="44">
        <f t="shared" si="17"/>
        <v>-3.40000000000096</v>
      </c>
      <c r="AA24" s="45">
        <f t="shared" si="18"/>
        <v>-0.100000000000655</v>
      </c>
      <c r="AB24" s="49">
        <v>8.8862000000000201</v>
      </c>
      <c r="AC24" s="43">
        <f t="shared" si="19"/>
        <v>0.10000000001930701</v>
      </c>
      <c r="AD24" s="44">
        <f t="shared" si="20"/>
        <v>-2.9999999999805702</v>
      </c>
      <c r="AE24" s="45">
        <f t="shared" si="21"/>
        <v>5.0000000009653399E-2</v>
      </c>
      <c r="AF24" s="50">
        <v>80749</v>
      </c>
      <c r="AG24" s="58">
        <f t="shared" si="22"/>
        <v>59</v>
      </c>
      <c r="AH24" s="61"/>
      <c r="AI24" s="60"/>
      <c r="AJ24"/>
      <c r="AK24"/>
      <c r="AL24"/>
      <c r="AM24"/>
    </row>
    <row r="25" spans="1:48">
      <c r="A25" s="21">
        <v>45008</v>
      </c>
      <c r="B25" s="22">
        <v>791.80629999999996</v>
      </c>
      <c r="C25" s="6">
        <v>6.5208000000000004</v>
      </c>
      <c r="D25" s="23">
        <f t="shared" si="23"/>
        <v>798.32709999999997</v>
      </c>
      <c r="E25" s="24">
        <f t="shared" si="4"/>
        <v>-9.9999999974897905E-2</v>
      </c>
      <c r="F25" s="25">
        <f t="shared" si="5"/>
        <v>-2.8999999999541601</v>
      </c>
      <c r="G25" s="26">
        <f t="shared" si="6"/>
        <v>-4.9999999987449001E-2</v>
      </c>
      <c r="H25" s="6">
        <v>7.30889999999998</v>
      </c>
      <c r="I25" s="35">
        <f t="shared" si="24"/>
        <v>799.11519999999996</v>
      </c>
      <c r="J25" s="24">
        <f t="shared" si="7"/>
        <v>-9.9999999974897905E-2</v>
      </c>
      <c r="K25" s="25">
        <f t="shared" si="8"/>
        <v>-3.40000000005602</v>
      </c>
      <c r="L25" s="26">
        <f t="shared" si="9"/>
        <v>-4.9999999987449001E-2</v>
      </c>
      <c r="M25" s="6">
        <v>6.4701000000000004</v>
      </c>
      <c r="N25" s="35">
        <f t="shared" si="25"/>
        <v>798.27639999999997</v>
      </c>
      <c r="O25" s="24">
        <f t="shared" si="10"/>
        <v>9.9999999974897905E-2</v>
      </c>
      <c r="P25" s="25">
        <f t="shared" si="11"/>
        <v>-2.6000000000294698</v>
      </c>
      <c r="Q25" s="26">
        <f t="shared" si="12"/>
        <v>4.9999999987449001E-2</v>
      </c>
      <c r="R25" s="41"/>
      <c r="S25" s="21">
        <f t="shared" si="26"/>
        <v>45008</v>
      </c>
      <c r="T25" s="42">
        <v>8.8711000000000002</v>
      </c>
      <c r="U25" s="43">
        <f t="shared" si="13"/>
        <v>0</v>
      </c>
      <c r="V25" s="44">
        <f t="shared" si="14"/>
        <v>-3.0999999999998802</v>
      </c>
      <c r="W25" s="45">
        <f t="shared" si="15"/>
        <v>0</v>
      </c>
      <c r="X25" s="6">
        <v>12.2311</v>
      </c>
      <c r="Y25" s="43">
        <f t="shared" si="16"/>
        <v>-0.19999999999953399</v>
      </c>
      <c r="Z25" s="44">
        <f t="shared" si="17"/>
        <v>-3.6000000000004899</v>
      </c>
      <c r="AA25" s="45">
        <f t="shared" si="18"/>
        <v>-9.99999999997669E-2</v>
      </c>
      <c r="AB25" s="49">
        <v>8.8863000000000394</v>
      </c>
      <c r="AC25" s="43">
        <f t="shared" si="19"/>
        <v>0.10000000001930701</v>
      </c>
      <c r="AD25" s="44">
        <f t="shared" si="20"/>
        <v>-2.89999999996127</v>
      </c>
      <c r="AE25" s="45">
        <f t="shared" si="21"/>
        <v>5.0000000009653399E-2</v>
      </c>
      <c r="AF25" s="50">
        <v>80754</v>
      </c>
      <c r="AG25" s="58">
        <f t="shared" si="22"/>
        <v>64</v>
      </c>
      <c r="AH25" s="61"/>
      <c r="AI25" s="60"/>
      <c r="AJ25" s="52"/>
      <c r="AK25" s="52"/>
      <c r="AL25" s="52"/>
      <c r="AM25" s="52"/>
    </row>
    <row r="26" spans="1:48">
      <c r="A26" s="21">
        <v>45010</v>
      </c>
      <c r="B26" s="22">
        <v>791.80629999999996</v>
      </c>
      <c r="C26" s="6">
        <v>6.5205000000000002</v>
      </c>
      <c r="D26" s="23">
        <f t="shared" si="23"/>
        <v>798.32680000000005</v>
      </c>
      <c r="E26" s="24">
        <f t="shared" si="4"/>
        <v>-0.30000000003838101</v>
      </c>
      <c r="F26" s="25">
        <f t="shared" si="5"/>
        <v>-3.1999999999925399</v>
      </c>
      <c r="G26" s="26">
        <f t="shared" si="6"/>
        <v>-0.15000000001919001</v>
      </c>
      <c r="H26" s="6">
        <v>7.3087999999999704</v>
      </c>
      <c r="I26" s="35">
        <f t="shared" si="24"/>
        <v>799.11509999999998</v>
      </c>
      <c r="J26" s="24">
        <f t="shared" si="7"/>
        <v>-9.9999999974897905E-2</v>
      </c>
      <c r="K26" s="25">
        <f t="shared" si="8"/>
        <v>-3.5000000000309202</v>
      </c>
      <c r="L26" s="26">
        <f t="shared" si="9"/>
        <v>-4.9999999987449001E-2</v>
      </c>
      <c r="M26" s="6">
        <v>6.4698000000000002</v>
      </c>
      <c r="N26" s="35">
        <f t="shared" si="25"/>
        <v>798.27610000000004</v>
      </c>
      <c r="O26" s="24">
        <f t="shared" si="10"/>
        <v>-0.30000000003838101</v>
      </c>
      <c r="P26" s="25">
        <f t="shared" si="11"/>
        <v>-2.9000000000678501</v>
      </c>
      <c r="Q26" s="26">
        <f t="shared" si="12"/>
        <v>-0.15000000001919001</v>
      </c>
      <c r="R26" s="41"/>
      <c r="S26" s="21">
        <f t="shared" si="26"/>
        <v>45010</v>
      </c>
      <c r="T26" s="42">
        <v>8.8709000000000007</v>
      </c>
      <c r="U26" s="43">
        <f t="shared" si="13"/>
        <v>-0.19999999999953399</v>
      </c>
      <c r="V26" s="44">
        <f t="shared" si="14"/>
        <v>-3.2999999999994101</v>
      </c>
      <c r="W26" s="45">
        <f t="shared" si="15"/>
        <v>9.99999999997669E-2</v>
      </c>
      <c r="X26" s="6">
        <v>12.2308</v>
      </c>
      <c r="Y26" s="43">
        <f t="shared" si="16"/>
        <v>-0.29999999999930099</v>
      </c>
      <c r="Z26" s="44">
        <f t="shared" si="17"/>
        <v>-3.8999999999997899</v>
      </c>
      <c r="AA26" s="45">
        <f t="shared" si="18"/>
        <v>-0.14999999999965</v>
      </c>
      <c r="AB26" s="49">
        <v>8.8864999999999998</v>
      </c>
      <c r="AC26" s="43">
        <f t="shared" si="19"/>
        <v>0.19999999996045401</v>
      </c>
      <c r="AD26" s="44">
        <f t="shared" si="20"/>
        <v>-2.7000000000008102</v>
      </c>
      <c r="AE26" s="45">
        <f t="shared" si="21"/>
        <v>9.9999999980227003E-2</v>
      </c>
      <c r="AF26" s="50">
        <v>80760</v>
      </c>
      <c r="AG26" s="58">
        <f t="shared" si="22"/>
        <v>70</v>
      </c>
      <c r="AH26" s="59"/>
      <c r="AI26" s="60"/>
      <c r="AJ26" s="61"/>
      <c r="AK26" s="62"/>
      <c r="AL26" s="60"/>
      <c r="AM26" s="64"/>
    </row>
    <row r="27" spans="1:48">
      <c r="A27" s="21">
        <v>45012</v>
      </c>
      <c r="B27" s="22">
        <v>791.80629999999996</v>
      </c>
      <c r="C27" s="6">
        <v>6.5204000000000004</v>
      </c>
      <c r="D27" s="23">
        <f t="shared" si="23"/>
        <v>798.32669999999996</v>
      </c>
      <c r="E27" s="24">
        <f t="shared" ref="E27:E30" si="27">(D27-D26)*1000</f>
        <v>-9.9999999974897905E-2</v>
      </c>
      <c r="F27" s="25">
        <f t="shared" ref="F27:F30" si="28">F26+E27</f>
        <v>-3.2999999999674401</v>
      </c>
      <c r="G27" s="26">
        <f t="shared" ref="G27:G30" si="29">E27/(A27-A26)</f>
        <v>-4.9999999987449001E-2</v>
      </c>
      <c r="H27" s="6">
        <v>7.3086000000000002</v>
      </c>
      <c r="I27" s="35">
        <f t="shared" si="24"/>
        <v>799.11490000000003</v>
      </c>
      <c r="J27" s="24">
        <f t="shared" ref="J27:J30" si="30">(I27-I26)*1000</f>
        <v>-0.20000000006348301</v>
      </c>
      <c r="K27" s="25">
        <f t="shared" ref="K27:K30" si="31">K26+J27</f>
        <v>-3.70000000009441</v>
      </c>
      <c r="L27" s="26">
        <f t="shared" ref="L27:L30" si="32">J27/(A27-A26)</f>
        <v>-0.100000000031741</v>
      </c>
      <c r="M27" s="6">
        <v>6.4695</v>
      </c>
      <c r="N27" s="35">
        <f t="shared" si="25"/>
        <v>798.2758</v>
      </c>
      <c r="O27" s="24">
        <f t="shared" ref="O27:O30" si="33">(N27-N26)*1000</f>
        <v>-0.29999999992469401</v>
      </c>
      <c r="P27" s="25">
        <f t="shared" ref="P27:P30" si="34">P26+O27</f>
        <v>-3.1999999999925399</v>
      </c>
      <c r="Q27" s="26">
        <f t="shared" ref="Q27:Q30" si="35">O27/(A27-A26)</f>
        <v>-0.149999999962347</v>
      </c>
      <c r="R27" s="41"/>
      <c r="S27" s="21">
        <f t="shared" si="26"/>
        <v>45012</v>
      </c>
      <c r="T27" s="42">
        <v>8.8705999999999996</v>
      </c>
      <c r="U27" s="43">
        <f t="shared" ref="U27:U30" si="36">(T27-T26)*1000</f>
        <v>-0.30000000000107702</v>
      </c>
      <c r="V27" s="44">
        <f t="shared" ref="V27:V30" si="37">V26+U27</f>
        <v>-3.6000000000004899</v>
      </c>
      <c r="W27" s="45">
        <f t="shared" ref="W27:W30" si="38">U27/(S26-S27)</f>
        <v>0.15000000000053901</v>
      </c>
      <c r="X27" s="6">
        <v>12.230399999999999</v>
      </c>
      <c r="Y27" s="43">
        <f t="shared" ref="Y27:Y30" si="39">(X27-X26)*1000</f>
        <v>-0.40000000000084401</v>
      </c>
      <c r="Z27" s="44">
        <f t="shared" ref="Z27:Z30" si="40">Z26+Y27</f>
        <v>-4.3000000000006402</v>
      </c>
      <c r="AA27" s="45">
        <f t="shared" ref="AA27:AA30" si="41">Y27/(S27-S26)</f>
        <v>-0.20000000000042201</v>
      </c>
      <c r="AB27" s="49">
        <v>8.8861000000000008</v>
      </c>
      <c r="AC27" s="43">
        <f t="shared" ref="AC27:AC30" si="42">(AB27-AB26)*1000</f>
        <v>-0.39999999999906799</v>
      </c>
      <c r="AD27" s="44">
        <f t="shared" ref="AD27:AD30" si="43">AD26+AC27</f>
        <v>-3.0999999999998802</v>
      </c>
      <c r="AE27" s="45">
        <f t="shared" ref="AE27:AE30" si="44">AC27/(S27-S26)</f>
        <v>-0.19999999999953399</v>
      </c>
      <c r="AF27" s="50">
        <v>80766</v>
      </c>
      <c r="AG27" s="58">
        <f t="shared" si="22"/>
        <v>76</v>
      </c>
      <c r="AH27" s="59"/>
      <c r="AI27" s="60"/>
      <c r="AJ27" s="61"/>
      <c r="AK27" s="62"/>
      <c r="AL27" s="60"/>
      <c r="AM27" s="64"/>
    </row>
    <row r="28" spans="1:48">
      <c r="A28" s="21">
        <v>45014</v>
      </c>
      <c r="B28" s="22">
        <v>791.80629999999996</v>
      </c>
      <c r="C28" s="6">
        <v>6.52</v>
      </c>
      <c r="D28" s="23">
        <f t="shared" si="23"/>
        <v>798.32629999999995</v>
      </c>
      <c r="E28" s="24">
        <f t="shared" si="27"/>
        <v>-0.40000000001327901</v>
      </c>
      <c r="F28" s="25">
        <f t="shared" si="28"/>
        <v>-3.69999999998072</v>
      </c>
      <c r="G28" s="26">
        <f t="shared" si="29"/>
        <v>-0.20000000000663901</v>
      </c>
      <c r="H28" s="6">
        <v>7.3083</v>
      </c>
      <c r="I28" s="35">
        <f t="shared" si="24"/>
        <v>799.1146</v>
      </c>
      <c r="J28" s="24">
        <f t="shared" si="30"/>
        <v>-0.29999999992469401</v>
      </c>
      <c r="K28" s="25">
        <f t="shared" si="31"/>
        <v>-4.0000000000191003</v>
      </c>
      <c r="L28" s="26">
        <f t="shared" si="32"/>
        <v>-0.149999999962347</v>
      </c>
      <c r="M28" s="6">
        <v>6.4696999999999996</v>
      </c>
      <c r="N28" s="35">
        <f t="shared" si="25"/>
        <v>798.27599999999995</v>
      </c>
      <c r="O28" s="24">
        <f t="shared" si="33"/>
        <v>0.199999999949796</v>
      </c>
      <c r="P28" s="25">
        <f t="shared" si="34"/>
        <v>-3.0000000000427498</v>
      </c>
      <c r="Q28" s="26">
        <f t="shared" si="35"/>
        <v>9.9999999974897905E-2</v>
      </c>
      <c r="R28" s="41"/>
      <c r="S28" s="21">
        <f t="shared" si="26"/>
        <v>45014</v>
      </c>
      <c r="T28" s="42">
        <v>8.8704000000000001</v>
      </c>
      <c r="U28" s="43">
        <f t="shared" si="36"/>
        <v>-0.19999999999953399</v>
      </c>
      <c r="V28" s="44">
        <f t="shared" si="37"/>
        <v>-3.80000000000003</v>
      </c>
      <c r="W28" s="45">
        <f t="shared" si="38"/>
        <v>9.99999999997669E-2</v>
      </c>
      <c r="X28" s="6">
        <v>12.2303</v>
      </c>
      <c r="Y28" s="43">
        <f t="shared" si="39"/>
        <v>-9.99999999997669E-2</v>
      </c>
      <c r="Z28" s="44">
        <f t="shared" si="40"/>
        <v>-4.4000000000004</v>
      </c>
      <c r="AA28" s="45">
        <f t="shared" si="41"/>
        <v>-4.9999999999883499E-2</v>
      </c>
      <c r="AB28" s="49">
        <v>8.8863000000000003</v>
      </c>
      <c r="AC28" s="43">
        <f t="shared" si="42"/>
        <v>0.19999999999953399</v>
      </c>
      <c r="AD28" s="44">
        <f t="shared" si="43"/>
        <v>-2.9000000000003499</v>
      </c>
      <c r="AE28" s="45">
        <f t="shared" si="44"/>
        <v>9.99999999997669E-2</v>
      </c>
      <c r="AF28" s="50">
        <v>80772</v>
      </c>
      <c r="AG28" s="58">
        <f t="shared" ref="AG28:AG30" si="45">AF28-80690</f>
        <v>82</v>
      </c>
      <c r="AH28" s="59"/>
      <c r="AI28" s="60"/>
      <c r="AJ28" s="61"/>
      <c r="AK28" s="62"/>
      <c r="AL28" s="60"/>
      <c r="AM28" s="64"/>
    </row>
    <row r="29" spans="1:48">
      <c r="A29" s="21">
        <v>45017</v>
      </c>
      <c r="B29" s="22">
        <v>791.80629999999996</v>
      </c>
      <c r="C29" s="6">
        <v>6.5202999999999998</v>
      </c>
      <c r="D29" s="23">
        <f t="shared" si="23"/>
        <v>798.32659999999998</v>
      </c>
      <c r="E29" s="24">
        <f t="shared" si="27"/>
        <v>0.30000000003838101</v>
      </c>
      <c r="F29" s="25">
        <f t="shared" si="28"/>
        <v>-3.3999999999423398</v>
      </c>
      <c r="G29" s="26">
        <f t="shared" si="29"/>
        <v>0.10000000001279399</v>
      </c>
      <c r="H29" s="6">
        <v>7.3085000000000004</v>
      </c>
      <c r="I29" s="35">
        <f t="shared" si="24"/>
        <v>799.11479999999995</v>
      </c>
      <c r="J29" s="24">
        <f t="shared" si="30"/>
        <v>0.199999999949796</v>
      </c>
      <c r="K29" s="25">
        <f t="shared" si="31"/>
        <v>-3.8000000000692999</v>
      </c>
      <c r="L29" s="26">
        <f t="shared" si="32"/>
        <v>6.6666666649931997E-2</v>
      </c>
      <c r="M29" s="6">
        <v>6.4699</v>
      </c>
      <c r="N29" s="35">
        <f t="shared" si="25"/>
        <v>798.27620000000002</v>
      </c>
      <c r="O29" s="24">
        <f t="shared" si="33"/>
        <v>0.20000000006348301</v>
      </c>
      <c r="P29" s="25">
        <f t="shared" si="34"/>
        <v>-2.79999999997926</v>
      </c>
      <c r="Q29" s="26">
        <f t="shared" si="35"/>
        <v>6.66666666878276E-2</v>
      </c>
      <c r="R29" s="41"/>
      <c r="S29" s="21">
        <f t="shared" si="26"/>
        <v>45017</v>
      </c>
      <c r="T29" s="42">
        <v>8.8707999999999991</v>
      </c>
      <c r="U29" s="43">
        <f t="shared" si="36"/>
        <v>0.39999999999906799</v>
      </c>
      <c r="V29" s="44">
        <f t="shared" si="37"/>
        <v>-3.40000000000096</v>
      </c>
      <c r="W29" s="45">
        <f t="shared" si="38"/>
        <v>-0.133333333333023</v>
      </c>
      <c r="X29" s="6">
        <v>12.230700000000001</v>
      </c>
      <c r="Y29" s="43">
        <f t="shared" si="39"/>
        <v>0.40000000000084401</v>
      </c>
      <c r="Z29" s="44">
        <f t="shared" si="40"/>
        <v>-3.9999999999995599</v>
      </c>
      <c r="AA29" s="45">
        <f t="shared" si="41"/>
        <v>0.133333333333615</v>
      </c>
      <c r="AB29" s="49">
        <v>8.8865000000000904</v>
      </c>
      <c r="AC29" s="43">
        <f t="shared" si="42"/>
        <v>0.200000000090128</v>
      </c>
      <c r="AD29" s="44">
        <f t="shared" si="43"/>
        <v>-2.69999999991022</v>
      </c>
      <c r="AE29" s="45">
        <f t="shared" si="44"/>
        <v>6.6666666696709398E-2</v>
      </c>
      <c r="AF29" s="50">
        <v>80778</v>
      </c>
      <c r="AG29" s="58">
        <f t="shared" si="45"/>
        <v>88</v>
      </c>
      <c r="AH29" s="59"/>
      <c r="AI29" s="60"/>
      <c r="AJ29" s="61"/>
      <c r="AK29" s="62"/>
      <c r="AL29" s="60"/>
      <c r="AM29" s="64"/>
    </row>
    <row r="30" spans="1:48">
      <c r="A30" s="21">
        <v>45021</v>
      </c>
      <c r="B30" s="22">
        <v>791.80629999999996</v>
      </c>
      <c r="C30" s="6">
        <v>6.5204000000000004</v>
      </c>
      <c r="D30" s="23">
        <f t="shared" si="23"/>
        <v>798.32669999999996</v>
      </c>
      <c r="E30" s="24">
        <f t="shared" si="27"/>
        <v>9.9999999974897905E-2</v>
      </c>
      <c r="F30" s="25">
        <f t="shared" si="28"/>
        <v>-3.2999999999674401</v>
      </c>
      <c r="G30" s="26">
        <f t="shared" si="29"/>
        <v>2.49999999937245E-2</v>
      </c>
      <c r="H30" s="6">
        <v>7.3086000000000002</v>
      </c>
      <c r="I30" s="35">
        <f t="shared" si="24"/>
        <v>799.11490000000003</v>
      </c>
      <c r="J30" s="24">
        <f t="shared" si="30"/>
        <v>9.9999999974897905E-2</v>
      </c>
      <c r="K30" s="25">
        <f t="shared" si="31"/>
        <v>-3.70000000009441</v>
      </c>
      <c r="L30" s="26">
        <f t="shared" si="32"/>
        <v>2.49999999937245E-2</v>
      </c>
      <c r="M30" s="6">
        <v>6.4696999999999996</v>
      </c>
      <c r="N30" s="35">
        <f t="shared" si="25"/>
        <v>798.27599999999995</v>
      </c>
      <c r="O30" s="24">
        <f t="shared" si="33"/>
        <v>-0.20000000006348301</v>
      </c>
      <c r="P30" s="25">
        <f t="shared" si="34"/>
        <v>-3.0000000000427498</v>
      </c>
      <c r="Q30" s="26">
        <f t="shared" si="35"/>
        <v>-5.0000000015870703E-2</v>
      </c>
      <c r="R30" s="41"/>
      <c r="S30" s="21">
        <f t="shared" si="26"/>
        <v>45021</v>
      </c>
      <c r="T30" s="42">
        <v>8.8706999999999994</v>
      </c>
      <c r="U30" s="43">
        <f t="shared" si="36"/>
        <v>-9.99999999997669E-2</v>
      </c>
      <c r="V30" s="44">
        <f t="shared" si="37"/>
        <v>-3.5000000000007199</v>
      </c>
      <c r="W30" s="45">
        <f t="shared" si="38"/>
        <v>2.4999999999941701E-2</v>
      </c>
      <c r="X30" s="6">
        <v>12.230499999999999</v>
      </c>
      <c r="Y30" s="43">
        <f t="shared" si="39"/>
        <v>-0.20000000000130999</v>
      </c>
      <c r="Z30" s="44">
        <f t="shared" si="40"/>
        <v>-4.2000000000008697</v>
      </c>
      <c r="AA30" s="45">
        <f t="shared" si="41"/>
        <v>-5.0000000000327602E-2</v>
      </c>
      <c r="AB30" s="49">
        <v>8.8866000000001097</v>
      </c>
      <c r="AC30" s="43">
        <f t="shared" si="42"/>
        <v>0.10000000001930701</v>
      </c>
      <c r="AD30" s="44">
        <f t="shared" si="43"/>
        <v>-2.59999999989091</v>
      </c>
      <c r="AE30" s="45">
        <f t="shared" si="44"/>
        <v>2.5000000004826699E-2</v>
      </c>
      <c r="AF30" s="50">
        <v>80791</v>
      </c>
      <c r="AG30" s="58">
        <f t="shared" si="45"/>
        <v>101</v>
      </c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65">
        <f>F30-F23</f>
        <v>-0.59999999996307496</v>
      </c>
      <c r="F31" s="33">
        <f>K30-K23</f>
        <v>-0.49999999998817701</v>
      </c>
      <c r="G31" s="33">
        <f>P30-P23</f>
        <v>-9.9999999974897905E-2</v>
      </c>
      <c r="H31" s="33">
        <f>F30</f>
        <v>-3.2999999999674401</v>
      </c>
      <c r="I31" s="66">
        <f>K30</f>
        <v>-3.70000000009441</v>
      </c>
      <c r="J31" s="65">
        <f>P30</f>
        <v>-3.0000000000427498</v>
      </c>
      <c r="K31" s="33">
        <f>(P30-P23)/12</f>
        <v>-8.3333333312414996E-3</v>
      </c>
      <c r="L31" s="26"/>
      <c r="N31" s="35"/>
      <c r="O31" s="24"/>
      <c r="P31" s="25"/>
      <c r="Q31" s="26"/>
      <c r="R31" s="41"/>
      <c r="S31" s="21"/>
      <c r="T31" s="42"/>
      <c r="U31" s="65">
        <f>V30-V23</f>
        <v>-0.50000000000061096</v>
      </c>
      <c r="V31" s="33">
        <f>Z30-Z23</f>
        <v>-1.0000000000012199</v>
      </c>
      <c r="W31" s="33">
        <f>AD30-AD23</f>
        <v>0.50000000010896894</v>
      </c>
      <c r="X31" s="33">
        <f>V30</f>
        <v>-3.5000000000007199</v>
      </c>
      <c r="Y31" s="65">
        <f>Z30</f>
        <v>-4.2000000000008697</v>
      </c>
      <c r="Z31" s="33">
        <f>AD30</f>
        <v>-2.59999999989091</v>
      </c>
      <c r="AA31" s="33">
        <f>(AD30-AD23)/12</f>
        <v>4.1666666675747401E-2</v>
      </c>
      <c r="AB31" s="49"/>
      <c r="AC31" s="43"/>
      <c r="AD31" s="44"/>
      <c r="AE31" s="45"/>
      <c r="AF31" s="50"/>
      <c r="AG31" s="58"/>
      <c r="AH31" s="61"/>
      <c r="AI31" s="60"/>
      <c r="AJ31"/>
      <c r="AK31"/>
      <c r="AL31"/>
      <c r="AM31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 t="s">
        <v>67</v>
      </c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>
        <v>3</v>
      </c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5"/>
  <sheetViews>
    <sheetView topLeftCell="N17" workbookViewId="0">
      <selection activeCell="N30" sqref="A30:XFD30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85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44993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44993</v>
      </c>
      <c r="B6" s="22">
        <v>791.80629999999996</v>
      </c>
      <c r="C6" s="6">
        <v>6.6314000000000002</v>
      </c>
      <c r="D6" s="23">
        <f t="shared" ref="D6:D18" si="0">C6+B6</f>
        <v>798.43769999999995</v>
      </c>
      <c r="E6" s="24">
        <v>0</v>
      </c>
      <c r="F6" s="25">
        <v>0</v>
      </c>
      <c r="G6" s="26">
        <v>0</v>
      </c>
      <c r="H6" s="6">
        <v>7.4123000000000001</v>
      </c>
      <c r="I6" s="35">
        <f t="shared" ref="I6:I18" si="1">H6+B6</f>
        <v>799.21860000000004</v>
      </c>
      <c r="J6" s="24">
        <v>0</v>
      </c>
      <c r="K6" s="25">
        <v>0</v>
      </c>
      <c r="L6" s="26">
        <v>0</v>
      </c>
      <c r="M6" s="6">
        <v>6.5339999999999998</v>
      </c>
      <c r="N6" s="35">
        <f t="shared" ref="N6:N18" si="2">M6+B6</f>
        <v>798.34029999999996</v>
      </c>
      <c r="O6" s="24">
        <v>0</v>
      </c>
      <c r="P6" s="25">
        <v>0</v>
      </c>
      <c r="Q6" s="26">
        <v>0</v>
      </c>
      <c r="R6" s="41"/>
      <c r="S6" s="21">
        <f t="shared" ref="S6:S18" si="3">A6</f>
        <v>44993</v>
      </c>
      <c r="T6" s="42">
        <v>9.1347000000000005</v>
      </c>
      <c r="U6" s="43">
        <v>0</v>
      </c>
      <c r="V6" s="44">
        <v>0</v>
      </c>
      <c r="W6" s="45">
        <f>U6/(S6-S11)</f>
        <v>0</v>
      </c>
      <c r="X6" s="6">
        <v>12.007400000000001</v>
      </c>
      <c r="Y6" s="43">
        <v>0</v>
      </c>
      <c r="Z6" s="44">
        <v>0</v>
      </c>
      <c r="AA6" s="45">
        <v>0</v>
      </c>
      <c r="AB6" s="49">
        <v>8.7341999999999995</v>
      </c>
      <c r="AC6" s="43">
        <v>0</v>
      </c>
      <c r="AD6" s="44">
        <v>0</v>
      </c>
      <c r="AE6" s="45">
        <v>0</v>
      </c>
      <c r="AF6" s="50">
        <v>80725</v>
      </c>
      <c r="AG6" s="58">
        <f>AF6-80720</f>
        <v>5</v>
      </c>
      <c r="AH6" s="59"/>
      <c r="AI6" s="60"/>
      <c r="AJ6" s="61"/>
      <c r="AK6" s="62"/>
      <c r="AL6" s="52"/>
      <c r="AM6" s="52"/>
    </row>
    <row r="7" spans="1:48">
      <c r="A7" s="21">
        <v>44994</v>
      </c>
      <c r="B7" s="22">
        <v>791.80629999999996</v>
      </c>
      <c r="C7" s="6">
        <v>6.6315</v>
      </c>
      <c r="D7" s="23">
        <f t="shared" si="0"/>
        <v>798.43780000000004</v>
      </c>
      <c r="E7" s="24">
        <f t="shared" ref="E7:E18" si="4">(D7-D6)*1000</f>
        <v>9.9999999974897905E-2</v>
      </c>
      <c r="F7" s="25">
        <f t="shared" ref="F7:F18" si="5">F6+E7</f>
        <v>9.9999999974897905E-2</v>
      </c>
      <c r="G7" s="26">
        <f t="shared" ref="G7:G18" si="6">E7/(A7-A6)</f>
        <v>9.9999999974897905E-2</v>
      </c>
      <c r="H7" s="6">
        <v>7.4120999999999997</v>
      </c>
      <c r="I7" s="35">
        <f t="shared" si="1"/>
        <v>799.21839999999997</v>
      </c>
      <c r="J7" s="24">
        <f t="shared" ref="J7:J18" si="7">(I7-I6)*1000</f>
        <v>-0.199999999949796</v>
      </c>
      <c r="K7" s="25">
        <f t="shared" ref="K7:K18" si="8">K6+J7</f>
        <v>-0.199999999949796</v>
      </c>
      <c r="L7" s="26">
        <f t="shared" ref="L7:L18" si="9">J7/(A7-A6)</f>
        <v>-0.199999999949796</v>
      </c>
      <c r="M7" s="6">
        <v>6.5338000000000003</v>
      </c>
      <c r="N7" s="35">
        <f t="shared" si="2"/>
        <v>798.34010000000001</v>
      </c>
      <c r="O7" s="24">
        <f t="shared" ref="O7:O18" si="10">(N7-N6)*1000</f>
        <v>-0.199999999949796</v>
      </c>
      <c r="P7" s="25">
        <f t="shared" ref="P7:P18" si="11">P6+O7</f>
        <v>-0.199999999949796</v>
      </c>
      <c r="Q7" s="26">
        <f t="shared" ref="Q7:Q18" si="12">O7/(A7-A6)</f>
        <v>-0.199999999949796</v>
      </c>
      <c r="R7" s="41"/>
      <c r="S7" s="21">
        <f t="shared" si="3"/>
        <v>44994</v>
      </c>
      <c r="T7" s="42">
        <v>9.1344999999999992</v>
      </c>
      <c r="U7" s="43">
        <f t="shared" ref="U7:U18" si="13">(T7-T6)*1000</f>
        <v>-0.20000000000130999</v>
      </c>
      <c r="V7" s="44">
        <f t="shared" ref="V7:V18" si="14">V6+U7</f>
        <v>-0.20000000000130999</v>
      </c>
      <c r="W7" s="45">
        <f t="shared" ref="W7:W18" si="15">U7/(S6-S7)</f>
        <v>0.20000000000130999</v>
      </c>
      <c r="X7" s="6">
        <v>12.007300000000001</v>
      </c>
      <c r="Y7" s="43">
        <f t="shared" ref="Y7:Y18" si="16">(X7-X6)*1000</f>
        <v>-9.99999999997669E-2</v>
      </c>
      <c r="Z7" s="44">
        <f t="shared" ref="Z7:Z18" si="17">Z6+Y7</f>
        <v>-9.99999999997669E-2</v>
      </c>
      <c r="AA7" s="45">
        <f t="shared" ref="AA7:AA18" si="18">Y7/(S7-S6)</f>
        <v>-9.99999999997669E-2</v>
      </c>
      <c r="AB7" s="49">
        <v>8.734</v>
      </c>
      <c r="AC7" s="43">
        <f t="shared" ref="AC7:AC18" si="19">(AB7-AB6)*1000</f>
        <v>-0.19999999999953399</v>
      </c>
      <c r="AD7" s="44">
        <f t="shared" ref="AD7:AD18" si="20">AD6+AC7</f>
        <v>-0.19999999999953399</v>
      </c>
      <c r="AE7" s="45">
        <f t="shared" ref="AE7:AE18" si="21">AC7/(S7-S6)</f>
        <v>-0.19999999999953399</v>
      </c>
      <c r="AF7" s="50">
        <v>80728</v>
      </c>
      <c r="AG7" s="58">
        <f t="shared" ref="AG7:AG18" si="22">AF7-80720</f>
        <v>8</v>
      </c>
      <c r="AH7" s="59"/>
      <c r="AI7" s="60"/>
      <c r="AJ7" s="61"/>
      <c r="AK7" s="62"/>
      <c r="AL7" s="52"/>
      <c r="AM7" s="52"/>
    </row>
    <row r="8" spans="1:48">
      <c r="A8" s="21">
        <v>44995</v>
      </c>
      <c r="B8" s="22">
        <v>791.80629999999996</v>
      </c>
      <c r="C8" s="6">
        <v>6.6313000000000004</v>
      </c>
      <c r="D8" s="23">
        <f t="shared" si="0"/>
        <v>798.43759999999997</v>
      </c>
      <c r="E8" s="24">
        <f t="shared" si="4"/>
        <v>-0.199999999949796</v>
      </c>
      <c r="F8" s="25">
        <f t="shared" si="5"/>
        <v>-9.9999999974897905E-2</v>
      </c>
      <c r="G8" s="26">
        <f t="shared" si="6"/>
        <v>-0.199999999949796</v>
      </c>
      <c r="H8" s="6">
        <v>7.4119000000000002</v>
      </c>
      <c r="I8" s="35">
        <f t="shared" si="1"/>
        <v>799.21820000000002</v>
      </c>
      <c r="J8" s="24">
        <f t="shared" si="7"/>
        <v>-0.20000000006348301</v>
      </c>
      <c r="K8" s="25">
        <f t="shared" si="8"/>
        <v>-0.40000000001327901</v>
      </c>
      <c r="L8" s="26">
        <f t="shared" si="9"/>
        <v>-0.20000000006348301</v>
      </c>
      <c r="M8" s="6">
        <v>6.5334000000000003</v>
      </c>
      <c r="N8" s="35">
        <f t="shared" si="2"/>
        <v>798.33969999999999</v>
      </c>
      <c r="O8" s="24">
        <f t="shared" si="10"/>
        <v>-0.40000000001327901</v>
      </c>
      <c r="P8" s="25">
        <f t="shared" si="11"/>
        <v>-0.59999999996307496</v>
      </c>
      <c r="Q8" s="26">
        <f t="shared" si="12"/>
        <v>-0.40000000001327901</v>
      </c>
      <c r="R8" s="41"/>
      <c r="S8" s="21">
        <f t="shared" si="3"/>
        <v>44995</v>
      </c>
      <c r="T8" s="42">
        <v>9.1346000000000007</v>
      </c>
      <c r="U8" s="43">
        <f t="shared" si="13"/>
        <v>0.10000000000154299</v>
      </c>
      <c r="V8" s="44">
        <f t="shared" si="14"/>
        <v>-9.99999999997669E-2</v>
      </c>
      <c r="W8" s="45">
        <f t="shared" si="15"/>
        <v>-0.10000000000154299</v>
      </c>
      <c r="X8" s="6">
        <v>12.007099999999999</v>
      </c>
      <c r="Y8" s="43">
        <f t="shared" si="16"/>
        <v>-0.20000000000130999</v>
      </c>
      <c r="Z8" s="44">
        <f t="shared" si="17"/>
        <v>-0.30000000000107702</v>
      </c>
      <c r="AA8" s="45">
        <f t="shared" si="18"/>
        <v>-0.20000000000130999</v>
      </c>
      <c r="AB8" s="49">
        <v>8.7339000000000002</v>
      </c>
      <c r="AC8" s="43">
        <f t="shared" si="19"/>
        <v>-9.99999999997669E-2</v>
      </c>
      <c r="AD8" s="44">
        <f t="shared" si="20"/>
        <v>-0.29999999999930099</v>
      </c>
      <c r="AE8" s="45">
        <f t="shared" si="21"/>
        <v>-9.99999999997669E-2</v>
      </c>
      <c r="AF8" s="50">
        <v>80731</v>
      </c>
      <c r="AG8" s="58">
        <f t="shared" si="22"/>
        <v>11</v>
      </c>
      <c r="AH8" s="59"/>
      <c r="AI8" s="60"/>
      <c r="AJ8" s="61"/>
      <c r="AK8" s="62"/>
      <c r="AL8" s="52"/>
      <c r="AM8" s="52"/>
    </row>
    <row r="9" spans="1:48">
      <c r="A9" s="21">
        <v>44996</v>
      </c>
      <c r="B9" s="22">
        <v>791.80629999999996</v>
      </c>
      <c r="C9" s="6">
        <v>6.6311</v>
      </c>
      <c r="D9" s="23">
        <f t="shared" si="0"/>
        <v>798.43740000000003</v>
      </c>
      <c r="E9" s="24">
        <f t="shared" si="4"/>
        <v>-0.20000000006348301</v>
      </c>
      <c r="F9" s="25">
        <f t="shared" si="5"/>
        <v>-0.30000000003838101</v>
      </c>
      <c r="G9" s="26">
        <f t="shared" si="6"/>
        <v>-0.20000000006348301</v>
      </c>
      <c r="H9" s="6">
        <v>7.4116</v>
      </c>
      <c r="I9" s="35">
        <f t="shared" si="1"/>
        <v>799.21789999999999</v>
      </c>
      <c r="J9" s="24">
        <f t="shared" si="7"/>
        <v>-0.29999999992469401</v>
      </c>
      <c r="K9" s="25">
        <f t="shared" si="8"/>
        <v>-0.69999999993797202</v>
      </c>
      <c r="L9" s="26">
        <f t="shared" si="9"/>
        <v>-0.29999999992469401</v>
      </c>
      <c r="M9" s="6">
        <v>6.5330000000000004</v>
      </c>
      <c r="N9" s="35">
        <f t="shared" si="2"/>
        <v>798.33929999999998</v>
      </c>
      <c r="O9" s="24">
        <f t="shared" si="10"/>
        <v>-0.40000000001327901</v>
      </c>
      <c r="P9" s="25">
        <f t="shared" si="11"/>
        <v>-0.99999999997635303</v>
      </c>
      <c r="Q9" s="26">
        <f t="shared" si="12"/>
        <v>-0.40000000001327901</v>
      </c>
      <c r="R9" s="41"/>
      <c r="S9" s="21">
        <f t="shared" si="3"/>
        <v>44996</v>
      </c>
      <c r="T9" s="42">
        <v>9.1343999999999994</v>
      </c>
      <c r="U9" s="43">
        <f t="shared" si="13"/>
        <v>-0.20000000000130999</v>
      </c>
      <c r="V9" s="44">
        <f t="shared" si="14"/>
        <v>-0.30000000000107702</v>
      </c>
      <c r="W9" s="45">
        <f t="shared" si="15"/>
        <v>0.20000000000130999</v>
      </c>
      <c r="X9" s="6">
        <v>12.0069</v>
      </c>
      <c r="Y9" s="43">
        <f t="shared" si="16"/>
        <v>-0.19999999999953399</v>
      </c>
      <c r="Z9" s="44">
        <f t="shared" si="17"/>
        <v>-0.50000000000061096</v>
      </c>
      <c r="AA9" s="45">
        <f t="shared" si="18"/>
        <v>-0.19999999999953399</v>
      </c>
      <c r="AB9" s="49">
        <v>8.7337000000000007</v>
      </c>
      <c r="AC9" s="43">
        <f t="shared" si="19"/>
        <v>-0.19999999999953399</v>
      </c>
      <c r="AD9" s="44">
        <f t="shared" si="20"/>
        <v>-0.49999999999883499</v>
      </c>
      <c r="AE9" s="45">
        <f t="shared" si="21"/>
        <v>-0.19999999999953399</v>
      </c>
      <c r="AF9" s="50">
        <v>80734</v>
      </c>
      <c r="AG9" s="58">
        <f t="shared" si="22"/>
        <v>14</v>
      </c>
      <c r="AH9" s="61"/>
      <c r="AI9" s="60"/>
      <c r="AJ9"/>
      <c r="AK9"/>
      <c r="AL9"/>
      <c r="AM9"/>
    </row>
    <row r="10" spans="1:48">
      <c r="A10" s="21">
        <v>44997</v>
      </c>
      <c r="B10" s="22">
        <v>791.80629999999996</v>
      </c>
      <c r="C10" s="6">
        <v>6.6310000000000002</v>
      </c>
      <c r="D10" s="23">
        <f t="shared" si="0"/>
        <v>798.43730000000005</v>
      </c>
      <c r="E10" s="24">
        <f t="shared" si="4"/>
        <v>-9.9999999974897905E-2</v>
      </c>
      <c r="F10" s="25">
        <f t="shared" si="5"/>
        <v>-0.40000000001327901</v>
      </c>
      <c r="G10" s="26">
        <f t="shared" si="6"/>
        <v>-9.9999999974897905E-2</v>
      </c>
      <c r="H10" s="6">
        <v>7.4115000000000002</v>
      </c>
      <c r="I10" s="35">
        <f t="shared" si="1"/>
        <v>799.21780000000001</v>
      </c>
      <c r="J10" s="24">
        <f t="shared" si="7"/>
        <v>-9.9999999974897905E-2</v>
      </c>
      <c r="K10" s="25">
        <f t="shared" si="8"/>
        <v>-0.79999999991286996</v>
      </c>
      <c r="L10" s="26">
        <f t="shared" si="9"/>
        <v>-9.9999999974897905E-2</v>
      </c>
      <c r="M10" s="6">
        <v>6.5335999999999999</v>
      </c>
      <c r="N10" s="35">
        <f t="shared" si="2"/>
        <v>798.33989999999994</v>
      </c>
      <c r="O10" s="24">
        <f t="shared" si="10"/>
        <v>0.59999999996307496</v>
      </c>
      <c r="P10" s="25">
        <f t="shared" si="11"/>
        <v>-0.40000000001327901</v>
      </c>
      <c r="Q10" s="26">
        <f t="shared" si="12"/>
        <v>0.59999999996307496</v>
      </c>
      <c r="R10" s="41"/>
      <c r="S10" s="21">
        <f t="shared" si="3"/>
        <v>44997</v>
      </c>
      <c r="T10" s="42">
        <v>9.1341999999999999</v>
      </c>
      <c r="U10" s="43">
        <f t="shared" si="13"/>
        <v>-0.19999999999953399</v>
      </c>
      <c r="V10" s="44">
        <f t="shared" si="14"/>
        <v>-0.50000000000061096</v>
      </c>
      <c r="W10" s="45">
        <f t="shared" si="15"/>
        <v>0.19999999999953399</v>
      </c>
      <c r="X10" s="6">
        <v>12.0068</v>
      </c>
      <c r="Y10" s="43">
        <f t="shared" si="16"/>
        <v>-9.99999999997669E-2</v>
      </c>
      <c r="Z10" s="44">
        <f t="shared" si="17"/>
        <v>-0.60000000000037801</v>
      </c>
      <c r="AA10" s="45">
        <f t="shared" si="18"/>
        <v>-9.99999999997669E-2</v>
      </c>
      <c r="AB10" s="49">
        <v>8.7334999999999994</v>
      </c>
      <c r="AC10" s="43">
        <f t="shared" si="19"/>
        <v>-0.20000000000130999</v>
      </c>
      <c r="AD10" s="44">
        <f t="shared" si="20"/>
        <v>-0.70000000000014495</v>
      </c>
      <c r="AE10" s="45">
        <f t="shared" si="21"/>
        <v>-0.20000000000130999</v>
      </c>
      <c r="AF10" s="50">
        <v>80737</v>
      </c>
      <c r="AG10" s="58">
        <f t="shared" si="22"/>
        <v>17</v>
      </c>
      <c r="AH10" s="59"/>
      <c r="AI10" s="60"/>
      <c r="AJ10" s="61"/>
      <c r="AK10" s="62"/>
      <c r="AL10" s="52"/>
      <c r="AM10" s="52"/>
    </row>
    <row r="11" spans="1:48">
      <c r="A11" s="21">
        <v>44998</v>
      </c>
      <c r="B11" s="22">
        <v>791.80629999999996</v>
      </c>
      <c r="C11" s="6">
        <v>6.6307</v>
      </c>
      <c r="D11" s="23">
        <f t="shared" si="0"/>
        <v>798.43700000000001</v>
      </c>
      <c r="E11" s="24">
        <f t="shared" si="4"/>
        <v>-0.29999999992469401</v>
      </c>
      <c r="F11" s="25">
        <f t="shared" si="5"/>
        <v>-0.69999999993797202</v>
      </c>
      <c r="G11" s="26">
        <f t="shared" si="6"/>
        <v>-0.29999999992469401</v>
      </c>
      <c r="H11" s="6">
        <v>7.4112999999999998</v>
      </c>
      <c r="I11" s="35">
        <f t="shared" si="1"/>
        <v>799.21759999999995</v>
      </c>
      <c r="J11" s="24">
        <f t="shared" si="7"/>
        <v>-0.20000000006348301</v>
      </c>
      <c r="K11" s="25">
        <f t="shared" si="8"/>
        <v>-0.99999999997635303</v>
      </c>
      <c r="L11" s="26">
        <f t="shared" si="9"/>
        <v>-0.20000000006348301</v>
      </c>
      <c r="M11" s="6">
        <v>6.5334000000000003</v>
      </c>
      <c r="N11" s="35">
        <f t="shared" si="2"/>
        <v>798.33969999999999</v>
      </c>
      <c r="O11" s="24">
        <f t="shared" si="10"/>
        <v>-0.199999999949796</v>
      </c>
      <c r="P11" s="25">
        <f t="shared" si="11"/>
        <v>-0.59999999996307496</v>
      </c>
      <c r="Q11" s="26">
        <f t="shared" si="12"/>
        <v>-0.199999999949796</v>
      </c>
      <c r="R11" s="41"/>
      <c r="S11" s="21">
        <f t="shared" si="3"/>
        <v>44998</v>
      </c>
      <c r="T11" s="42">
        <v>9.1340000000000003</v>
      </c>
      <c r="U11" s="43">
        <f t="shared" si="13"/>
        <v>-0.19999999999953399</v>
      </c>
      <c r="V11" s="44">
        <f t="shared" si="14"/>
        <v>-0.70000000000014495</v>
      </c>
      <c r="W11" s="45">
        <f t="shared" si="15"/>
        <v>0.19999999999953399</v>
      </c>
      <c r="X11" s="6">
        <v>12.006500000000001</v>
      </c>
      <c r="Y11" s="43">
        <f t="shared" si="16"/>
        <v>-0.29999999999930099</v>
      </c>
      <c r="Z11" s="44">
        <f t="shared" si="17"/>
        <v>-0.89999999999967895</v>
      </c>
      <c r="AA11" s="45">
        <f t="shared" si="18"/>
        <v>-0.29999999999930099</v>
      </c>
      <c r="AB11" s="49">
        <v>8.7335999999999991</v>
      </c>
      <c r="AC11" s="43">
        <f t="shared" si="19"/>
        <v>9.99999999997669E-2</v>
      </c>
      <c r="AD11" s="44">
        <f t="shared" si="20"/>
        <v>-0.60000000000037801</v>
      </c>
      <c r="AE11" s="45">
        <f t="shared" si="21"/>
        <v>9.99999999997669E-2</v>
      </c>
      <c r="AF11" s="50">
        <v>80740</v>
      </c>
      <c r="AG11" s="58">
        <f t="shared" si="22"/>
        <v>20</v>
      </c>
      <c r="AH11" s="61"/>
      <c r="AI11" s="60"/>
      <c r="AJ11"/>
      <c r="AK11"/>
      <c r="AL11"/>
      <c r="AM11"/>
    </row>
    <row r="12" spans="1:48">
      <c r="A12" s="21">
        <v>44999</v>
      </c>
      <c r="B12" s="22">
        <v>791.80629999999996</v>
      </c>
      <c r="C12" s="6">
        <v>6.6304999999999996</v>
      </c>
      <c r="D12" s="23">
        <f t="shared" si="0"/>
        <v>798.43679999999995</v>
      </c>
      <c r="E12" s="24">
        <f t="shared" si="4"/>
        <v>-0.20000000006348301</v>
      </c>
      <c r="F12" s="25">
        <f t="shared" si="5"/>
        <v>-0.90000000000145497</v>
      </c>
      <c r="G12" s="26">
        <f t="shared" si="6"/>
        <v>-0.20000000006348301</v>
      </c>
      <c r="H12" s="6">
        <v>7.4111000000000002</v>
      </c>
      <c r="I12" s="35">
        <f t="shared" si="1"/>
        <v>799.2174</v>
      </c>
      <c r="J12" s="24">
        <f t="shared" si="7"/>
        <v>-0.199999999949796</v>
      </c>
      <c r="K12" s="25">
        <f t="shared" si="8"/>
        <v>-1.1999999999261499</v>
      </c>
      <c r="L12" s="26">
        <f t="shared" si="9"/>
        <v>-0.199999999949796</v>
      </c>
      <c r="M12" s="6">
        <v>6.5331999999999999</v>
      </c>
      <c r="N12" s="35">
        <f t="shared" si="2"/>
        <v>798.33950000000004</v>
      </c>
      <c r="O12" s="24">
        <f t="shared" si="10"/>
        <v>-0.20000000006348301</v>
      </c>
      <c r="P12" s="25">
        <f t="shared" si="11"/>
        <v>-0.80000000002655702</v>
      </c>
      <c r="Q12" s="26">
        <f t="shared" si="12"/>
        <v>-0.20000000006348301</v>
      </c>
      <c r="R12" s="41"/>
      <c r="S12" s="21">
        <f t="shared" si="3"/>
        <v>44999</v>
      </c>
      <c r="T12" s="42">
        <v>9.1341000000000001</v>
      </c>
      <c r="U12" s="43">
        <f t="shared" si="13"/>
        <v>9.99999999997669E-2</v>
      </c>
      <c r="V12" s="44">
        <f t="shared" si="14"/>
        <v>-0.60000000000037801</v>
      </c>
      <c r="W12" s="45">
        <f t="shared" si="15"/>
        <v>-9.99999999997669E-2</v>
      </c>
      <c r="X12" s="6">
        <v>12.0063</v>
      </c>
      <c r="Y12" s="43">
        <f t="shared" si="16"/>
        <v>-0.20000000000130999</v>
      </c>
      <c r="Z12" s="44">
        <f t="shared" si="17"/>
        <v>-1.10000000000099</v>
      </c>
      <c r="AA12" s="45">
        <f t="shared" si="18"/>
        <v>-0.20000000000130999</v>
      </c>
      <c r="AB12" s="49">
        <v>8.7331000000000003</v>
      </c>
      <c r="AC12" s="43">
        <f t="shared" si="19"/>
        <v>-0.49999999999883499</v>
      </c>
      <c r="AD12" s="44">
        <f t="shared" si="20"/>
        <v>-1.0999999999992101</v>
      </c>
      <c r="AE12" s="45">
        <f t="shared" si="21"/>
        <v>-0.49999999999883499</v>
      </c>
      <c r="AF12" s="50">
        <v>80743</v>
      </c>
      <c r="AG12" s="58">
        <f t="shared" si="22"/>
        <v>23</v>
      </c>
      <c r="AH12" s="59"/>
      <c r="AI12" s="60"/>
      <c r="AJ12"/>
      <c r="AK12"/>
      <c r="AL12"/>
      <c r="AM12"/>
    </row>
    <row r="13" spans="1:48">
      <c r="A13" s="21">
        <v>45000</v>
      </c>
      <c r="B13" s="22">
        <v>791.80629999999996</v>
      </c>
      <c r="C13" s="6">
        <v>6.6303999999999998</v>
      </c>
      <c r="D13" s="23">
        <f t="shared" si="0"/>
        <v>798.43669999999997</v>
      </c>
      <c r="E13" s="24">
        <f t="shared" si="4"/>
        <v>-9.9999999974897905E-2</v>
      </c>
      <c r="F13" s="25">
        <f t="shared" si="5"/>
        <v>-0.99999999997635303</v>
      </c>
      <c r="G13" s="26">
        <f t="shared" si="6"/>
        <v>-9.9999999974897905E-2</v>
      </c>
      <c r="H13" s="6">
        <v>7.4105999999999996</v>
      </c>
      <c r="I13" s="35">
        <f t="shared" si="1"/>
        <v>799.21690000000001</v>
      </c>
      <c r="J13" s="24">
        <f t="shared" si="7"/>
        <v>-0.49999999998817701</v>
      </c>
      <c r="K13" s="25">
        <f t="shared" si="8"/>
        <v>-1.69999999991433</v>
      </c>
      <c r="L13" s="26">
        <f t="shared" si="9"/>
        <v>-0.49999999998817701</v>
      </c>
      <c r="M13" s="6">
        <v>6.5331000000000001</v>
      </c>
      <c r="N13" s="35">
        <f t="shared" si="2"/>
        <v>798.33939999999996</v>
      </c>
      <c r="O13" s="24">
        <f t="shared" si="10"/>
        <v>-9.9999999974897905E-2</v>
      </c>
      <c r="P13" s="25">
        <f t="shared" si="11"/>
        <v>-0.90000000000145497</v>
      </c>
      <c r="Q13" s="26">
        <f t="shared" si="12"/>
        <v>-9.9999999974897905E-2</v>
      </c>
      <c r="R13" s="41"/>
      <c r="S13" s="21">
        <f t="shared" si="3"/>
        <v>45000</v>
      </c>
      <c r="T13" s="42">
        <v>9.1335999999999906</v>
      </c>
      <c r="U13" s="43">
        <f t="shared" si="13"/>
        <v>-0.50000000000949296</v>
      </c>
      <c r="V13" s="44">
        <f t="shared" si="14"/>
        <v>-1.10000000000987</v>
      </c>
      <c r="W13" s="45">
        <f t="shared" si="15"/>
        <v>0.50000000000949296</v>
      </c>
      <c r="X13" s="6">
        <v>12.0062</v>
      </c>
      <c r="Y13" s="43">
        <f t="shared" si="16"/>
        <v>-9.99999999997669E-2</v>
      </c>
      <c r="Z13" s="44">
        <f t="shared" si="17"/>
        <v>-1.20000000000076</v>
      </c>
      <c r="AA13" s="45">
        <f t="shared" si="18"/>
        <v>-9.99999999997669E-2</v>
      </c>
      <c r="AB13" s="49">
        <v>8.7329000000000008</v>
      </c>
      <c r="AC13" s="43">
        <f t="shared" si="19"/>
        <v>-0.19999999999953399</v>
      </c>
      <c r="AD13" s="44">
        <f t="shared" si="20"/>
        <v>-1.2999999999987499</v>
      </c>
      <c r="AE13" s="45">
        <f t="shared" si="21"/>
        <v>-0.19999999999953399</v>
      </c>
      <c r="AF13" s="50">
        <v>80746</v>
      </c>
      <c r="AG13" s="58">
        <f t="shared" si="22"/>
        <v>26</v>
      </c>
      <c r="AH13" s="61"/>
      <c r="AI13" s="60"/>
      <c r="AJ13"/>
      <c r="AK13"/>
      <c r="AL13"/>
      <c r="AM13"/>
    </row>
    <row r="14" spans="1:48">
      <c r="A14" s="21">
        <v>45001</v>
      </c>
      <c r="B14" s="22">
        <v>791.80629999999996</v>
      </c>
      <c r="C14" s="6">
        <v>6.6300999999999997</v>
      </c>
      <c r="D14" s="23">
        <f t="shared" si="0"/>
        <v>798.43640000000005</v>
      </c>
      <c r="E14" s="24">
        <f t="shared" si="4"/>
        <v>-0.30000000003838101</v>
      </c>
      <c r="F14" s="25">
        <f t="shared" si="5"/>
        <v>-1.30000000001473</v>
      </c>
      <c r="G14" s="26">
        <f t="shared" si="6"/>
        <v>-0.30000000003838101</v>
      </c>
      <c r="H14" s="6">
        <v>7.4107000000000003</v>
      </c>
      <c r="I14" s="35">
        <f t="shared" si="1"/>
        <v>799.21699999999998</v>
      </c>
      <c r="J14" s="24">
        <f t="shared" si="7"/>
        <v>9.9999999974897905E-2</v>
      </c>
      <c r="K14" s="25">
        <f t="shared" si="8"/>
        <v>-1.5999999999394301</v>
      </c>
      <c r="L14" s="26">
        <f t="shared" si="9"/>
        <v>9.9999999974897905E-2</v>
      </c>
      <c r="M14" s="6">
        <v>6.5327999999999999</v>
      </c>
      <c r="N14" s="35">
        <f t="shared" si="2"/>
        <v>798.33910000000003</v>
      </c>
      <c r="O14" s="24">
        <f t="shared" si="10"/>
        <v>-0.30000000003838101</v>
      </c>
      <c r="P14" s="25">
        <f t="shared" si="11"/>
        <v>-1.2000000000398401</v>
      </c>
      <c r="Q14" s="26">
        <f t="shared" si="12"/>
        <v>-0.30000000003838101</v>
      </c>
      <c r="R14" s="41"/>
      <c r="S14" s="21">
        <f t="shared" si="3"/>
        <v>45001</v>
      </c>
      <c r="T14" s="42">
        <v>9.1333999999999893</v>
      </c>
      <c r="U14" s="43">
        <f t="shared" si="13"/>
        <v>-0.20000000000130999</v>
      </c>
      <c r="V14" s="44">
        <f t="shared" si="14"/>
        <v>-1.30000000001118</v>
      </c>
      <c r="W14" s="45">
        <f t="shared" si="15"/>
        <v>0.20000000000130999</v>
      </c>
      <c r="X14" s="6">
        <v>12.0059</v>
      </c>
      <c r="Y14" s="43">
        <f t="shared" si="16"/>
        <v>-0.29999999999930099</v>
      </c>
      <c r="Z14" s="44">
        <f t="shared" si="17"/>
        <v>-1.50000000000006</v>
      </c>
      <c r="AA14" s="45">
        <f t="shared" si="18"/>
        <v>-0.29999999999930099</v>
      </c>
      <c r="AB14" s="49">
        <v>8.7330000000000005</v>
      </c>
      <c r="AC14" s="43">
        <f t="shared" si="19"/>
        <v>9.99999999997669E-2</v>
      </c>
      <c r="AD14" s="44">
        <f t="shared" si="20"/>
        <v>-1.1999999999989801</v>
      </c>
      <c r="AE14" s="45">
        <f t="shared" si="21"/>
        <v>9.99999999997669E-2</v>
      </c>
      <c r="AF14" s="50">
        <v>80749</v>
      </c>
      <c r="AG14" s="58">
        <f t="shared" si="22"/>
        <v>29</v>
      </c>
      <c r="AH14" s="59"/>
      <c r="AI14" s="60"/>
      <c r="AJ14"/>
      <c r="AK14"/>
      <c r="AL14"/>
      <c r="AM14"/>
    </row>
    <row r="15" spans="1:48">
      <c r="A15" s="21">
        <v>45002</v>
      </c>
      <c r="B15" s="22">
        <v>791.80629999999996</v>
      </c>
      <c r="C15" s="6">
        <v>6.6299000000000001</v>
      </c>
      <c r="D15" s="23">
        <f t="shared" si="0"/>
        <v>798.43619999999999</v>
      </c>
      <c r="E15" s="24">
        <f t="shared" si="4"/>
        <v>-0.199999999949796</v>
      </c>
      <c r="F15" s="25">
        <f t="shared" si="5"/>
        <v>-1.4999999999645299</v>
      </c>
      <c r="G15" s="26">
        <f t="shared" si="6"/>
        <v>-0.199999999949796</v>
      </c>
      <c r="H15" s="6">
        <v>7.4104999999999999</v>
      </c>
      <c r="I15" s="35">
        <f t="shared" si="1"/>
        <v>799.21680000000003</v>
      </c>
      <c r="J15" s="24">
        <f t="shared" si="7"/>
        <v>-0.20000000006348301</v>
      </c>
      <c r="K15" s="25">
        <f t="shared" si="8"/>
        <v>-1.8000000000029099</v>
      </c>
      <c r="L15" s="26">
        <f t="shared" si="9"/>
        <v>-0.20000000006348301</v>
      </c>
      <c r="M15" s="6">
        <v>6.5326000000000004</v>
      </c>
      <c r="N15" s="35">
        <f t="shared" si="2"/>
        <v>798.33889999999997</v>
      </c>
      <c r="O15" s="24">
        <f t="shared" si="10"/>
        <v>-0.199999999949796</v>
      </c>
      <c r="P15" s="25">
        <f t="shared" si="11"/>
        <v>-1.39999999998963</v>
      </c>
      <c r="Q15" s="26">
        <f t="shared" si="12"/>
        <v>-0.199999999949796</v>
      </c>
      <c r="R15" s="41"/>
      <c r="S15" s="21">
        <f t="shared" si="3"/>
        <v>45002</v>
      </c>
      <c r="T15" s="42">
        <v>9.1334999999999997</v>
      </c>
      <c r="U15" s="43">
        <f t="shared" si="13"/>
        <v>0.100000000010425</v>
      </c>
      <c r="V15" s="44">
        <f t="shared" si="14"/>
        <v>-1.20000000000076</v>
      </c>
      <c r="W15" s="45">
        <f t="shared" si="15"/>
        <v>-0.100000000010425</v>
      </c>
      <c r="X15" s="6">
        <v>12.005699999999999</v>
      </c>
      <c r="Y15" s="43">
        <f t="shared" si="16"/>
        <v>-0.20000000000130999</v>
      </c>
      <c r="Z15" s="44">
        <f t="shared" si="17"/>
        <v>-1.70000000000137</v>
      </c>
      <c r="AA15" s="45">
        <f t="shared" si="18"/>
        <v>-0.20000000000130999</v>
      </c>
      <c r="AB15" s="49">
        <v>8.7324999999999999</v>
      </c>
      <c r="AC15" s="43">
        <f t="shared" si="19"/>
        <v>-0.50000000000061096</v>
      </c>
      <c r="AD15" s="44">
        <f t="shared" si="20"/>
        <v>-1.6999999999995901</v>
      </c>
      <c r="AE15" s="45">
        <f t="shared" si="21"/>
        <v>-0.50000000000061096</v>
      </c>
      <c r="AF15" s="50">
        <v>80752</v>
      </c>
      <c r="AG15" s="58">
        <f t="shared" si="22"/>
        <v>32</v>
      </c>
      <c r="AH15" s="61"/>
      <c r="AI15" s="60"/>
      <c r="AJ15"/>
      <c r="AK15"/>
      <c r="AL15"/>
      <c r="AM15"/>
    </row>
    <row r="16" spans="1:48">
      <c r="A16" s="21">
        <v>45003</v>
      </c>
      <c r="B16" s="22">
        <v>791.80629999999996</v>
      </c>
      <c r="C16" s="6">
        <v>6.63</v>
      </c>
      <c r="D16" s="23">
        <f t="shared" si="0"/>
        <v>798.43629999999996</v>
      </c>
      <c r="E16" s="24">
        <f t="shared" si="4"/>
        <v>9.9999999974897905E-2</v>
      </c>
      <c r="F16" s="25">
        <f t="shared" si="5"/>
        <v>-1.39999999998963</v>
      </c>
      <c r="G16" s="26">
        <f t="shared" si="6"/>
        <v>9.9999999974897905E-2</v>
      </c>
      <c r="H16" s="6">
        <v>7.4103000000000003</v>
      </c>
      <c r="I16" s="35">
        <f t="shared" si="1"/>
        <v>799.21659999999997</v>
      </c>
      <c r="J16" s="24">
        <f t="shared" si="7"/>
        <v>-0.199999999949796</v>
      </c>
      <c r="K16" s="25">
        <f t="shared" si="8"/>
        <v>-1.9999999999527101</v>
      </c>
      <c r="L16" s="26">
        <f t="shared" si="9"/>
        <v>-0.199999999949796</v>
      </c>
      <c r="M16" s="6">
        <v>6.5324999999999998</v>
      </c>
      <c r="N16" s="35">
        <f t="shared" si="2"/>
        <v>798.33879999999999</v>
      </c>
      <c r="O16" s="24">
        <f t="shared" si="10"/>
        <v>-9.9999999974897905E-2</v>
      </c>
      <c r="P16" s="25">
        <f t="shared" si="11"/>
        <v>-1.4999999999645299</v>
      </c>
      <c r="Q16" s="26">
        <f t="shared" si="12"/>
        <v>-9.9999999974897905E-2</v>
      </c>
      <c r="R16" s="41"/>
      <c r="S16" s="21">
        <f t="shared" si="3"/>
        <v>45003</v>
      </c>
      <c r="T16" s="42">
        <v>9.1334</v>
      </c>
      <c r="U16" s="43">
        <f t="shared" si="13"/>
        <v>-9.99999999997669E-2</v>
      </c>
      <c r="V16" s="44">
        <f t="shared" si="14"/>
        <v>-1.3000000000005201</v>
      </c>
      <c r="W16" s="45">
        <f t="shared" si="15"/>
        <v>9.99999999997669E-2</v>
      </c>
      <c r="X16" s="6">
        <v>12.005800000000001</v>
      </c>
      <c r="Y16" s="43">
        <f t="shared" si="16"/>
        <v>0.10000000000154299</v>
      </c>
      <c r="Z16" s="44">
        <f t="shared" si="17"/>
        <v>-1.59999999999982</v>
      </c>
      <c r="AA16" s="45">
        <f t="shared" si="18"/>
        <v>0.10000000000154299</v>
      </c>
      <c r="AB16" s="49">
        <v>8.7323000000000004</v>
      </c>
      <c r="AC16" s="43">
        <f t="shared" si="19"/>
        <v>-0.19999999999953399</v>
      </c>
      <c r="AD16" s="44">
        <f t="shared" si="20"/>
        <v>-1.8999999999991199</v>
      </c>
      <c r="AE16" s="45">
        <f t="shared" si="21"/>
        <v>-0.19999999999953399</v>
      </c>
      <c r="AF16" s="50">
        <v>80755</v>
      </c>
      <c r="AG16" s="58">
        <f t="shared" si="22"/>
        <v>35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45004</v>
      </c>
      <c r="B17" s="22">
        <v>791.80629999999996</v>
      </c>
      <c r="C17" s="6">
        <v>6.6295000000000002</v>
      </c>
      <c r="D17" s="23">
        <f t="shared" si="0"/>
        <v>798.43579999999997</v>
      </c>
      <c r="E17" s="24">
        <f t="shared" si="4"/>
        <v>-0.49999999998817701</v>
      </c>
      <c r="F17" s="25">
        <f t="shared" si="5"/>
        <v>-1.8999999999778101</v>
      </c>
      <c r="G17" s="26">
        <f t="shared" si="6"/>
        <v>-0.49999999998817701</v>
      </c>
      <c r="H17" s="6">
        <v>7.4101999999999997</v>
      </c>
      <c r="I17" s="35">
        <f t="shared" si="1"/>
        <v>799.2165</v>
      </c>
      <c r="J17" s="24">
        <f t="shared" si="7"/>
        <v>-9.9999999974897905E-2</v>
      </c>
      <c r="K17" s="25">
        <f t="shared" si="8"/>
        <v>-2.0999999999275998</v>
      </c>
      <c r="L17" s="26">
        <f t="shared" si="9"/>
        <v>-9.9999999974897905E-2</v>
      </c>
      <c r="M17" s="6">
        <v>6.5321999999999996</v>
      </c>
      <c r="N17" s="35">
        <f t="shared" si="2"/>
        <v>798.33849999999995</v>
      </c>
      <c r="O17" s="24">
        <f t="shared" si="10"/>
        <v>-0.30000000003838101</v>
      </c>
      <c r="P17" s="25">
        <f t="shared" si="11"/>
        <v>-1.8000000000029099</v>
      </c>
      <c r="Q17" s="26">
        <f t="shared" si="12"/>
        <v>-0.30000000003838101</v>
      </c>
      <c r="R17" s="41"/>
      <c r="S17" s="21">
        <f t="shared" si="3"/>
        <v>45004</v>
      </c>
      <c r="T17" s="42">
        <v>9.1327999999999907</v>
      </c>
      <c r="U17" s="43">
        <f t="shared" si="13"/>
        <v>-0.60000000000926001</v>
      </c>
      <c r="V17" s="44">
        <f t="shared" si="14"/>
        <v>-1.9000000000097801</v>
      </c>
      <c r="W17" s="45">
        <f t="shared" si="15"/>
        <v>0.60000000000926001</v>
      </c>
      <c r="X17" s="6">
        <v>12.0053</v>
      </c>
      <c r="Y17" s="43">
        <f t="shared" si="16"/>
        <v>-0.50000000000061096</v>
      </c>
      <c r="Z17" s="44">
        <f t="shared" si="17"/>
        <v>-2.10000000000043</v>
      </c>
      <c r="AA17" s="45">
        <f t="shared" si="18"/>
        <v>-0.50000000000061096</v>
      </c>
      <c r="AB17" s="49">
        <v>8.7324000000000002</v>
      </c>
      <c r="AC17" s="43">
        <f t="shared" si="19"/>
        <v>9.99999999997669E-2</v>
      </c>
      <c r="AD17" s="44">
        <f t="shared" si="20"/>
        <v>-1.7999999999993599</v>
      </c>
      <c r="AE17" s="45">
        <f t="shared" si="21"/>
        <v>9.99999999997669E-2</v>
      </c>
      <c r="AF17" s="50">
        <v>80758</v>
      </c>
      <c r="AG17" s="58">
        <f t="shared" si="22"/>
        <v>38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45005</v>
      </c>
      <c r="B18" s="22">
        <v>791.80629999999996</v>
      </c>
      <c r="C18" s="6">
        <v>6.6292999999999997</v>
      </c>
      <c r="D18" s="23">
        <f t="shared" si="0"/>
        <v>798.43560000000002</v>
      </c>
      <c r="E18" s="24">
        <f t="shared" si="4"/>
        <v>-0.20000000006348301</v>
      </c>
      <c r="F18" s="25">
        <f t="shared" si="5"/>
        <v>-2.1000000000412902</v>
      </c>
      <c r="G18" s="26">
        <f t="shared" si="6"/>
        <v>-0.20000000006348301</v>
      </c>
      <c r="H18" s="6">
        <v>7.41</v>
      </c>
      <c r="I18" s="35">
        <f t="shared" si="1"/>
        <v>799.21630000000005</v>
      </c>
      <c r="J18" s="24">
        <f t="shared" si="7"/>
        <v>-0.20000000006348301</v>
      </c>
      <c r="K18" s="25">
        <f t="shared" si="8"/>
        <v>-2.2999999999910901</v>
      </c>
      <c r="L18" s="26">
        <f t="shared" si="9"/>
        <v>-0.20000000006348301</v>
      </c>
      <c r="M18" s="6">
        <v>6.532</v>
      </c>
      <c r="N18" s="35">
        <f t="shared" si="2"/>
        <v>798.3383</v>
      </c>
      <c r="O18" s="24">
        <f t="shared" si="10"/>
        <v>-0.199999999949796</v>
      </c>
      <c r="P18" s="25">
        <f t="shared" si="11"/>
        <v>-1.9999999999527101</v>
      </c>
      <c r="Q18" s="26">
        <f t="shared" si="12"/>
        <v>-0.199999999949796</v>
      </c>
      <c r="R18" s="41"/>
      <c r="S18" s="21">
        <f t="shared" si="3"/>
        <v>45005</v>
      </c>
      <c r="T18" s="42">
        <v>9.1325999999999894</v>
      </c>
      <c r="U18" s="43">
        <f t="shared" si="13"/>
        <v>-0.20000000000130999</v>
      </c>
      <c r="V18" s="44">
        <f t="shared" si="14"/>
        <v>-2.1000000000110899</v>
      </c>
      <c r="W18" s="45">
        <f t="shared" si="15"/>
        <v>0.20000000000130999</v>
      </c>
      <c r="X18" s="6">
        <v>12.005100000000001</v>
      </c>
      <c r="Y18" s="43">
        <f t="shared" si="16"/>
        <v>-0.19999999999953399</v>
      </c>
      <c r="Z18" s="44">
        <f t="shared" si="17"/>
        <v>-2.2999999999999701</v>
      </c>
      <c r="AA18" s="45">
        <f t="shared" si="18"/>
        <v>-0.19999999999953399</v>
      </c>
      <c r="AB18" s="49">
        <v>8.7322000000000006</v>
      </c>
      <c r="AC18" s="43">
        <f t="shared" si="19"/>
        <v>-0.19999999999953399</v>
      </c>
      <c r="AD18" s="44">
        <f t="shared" si="20"/>
        <v>-1.99999999999889</v>
      </c>
      <c r="AE18" s="45">
        <f t="shared" si="21"/>
        <v>-0.19999999999953399</v>
      </c>
      <c r="AF18" s="50">
        <v>80761</v>
      </c>
      <c r="AG18" s="58">
        <f t="shared" si="22"/>
        <v>41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45007</v>
      </c>
      <c r="B19" s="22">
        <v>791.80629999999996</v>
      </c>
      <c r="C19" s="6">
        <v>6.6291000000000002</v>
      </c>
      <c r="D19" s="23">
        <f t="shared" ref="D19:D29" si="23">C19+B19</f>
        <v>798.43539999999996</v>
      </c>
      <c r="E19" s="24">
        <f t="shared" ref="E19:E24" si="24">(D19-D18)*1000</f>
        <v>-0.199999999949796</v>
      </c>
      <c r="F19" s="25">
        <f t="shared" ref="F19:F24" si="25">F18+E19</f>
        <v>-2.2999999999910901</v>
      </c>
      <c r="G19" s="26">
        <f t="shared" ref="G19:G24" si="26">E19/(A19-A18)</f>
        <v>-9.9999999974897905E-2</v>
      </c>
      <c r="H19" s="6">
        <v>7.4097999999999997</v>
      </c>
      <c r="I19" s="35">
        <f t="shared" ref="I19:I29" si="27">H19+B19</f>
        <v>799.21609999999998</v>
      </c>
      <c r="J19" s="24">
        <f t="shared" ref="J19:J24" si="28">(I19-I18)*1000</f>
        <v>-0.199999999949796</v>
      </c>
      <c r="K19" s="25">
        <f t="shared" ref="K19:K24" si="29">K18+J19</f>
        <v>-2.4999999999408802</v>
      </c>
      <c r="L19" s="26">
        <f t="shared" ref="L19:L24" si="30">J19/(A19-A18)</f>
        <v>-9.9999999974897905E-2</v>
      </c>
      <c r="M19" s="6">
        <v>6.5317999999999996</v>
      </c>
      <c r="N19" s="35">
        <f t="shared" ref="N19:N29" si="31">M19+B19</f>
        <v>798.33810000000005</v>
      </c>
      <c r="O19" s="24">
        <f t="shared" ref="O19:O24" si="32">(N19-N18)*1000</f>
        <v>-0.20000000006348301</v>
      </c>
      <c r="P19" s="25">
        <f t="shared" ref="P19:P24" si="33">P18+O19</f>
        <v>-2.2000000000161899</v>
      </c>
      <c r="Q19" s="26">
        <f t="shared" ref="Q19:Q24" si="34">O19/(A19-A18)</f>
        <v>-0.100000000031741</v>
      </c>
      <c r="R19" s="41"/>
      <c r="S19" s="21">
        <f t="shared" ref="S19:S29" si="35">A19</f>
        <v>45007</v>
      </c>
      <c r="T19" s="42">
        <v>9.1323999999999899</v>
      </c>
      <c r="U19" s="43">
        <f t="shared" ref="U19:U24" si="36">(T19-T18)*1000</f>
        <v>-0.19999999999953399</v>
      </c>
      <c r="V19" s="44">
        <f t="shared" ref="V19:V24" si="37">V18+U19</f>
        <v>-2.30000000001063</v>
      </c>
      <c r="W19" s="45">
        <f t="shared" ref="W19:W24" si="38">U19/(S18-S19)</f>
        <v>9.99999999997669E-2</v>
      </c>
      <c r="X19" s="6">
        <v>12.004899999999999</v>
      </c>
      <c r="Y19" s="43">
        <f t="shared" ref="Y19:Y24" si="39">(X19-X18)*1000</f>
        <v>-0.20000000000130999</v>
      </c>
      <c r="Z19" s="44">
        <f t="shared" ref="Z19:Z24" si="40">Z18+Y19</f>
        <v>-2.5000000000012799</v>
      </c>
      <c r="AA19" s="45">
        <f t="shared" ref="AA19:AA24" si="41">Y19/(S19-S18)</f>
        <v>-0.100000000000655</v>
      </c>
      <c r="AB19" s="49">
        <v>8.7319999999999993</v>
      </c>
      <c r="AC19" s="43">
        <f t="shared" ref="AC19:AC24" si="42">(AB19-AB18)*1000</f>
        <v>-0.20000000000130999</v>
      </c>
      <c r="AD19" s="44">
        <f t="shared" ref="AD19:AD24" si="43">AD18+AC19</f>
        <v>-2.2000000000002</v>
      </c>
      <c r="AE19" s="45">
        <f t="shared" ref="AE19:AE24" si="44">AC19/(S19-S18)</f>
        <v>-0.100000000000655</v>
      </c>
      <c r="AF19" s="50">
        <v>80764</v>
      </c>
      <c r="AG19" s="58">
        <f t="shared" ref="AG19:AG29" si="45">AF19-80720</f>
        <v>44</v>
      </c>
      <c r="AH19" s="61"/>
      <c r="AI19" s="60"/>
      <c r="AJ19"/>
      <c r="AK19"/>
      <c r="AL19"/>
      <c r="AM19"/>
    </row>
    <row r="20" spans="1:48">
      <c r="A20" s="21">
        <v>45009</v>
      </c>
      <c r="B20" s="22">
        <v>791.80629999999996</v>
      </c>
      <c r="C20" s="6">
        <v>6.6288</v>
      </c>
      <c r="D20" s="23">
        <f t="shared" si="23"/>
        <v>798.43510000000003</v>
      </c>
      <c r="E20" s="24">
        <f t="shared" si="24"/>
        <v>-0.30000000003838101</v>
      </c>
      <c r="F20" s="25">
        <f t="shared" si="25"/>
        <v>-2.6000000000294698</v>
      </c>
      <c r="G20" s="26">
        <f t="shared" si="26"/>
        <v>-0.15000000001919001</v>
      </c>
      <c r="H20" s="6">
        <v>7.4096000000000002</v>
      </c>
      <c r="I20" s="35">
        <f t="shared" si="27"/>
        <v>799.21590000000003</v>
      </c>
      <c r="J20" s="24">
        <f t="shared" si="28"/>
        <v>-0.20000000006348301</v>
      </c>
      <c r="K20" s="25">
        <f t="shared" si="29"/>
        <v>-2.70000000000437</v>
      </c>
      <c r="L20" s="26">
        <f t="shared" si="30"/>
        <v>-0.100000000031741</v>
      </c>
      <c r="M20" s="6">
        <v>6.5315000000000003</v>
      </c>
      <c r="N20" s="35">
        <f t="shared" si="31"/>
        <v>798.33780000000002</v>
      </c>
      <c r="O20" s="24">
        <f t="shared" si="32"/>
        <v>-0.29999999992469401</v>
      </c>
      <c r="P20" s="25">
        <f t="shared" si="33"/>
        <v>-2.4999999999408802</v>
      </c>
      <c r="Q20" s="26">
        <f t="shared" si="34"/>
        <v>-0.149999999962347</v>
      </c>
      <c r="R20" s="41"/>
      <c r="S20" s="21">
        <f t="shared" si="35"/>
        <v>45009</v>
      </c>
      <c r="T20" s="42">
        <v>9.1321999999999903</v>
      </c>
      <c r="U20" s="43">
        <f t="shared" si="36"/>
        <v>-0.19999999999953399</v>
      </c>
      <c r="V20" s="44">
        <f t="shared" si="37"/>
        <v>-2.5000000000101599</v>
      </c>
      <c r="W20" s="45">
        <f t="shared" si="38"/>
        <v>9.99999999997669E-2</v>
      </c>
      <c r="X20" s="6">
        <v>12.005000000000001</v>
      </c>
      <c r="Y20" s="43">
        <f t="shared" si="39"/>
        <v>0.10000000000154299</v>
      </c>
      <c r="Z20" s="44">
        <f t="shared" si="40"/>
        <v>-2.3999999999997401</v>
      </c>
      <c r="AA20" s="45">
        <f t="shared" si="41"/>
        <v>5.0000000000771601E-2</v>
      </c>
      <c r="AB20" s="49">
        <v>8.7321000000000009</v>
      </c>
      <c r="AC20" s="43">
        <f t="shared" si="42"/>
        <v>0.10000000000154299</v>
      </c>
      <c r="AD20" s="44">
        <f t="shared" si="43"/>
        <v>-2.0999999999986598</v>
      </c>
      <c r="AE20" s="45">
        <f t="shared" si="44"/>
        <v>5.0000000000771601E-2</v>
      </c>
      <c r="AF20" s="50">
        <v>80767</v>
      </c>
      <c r="AG20" s="58">
        <f t="shared" si="45"/>
        <v>47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45011</v>
      </c>
      <c r="B21" s="22">
        <v>791.80629999999996</v>
      </c>
      <c r="C21" s="6">
        <v>6.6287000000000003</v>
      </c>
      <c r="D21" s="23">
        <f t="shared" si="23"/>
        <v>798.43499999999995</v>
      </c>
      <c r="E21" s="24">
        <f t="shared" si="24"/>
        <v>-9.9999999974897905E-2</v>
      </c>
      <c r="F21" s="25">
        <f t="shared" si="25"/>
        <v>-2.70000000000437</v>
      </c>
      <c r="G21" s="26">
        <f t="shared" si="26"/>
        <v>-4.9999999987449001E-2</v>
      </c>
      <c r="H21" s="6">
        <v>7.4095000000000004</v>
      </c>
      <c r="I21" s="35">
        <f t="shared" si="27"/>
        <v>799.21579999999994</v>
      </c>
      <c r="J21" s="24">
        <f t="shared" si="28"/>
        <v>-9.9999999974897905E-2</v>
      </c>
      <c r="K21" s="25">
        <f t="shared" si="29"/>
        <v>-2.79999999997926</v>
      </c>
      <c r="L21" s="26">
        <f t="shared" si="30"/>
        <v>-4.9999999987449001E-2</v>
      </c>
      <c r="M21" s="6">
        <v>6.5313999999999997</v>
      </c>
      <c r="N21" s="35">
        <f t="shared" si="31"/>
        <v>798.33770000000004</v>
      </c>
      <c r="O21" s="24">
        <f t="shared" si="32"/>
        <v>-0.10000000008858501</v>
      </c>
      <c r="P21" s="25">
        <f t="shared" si="33"/>
        <v>-2.6000000000294698</v>
      </c>
      <c r="Q21" s="26">
        <f t="shared" si="34"/>
        <v>-5.0000000044292399E-2</v>
      </c>
      <c r="R21" s="41"/>
      <c r="S21" s="21">
        <f t="shared" si="35"/>
        <v>45011</v>
      </c>
      <c r="T21" s="42">
        <v>9.1320999999999994</v>
      </c>
      <c r="U21" s="43">
        <f t="shared" si="36"/>
        <v>-9.9999999990885199E-2</v>
      </c>
      <c r="V21" s="44">
        <f t="shared" si="37"/>
        <v>-2.6000000000010499</v>
      </c>
      <c r="W21" s="45">
        <f t="shared" si="38"/>
        <v>4.99999999954426E-2</v>
      </c>
      <c r="X21" s="6">
        <v>12.0045</v>
      </c>
      <c r="Y21" s="43">
        <f t="shared" si="39"/>
        <v>-0.50000000000061096</v>
      </c>
      <c r="Z21" s="44">
        <f t="shared" si="40"/>
        <v>-2.9000000000003499</v>
      </c>
      <c r="AA21" s="45">
        <f t="shared" si="41"/>
        <v>-0.25000000000030598</v>
      </c>
      <c r="AB21" s="49">
        <v>8.7316000000000003</v>
      </c>
      <c r="AC21" s="43">
        <f t="shared" si="42"/>
        <v>-0.50000000000061096</v>
      </c>
      <c r="AD21" s="44">
        <f t="shared" si="43"/>
        <v>-2.59999999999927</v>
      </c>
      <c r="AE21" s="45">
        <f t="shared" si="44"/>
        <v>-0.25000000000030598</v>
      </c>
      <c r="AF21" s="50">
        <v>80772</v>
      </c>
      <c r="AG21" s="58">
        <f t="shared" si="45"/>
        <v>52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45013</v>
      </c>
      <c r="B22" s="22">
        <v>791.80629999999996</v>
      </c>
      <c r="C22" s="6">
        <v>6.6284999999999998</v>
      </c>
      <c r="D22" s="23">
        <f t="shared" si="23"/>
        <v>798.4348</v>
      </c>
      <c r="E22" s="24">
        <f t="shared" si="24"/>
        <v>-0.199999999949796</v>
      </c>
      <c r="F22" s="25">
        <f t="shared" si="25"/>
        <v>-2.8999999999541601</v>
      </c>
      <c r="G22" s="26">
        <f t="shared" si="26"/>
        <v>-9.9999999974897905E-2</v>
      </c>
      <c r="H22" s="6">
        <v>7.4092000000000002</v>
      </c>
      <c r="I22" s="35">
        <f t="shared" si="27"/>
        <v>799.21550000000002</v>
      </c>
      <c r="J22" s="24">
        <f t="shared" si="28"/>
        <v>-0.29999999992469401</v>
      </c>
      <c r="K22" s="25">
        <f t="shared" si="29"/>
        <v>-3.09999999990396</v>
      </c>
      <c r="L22" s="26">
        <f t="shared" si="30"/>
        <v>-0.149999999962347</v>
      </c>
      <c r="M22" s="6">
        <v>6.5312000000000001</v>
      </c>
      <c r="N22" s="35">
        <f t="shared" si="31"/>
        <v>798.33749999999998</v>
      </c>
      <c r="O22" s="24">
        <f t="shared" si="32"/>
        <v>-0.199999999949796</v>
      </c>
      <c r="P22" s="25">
        <f t="shared" si="33"/>
        <v>-2.79999999997926</v>
      </c>
      <c r="Q22" s="26">
        <f t="shared" si="34"/>
        <v>-9.9999999974897905E-2</v>
      </c>
      <c r="R22" s="41"/>
      <c r="S22" s="21">
        <f t="shared" si="35"/>
        <v>45013</v>
      </c>
      <c r="T22" s="42">
        <v>9.1317999999999806</v>
      </c>
      <c r="U22" s="43">
        <f t="shared" si="36"/>
        <v>-0.30000000001884097</v>
      </c>
      <c r="V22" s="44">
        <f t="shared" si="37"/>
        <v>-2.9000000000198898</v>
      </c>
      <c r="W22" s="45">
        <f t="shared" si="38"/>
        <v>0.15000000000941999</v>
      </c>
      <c r="X22" s="6">
        <v>12.004300000000001</v>
      </c>
      <c r="Y22" s="43">
        <f t="shared" si="39"/>
        <v>-0.19999999999953399</v>
      </c>
      <c r="Z22" s="44">
        <f t="shared" si="40"/>
        <v>-3.0999999999998802</v>
      </c>
      <c r="AA22" s="45">
        <f t="shared" si="41"/>
        <v>-9.99999999997669E-2</v>
      </c>
      <c r="AB22" s="49">
        <v>8.7314000000000007</v>
      </c>
      <c r="AC22" s="43">
        <f t="shared" si="42"/>
        <v>-0.19999999999953399</v>
      </c>
      <c r="AD22" s="44">
        <f t="shared" si="43"/>
        <v>-2.7999999999987999</v>
      </c>
      <c r="AE22" s="45">
        <f t="shared" si="44"/>
        <v>-9.99999999997669E-2</v>
      </c>
      <c r="AF22" s="50">
        <v>80778</v>
      </c>
      <c r="AG22" s="58">
        <f t="shared" si="45"/>
        <v>58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45015</v>
      </c>
      <c r="B23" s="22">
        <v>791.80629999999996</v>
      </c>
      <c r="C23" s="6">
        <v>6.6281999999999996</v>
      </c>
      <c r="D23" s="23">
        <f t="shared" si="23"/>
        <v>798.43449999999996</v>
      </c>
      <c r="E23" s="24">
        <f t="shared" si="24"/>
        <v>-0.30000000003838101</v>
      </c>
      <c r="F23" s="25">
        <f t="shared" si="25"/>
        <v>-3.1999999999925399</v>
      </c>
      <c r="G23" s="26">
        <f t="shared" si="26"/>
        <v>-0.15000000001919001</v>
      </c>
      <c r="H23" s="6">
        <v>7.4089999999999998</v>
      </c>
      <c r="I23" s="35">
        <f t="shared" si="27"/>
        <v>799.21529999999996</v>
      </c>
      <c r="J23" s="24">
        <f t="shared" si="28"/>
        <v>-0.20000000006348301</v>
      </c>
      <c r="K23" s="25">
        <f t="shared" si="29"/>
        <v>-3.2999999999674401</v>
      </c>
      <c r="L23" s="26">
        <f t="shared" si="30"/>
        <v>-0.100000000031741</v>
      </c>
      <c r="M23" s="6">
        <v>6.5311000000000003</v>
      </c>
      <c r="N23" s="35">
        <f t="shared" si="31"/>
        <v>798.3374</v>
      </c>
      <c r="O23" s="24">
        <f t="shared" si="32"/>
        <v>-9.9999999974897905E-2</v>
      </c>
      <c r="P23" s="25">
        <f t="shared" si="33"/>
        <v>-2.8999999999541601</v>
      </c>
      <c r="Q23" s="26">
        <f t="shared" si="34"/>
        <v>-4.9999999987449001E-2</v>
      </c>
      <c r="R23" s="41"/>
      <c r="S23" s="21">
        <f t="shared" si="35"/>
        <v>45015</v>
      </c>
      <c r="T23" s="42">
        <v>9.1315999999999793</v>
      </c>
      <c r="U23" s="43">
        <f t="shared" si="36"/>
        <v>-0.20000000000130999</v>
      </c>
      <c r="V23" s="44">
        <f t="shared" si="37"/>
        <v>-3.1000000000212</v>
      </c>
      <c r="W23" s="45">
        <f t="shared" si="38"/>
        <v>0.100000000000655</v>
      </c>
      <c r="X23" s="6">
        <v>12.004200000000001</v>
      </c>
      <c r="Y23" s="43">
        <f t="shared" si="39"/>
        <v>-9.99999999997669E-2</v>
      </c>
      <c r="Z23" s="44">
        <f t="shared" si="40"/>
        <v>-3.1999999999996498</v>
      </c>
      <c r="AA23" s="45">
        <f t="shared" si="41"/>
        <v>-4.9999999999883499E-2</v>
      </c>
      <c r="AB23" s="49">
        <v>8.7315000000000005</v>
      </c>
      <c r="AC23" s="43">
        <f t="shared" si="42"/>
        <v>9.99999999997669E-2</v>
      </c>
      <c r="AD23" s="44">
        <f t="shared" si="43"/>
        <v>-2.6999999999990401</v>
      </c>
      <c r="AE23" s="45">
        <f t="shared" si="44"/>
        <v>4.9999999999883499E-2</v>
      </c>
      <c r="AF23" s="50">
        <v>80784</v>
      </c>
      <c r="AG23" s="58">
        <f t="shared" si="45"/>
        <v>64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45017</v>
      </c>
      <c r="B24" s="22">
        <v>791.80629999999996</v>
      </c>
      <c r="C24" s="6">
        <v>6.6280999999999999</v>
      </c>
      <c r="D24" s="23">
        <f t="shared" si="23"/>
        <v>798.43439999999998</v>
      </c>
      <c r="E24" s="24">
        <f t="shared" si="24"/>
        <v>-9.9999999974897905E-2</v>
      </c>
      <c r="F24" s="25">
        <f t="shared" si="25"/>
        <v>-3.2999999999674401</v>
      </c>
      <c r="G24" s="26">
        <f t="shared" si="26"/>
        <v>-4.9999999987449001E-2</v>
      </c>
      <c r="H24" s="6">
        <v>7.4090999999999996</v>
      </c>
      <c r="I24" s="35">
        <f t="shared" si="27"/>
        <v>799.21540000000005</v>
      </c>
      <c r="J24" s="24">
        <f t="shared" si="28"/>
        <v>9.9999999974897905E-2</v>
      </c>
      <c r="K24" s="25">
        <f t="shared" si="29"/>
        <v>-3.1999999999925399</v>
      </c>
      <c r="L24" s="26">
        <f t="shared" si="30"/>
        <v>4.9999999987449001E-2</v>
      </c>
      <c r="M24" s="6">
        <v>6.5308000000000002</v>
      </c>
      <c r="N24" s="35">
        <f t="shared" si="31"/>
        <v>798.33709999999996</v>
      </c>
      <c r="O24" s="24">
        <f t="shared" si="32"/>
        <v>-0.30000000003838101</v>
      </c>
      <c r="P24" s="25">
        <f t="shared" si="33"/>
        <v>-3.1999999999925399</v>
      </c>
      <c r="Q24" s="26">
        <f t="shared" si="34"/>
        <v>-0.15000000001919001</v>
      </c>
      <c r="R24" s="41"/>
      <c r="S24" s="21">
        <f t="shared" si="35"/>
        <v>45017</v>
      </c>
      <c r="T24" s="42">
        <v>9.1315000000000008</v>
      </c>
      <c r="U24" s="43">
        <f t="shared" si="36"/>
        <v>-9.9999999978450702E-2</v>
      </c>
      <c r="V24" s="44">
        <f t="shared" si="37"/>
        <v>-3.1999999999996498</v>
      </c>
      <c r="W24" s="45">
        <f t="shared" si="38"/>
        <v>4.9999999989225302E-2</v>
      </c>
      <c r="X24" s="6">
        <v>12.0039</v>
      </c>
      <c r="Y24" s="43">
        <f t="shared" si="39"/>
        <v>-0.30000000000107702</v>
      </c>
      <c r="Z24" s="44">
        <f t="shared" si="40"/>
        <v>-3.5000000000007199</v>
      </c>
      <c r="AA24" s="45">
        <f t="shared" si="41"/>
        <v>-0.15000000000053901</v>
      </c>
      <c r="AB24" s="49">
        <v>8.7309999999999999</v>
      </c>
      <c r="AC24" s="43">
        <f t="shared" si="42"/>
        <v>-0.50000000000061096</v>
      </c>
      <c r="AD24" s="44">
        <f t="shared" si="43"/>
        <v>-3.1999999999996498</v>
      </c>
      <c r="AE24" s="45">
        <f t="shared" si="44"/>
        <v>-0.25000000000030598</v>
      </c>
      <c r="AF24" s="50">
        <v>80790</v>
      </c>
      <c r="AG24" s="58">
        <f t="shared" si="45"/>
        <v>70</v>
      </c>
      <c r="AH24" s="59"/>
      <c r="AI24" s="60"/>
      <c r="AJ24" s="52"/>
      <c r="AK24" s="52"/>
      <c r="AL24" s="52"/>
      <c r="AM24" s="52"/>
    </row>
    <row r="25" spans="1:48">
      <c r="A25" s="21">
        <v>45019</v>
      </c>
      <c r="B25" s="22">
        <v>791.80629999999996</v>
      </c>
      <c r="C25" s="6">
        <v>6.6280000000000001</v>
      </c>
      <c r="D25" s="23">
        <f t="shared" si="23"/>
        <v>798.43430000000001</v>
      </c>
      <c r="E25" s="24">
        <f t="shared" ref="E25:E29" si="46">(D25-D24)*1000</f>
        <v>-9.9999999974897905E-2</v>
      </c>
      <c r="F25" s="25">
        <f t="shared" ref="F25:F29" si="47">F24+E25</f>
        <v>-3.3999999999423398</v>
      </c>
      <c r="G25" s="26">
        <f t="shared" ref="G25:G29" si="48">E25/(A25-A24)</f>
        <v>-4.9999999987449001E-2</v>
      </c>
      <c r="H25" s="6">
        <v>7.4093</v>
      </c>
      <c r="I25" s="35">
        <f t="shared" si="27"/>
        <v>799.21559999999999</v>
      </c>
      <c r="J25" s="24">
        <f t="shared" ref="J25:J29" si="49">(I25-I24)*1000</f>
        <v>0.20000000006348301</v>
      </c>
      <c r="K25" s="25">
        <f t="shared" ref="K25:K29" si="50">K24+J25</f>
        <v>-2.9999999999290599</v>
      </c>
      <c r="L25" s="26">
        <f t="shared" ref="L25:L29" si="51">J25/(A25-A24)</f>
        <v>0.100000000031741</v>
      </c>
      <c r="M25" s="6">
        <v>6.5305</v>
      </c>
      <c r="N25" s="35">
        <f t="shared" si="31"/>
        <v>798.33680000000004</v>
      </c>
      <c r="O25" s="24">
        <f t="shared" ref="O25:O29" si="52">(N25-N24)*1000</f>
        <v>-0.30000000003838101</v>
      </c>
      <c r="P25" s="25">
        <f t="shared" ref="P25:P29" si="53">P24+O25</f>
        <v>-3.5000000000309202</v>
      </c>
      <c r="Q25" s="26">
        <f t="shared" ref="Q25:Q29" si="54">O25/(A25-A24)</f>
        <v>-0.15000000001919001</v>
      </c>
      <c r="R25" s="41"/>
      <c r="S25" s="21">
        <f t="shared" si="35"/>
        <v>45019</v>
      </c>
      <c r="T25" s="42">
        <v>9.1311</v>
      </c>
      <c r="U25" s="43">
        <f t="shared" ref="U25:U29" si="55">(T25-T24)*1000</f>
        <v>-0.40000000000084401</v>
      </c>
      <c r="V25" s="44">
        <f t="shared" ref="V25:V29" si="56">V24+U25</f>
        <v>-3.6000000000004899</v>
      </c>
      <c r="W25" s="45">
        <f t="shared" ref="W25:W29" si="57">U25/(S24-S25)</f>
        <v>0.20000000000042201</v>
      </c>
      <c r="X25" s="6">
        <v>12.0037</v>
      </c>
      <c r="Y25" s="43">
        <f t="shared" ref="Y25:Y29" si="58">(X25-X24)*1000</f>
        <v>-0.19999999999953399</v>
      </c>
      <c r="Z25" s="44">
        <f t="shared" ref="Z25:Z29" si="59">Z24+Y25</f>
        <v>-3.70000000000026</v>
      </c>
      <c r="AA25" s="45">
        <f t="shared" ref="AA25:AA29" si="60">Y25/(S25-S24)</f>
        <v>-9.99999999997669E-2</v>
      </c>
      <c r="AB25" s="49">
        <v>8.7308000000000003</v>
      </c>
      <c r="AC25" s="43">
        <f t="shared" ref="AC25:AC29" si="61">(AB25-AB24)*1000</f>
        <v>-0.19999999999953399</v>
      </c>
      <c r="AD25" s="44">
        <f t="shared" ref="AD25:AD29" si="62">AD24+AC25</f>
        <v>-3.3999999999991801</v>
      </c>
      <c r="AE25" s="45">
        <f t="shared" ref="AE25:AE29" si="63">AC25/(S25-S24)</f>
        <v>-9.99999999997669E-2</v>
      </c>
      <c r="AF25" s="50">
        <v>80797</v>
      </c>
      <c r="AG25" s="58">
        <f t="shared" si="45"/>
        <v>77</v>
      </c>
      <c r="AH25" s="59"/>
      <c r="AI25" s="60"/>
      <c r="AJ25" s="52"/>
      <c r="AK25" s="52"/>
      <c r="AL25" s="52"/>
      <c r="AM25" s="52"/>
    </row>
    <row r="26" spans="1:48">
      <c r="A26" s="21">
        <v>45021</v>
      </c>
      <c r="B26" s="22">
        <v>791.80629999999996</v>
      </c>
      <c r="C26" s="6">
        <v>6.6279000000000003</v>
      </c>
      <c r="D26" s="23">
        <f t="shared" si="23"/>
        <v>798.43420000000003</v>
      </c>
      <c r="E26" s="24">
        <f t="shared" si="46"/>
        <v>-0.10000000008858501</v>
      </c>
      <c r="F26" s="25">
        <f t="shared" si="47"/>
        <v>-3.5000000000309202</v>
      </c>
      <c r="G26" s="26">
        <f t="shared" si="48"/>
        <v>-5.0000000044292399E-2</v>
      </c>
      <c r="H26" s="6">
        <v>7.4085999999999999</v>
      </c>
      <c r="I26" s="35">
        <f t="shared" si="27"/>
        <v>799.21489999999994</v>
      </c>
      <c r="J26" s="24">
        <f t="shared" si="49"/>
        <v>-0.70000000005165897</v>
      </c>
      <c r="K26" s="25">
        <f t="shared" si="50"/>
        <v>-3.69999999998072</v>
      </c>
      <c r="L26" s="26">
        <f t="shared" si="51"/>
        <v>-0.35000000002582998</v>
      </c>
      <c r="M26" s="6">
        <v>6.5301999999999998</v>
      </c>
      <c r="N26" s="35">
        <f t="shared" si="31"/>
        <v>798.3365</v>
      </c>
      <c r="O26" s="24">
        <f t="shared" si="52"/>
        <v>-0.29999999992469401</v>
      </c>
      <c r="P26" s="25">
        <f t="shared" si="53"/>
        <v>-3.7999999999556202</v>
      </c>
      <c r="Q26" s="26">
        <f t="shared" si="54"/>
        <v>-0.149999999962347</v>
      </c>
      <c r="R26" s="41"/>
      <c r="S26" s="21">
        <f t="shared" si="35"/>
        <v>45021</v>
      </c>
      <c r="T26" s="42">
        <v>9.1311999999999802</v>
      </c>
      <c r="U26" s="43">
        <f t="shared" si="55"/>
        <v>9.9999999980227003E-2</v>
      </c>
      <c r="V26" s="44">
        <f t="shared" si="56"/>
        <v>-3.5000000000202598</v>
      </c>
      <c r="W26" s="45">
        <f t="shared" si="57"/>
        <v>-4.9999999990113501E-2</v>
      </c>
      <c r="X26" s="6">
        <v>12.0038</v>
      </c>
      <c r="Y26" s="43">
        <f t="shared" si="58"/>
        <v>9.99999999997669E-2</v>
      </c>
      <c r="Z26" s="44">
        <f t="shared" si="59"/>
        <v>-3.6000000000004899</v>
      </c>
      <c r="AA26" s="45">
        <f t="shared" si="60"/>
        <v>4.9999999999883499E-2</v>
      </c>
      <c r="AB26" s="49">
        <v>8.7308000000000003</v>
      </c>
      <c r="AC26" s="43">
        <f t="shared" si="61"/>
        <v>0</v>
      </c>
      <c r="AD26" s="44">
        <f t="shared" si="62"/>
        <v>-3.3999999999991801</v>
      </c>
      <c r="AE26" s="45">
        <f t="shared" si="63"/>
        <v>0</v>
      </c>
      <c r="AF26" s="50">
        <v>80803</v>
      </c>
      <c r="AG26" s="58">
        <f t="shared" si="45"/>
        <v>83</v>
      </c>
      <c r="AH26" s="61"/>
      <c r="AI26" s="60"/>
      <c r="AJ26" s="52"/>
      <c r="AK26" s="52"/>
      <c r="AL26" s="52"/>
      <c r="AM26" s="52"/>
    </row>
    <row r="27" spans="1:48">
      <c r="A27" s="21">
        <v>45023</v>
      </c>
      <c r="B27" s="22">
        <v>791.80629999999996</v>
      </c>
      <c r="C27" s="6">
        <v>6.6276999999999999</v>
      </c>
      <c r="D27" s="23">
        <f t="shared" si="23"/>
        <v>798.43399999999997</v>
      </c>
      <c r="E27" s="24">
        <f t="shared" si="46"/>
        <v>-0.199999999949796</v>
      </c>
      <c r="F27" s="25">
        <f t="shared" si="47"/>
        <v>-3.69999999998072</v>
      </c>
      <c r="G27" s="26">
        <f t="shared" si="48"/>
        <v>-9.9999999974897905E-2</v>
      </c>
      <c r="H27" s="6">
        <v>7.4086999999999996</v>
      </c>
      <c r="I27" s="35">
        <f t="shared" si="27"/>
        <v>799.21500000000003</v>
      </c>
      <c r="J27" s="24">
        <f t="shared" si="49"/>
        <v>9.9999999974897905E-2</v>
      </c>
      <c r="K27" s="25">
        <f t="shared" si="50"/>
        <v>-3.6000000000058199</v>
      </c>
      <c r="L27" s="26">
        <f t="shared" si="51"/>
        <v>4.9999999987449001E-2</v>
      </c>
      <c r="M27" s="6">
        <v>6.5303000000000004</v>
      </c>
      <c r="N27" s="35">
        <f t="shared" si="31"/>
        <v>798.33659999999998</v>
      </c>
      <c r="O27" s="24">
        <f t="shared" si="52"/>
        <v>9.9999999974897905E-2</v>
      </c>
      <c r="P27" s="25">
        <f t="shared" si="53"/>
        <v>-3.69999999998072</v>
      </c>
      <c r="Q27" s="26">
        <f t="shared" si="54"/>
        <v>4.9999999987449001E-2</v>
      </c>
      <c r="R27" s="41"/>
      <c r="S27" s="21">
        <f t="shared" si="35"/>
        <v>45023</v>
      </c>
      <c r="T27" s="42">
        <v>9.1312999999999995</v>
      </c>
      <c r="U27" s="43">
        <f t="shared" si="55"/>
        <v>0.10000000001930701</v>
      </c>
      <c r="V27" s="44">
        <f t="shared" si="56"/>
        <v>-3.40000000000096</v>
      </c>
      <c r="W27" s="45">
        <f t="shared" si="57"/>
        <v>-5.0000000009653399E-2</v>
      </c>
      <c r="X27" s="6">
        <v>12.003500000000001</v>
      </c>
      <c r="Y27" s="43">
        <f t="shared" si="58"/>
        <v>-0.29999999999930099</v>
      </c>
      <c r="Z27" s="44">
        <f t="shared" si="59"/>
        <v>-3.8999999999997899</v>
      </c>
      <c r="AA27" s="45">
        <f t="shared" si="60"/>
        <v>-0.14999999999965</v>
      </c>
      <c r="AB27" s="49">
        <v>8.7304999999999993</v>
      </c>
      <c r="AC27" s="43">
        <f t="shared" si="61"/>
        <v>-0.30000000000107702</v>
      </c>
      <c r="AD27" s="44">
        <f t="shared" si="62"/>
        <v>-3.70000000000026</v>
      </c>
      <c r="AE27" s="45">
        <f t="shared" si="63"/>
        <v>-0.15000000000053901</v>
      </c>
      <c r="AF27" s="50">
        <v>80809</v>
      </c>
      <c r="AG27" s="58">
        <f t="shared" si="45"/>
        <v>89</v>
      </c>
      <c r="AH27" s="61"/>
      <c r="AI27" s="60"/>
      <c r="AJ27" s="52"/>
      <c r="AK27" s="52"/>
      <c r="AL27" s="52"/>
      <c r="AM27" s="52"/>
    </row>
    <row r="28" spans="1:48">
      <c r="A28" s="21">
        <v>45026</v>
      </c>
      <c r="B28" s="22">
        <v>791.80629999999996</v>
      </c>
      <c r="C28" s="6">
        <v>6.6280000000000001</v>
      </c>
      <c r="D28" s="23">
        <f t="shared" si="23"/>
        <v>798.43430000000001</v>
      </c>
      <c r="E28" s="24">
        <f t="shared" si="46"/>
        <v>0.30000000003838101</v>
      </c>
      <c r="F28" s="25">
        <f t="shared" si="47"/>
        <v>-3.3999999999423398</v>
      </c>
      <c r="G28" s="26">
        <f t="shared" si="48"/>
        <v>0.10000000001279399</v>
      </c>
      <c r="H28" s="6">
        <v>7.4085000000000001</v>
      </c>
      <c r="I28" s="35">
        <f t="shared" si="27"/>
        <v>799.21479999999997</v>
      </c>
      <c r="J28" s="24">
        <f t="shared" si="49"/>
        <v>-0.199999999949796</v>
      </c>
      <c r="K28" s="25">
        <f t="shared" si="50"/>
        <v>-3.7999999999556202</v>
      </c>
      <c r="L28" s="26">
        <f t="shared" si="51"/>
        <v>-6.6666666649931997E-2</v>
      </c>
      <c r="M28" s="6">
        <v>6.5304000000000002</v>
      </c>
      <c r="N28" s="35">
        <f t="shared" si="31"/>
        <v>798.33669999999995</v>
      </c>
      <c r="O28" s="24">
        <f t="shared" si="52"/>
        <v>9.9999999974897905E-2</v>
      </c>
      <c r="P28" s="25">
        <f t="shared" si="53"/>
        <v>-3.6000000000058199</v>
      </c>
      <c r="Q28" s="26">
        <f t="shared" si="54"/>
        <v>3.3333333324965998E-2</v>
      </c>
      <c r="R28" s="41"/>
      <c r="S28" s="21">
        <f t="shared" si="35"/>
        <v>45026</v>
      </c>
      <c r="T28" s="42">
        <v>9.1309999999999807</v>
      </c>
      <c r="U28" s="43">
        <f t="shared" si="55"/>
        <v>-0.30000000001884097</v>
      </c>
      <c r="V28" s="44">
        <f t="shared" si="56"/>
        <v>-3.7000000000197999</v>
      </c>
      <c r="W28" s="45">
        <f t="shared" si="57"/>
        <v>0.10000000000628</v>
      </c>
      <c r="X28" s="6">
        <v>12.003500000000001</v>
      </c>
      <c r="Y28" s="43">
        <f t="shared" si="58"/>
        <v>0</v>
      </c>
      <c r="Z28" s="44">
        <f t="shared" si="59"/>
        <v>-3.8999999999997899</v>
      </c>
      <c r="AA28" s="45">
        <f t="shared" si="60"/>
        <v>0</v>
      </c>
      <c r="AB28" s="49">
        <v>8.7306000000000008</v>
      </c>
      <c r="AC28" s="43">
        <f t="shared" si="61"/>
        <v>0.10000000000154299</v>
      </c>
      <c r="AD28" s="44">
        <f t="shared" si="62"/>
        <v>-3.5999999999987198</v>
      </c>
      <c r="AE28" s="45">
        <f t="shared" si="63"/>
        <v>3.3333333333847803E-2</v>
      </c>
      <c r="AF28" s="50">
        <v>80831</v>
      </c>
      <c r="AG28" s="58">
        <f t="shared" si="45"/>
        <v>111</v>
      </c>
      <c r="AH28" s="59"/>
      <c r="AI28" s="60"/>
      <c r="AJ28" s="61"/>
      <c r="AK28" s="62"/>
      <c r="AL28" s="60"/>
      <c r="AM28" s="64"/>
    </row>
    <row r="29" spans="1:48">
      <c r="A29" s="21">
        <v>45031</v>
      </c>
      <c r="B29" s="22">
        <v>791.80629999999996</v>
      </c>
      <c r="C29" s="6">
        <v>6.6280999999999999</v>
      </c>
      <c r="D29" s="23">
        <f t="shared" si="23"/>
        <v>798.43439999999998</v>
      </c>
      <c r="E29" s="24">
        <f t="shared" si="46"/>
        <v>9.9999999974897905E-2</v>
      </c>
      <c r="F29" s="25">
        <f t="shared" si="47"/>
        <v>-3.2999999999674401</v>
      </c>
      <c r="G29" s="26">
        <f t="shared" si="48"/>
        <v>1.99999999949796E-2</v>
      </c>
      <c r="H29" s="6">
        <v>7.4085999999999999</v>
      </c>
      <c r="I29" s="35">
        <f t="shared" si="27"/>
        <v>799.21489999999994</v>
      </c>
      <c r="J29" s="24">
        <f t="shared" si="49"/>
        <v>9.9999999974897905E-2</v>
      </c>
      <c r="K29" s="25">
        <f t="shared" si="50"/>
        <v>-3.69999999998072</v>
      </c>
      <c r="L29" s="26">
        <f t="shared" si="51"/>
        <v>1.99999999949796E-2</v>
      </c>
      <c r="M29" s="6">
        <v>6.5301999999999998</v>
      </c>
      <c r="N29" s="35">
        <f t="shared" si="31"/>
        <v>798.3365</v>
      </c>
      <c r="O29" s="24">
        <f t="shared" si="52"/>
        <v>-0.199999999949796</v>
      </c>
      <c r="P29" s="25">
        <f t="shared" si="53"/>
        <v>-3.7999999999556202</v>
      </c>
      <c r="Q29" s="26">
        <f t="shared" si="54"/>
        <v>-3.9999999989959199E-2</v>
      </c>
      <c r="R29" s="41"/>
      <c r="S29" s="21">
        <f t="shared" si="35"/>
        <v>45031</v>
      </c>
      <c r="T29" s="42">
        <v>9.1311</v>
      </c>
      <c r="U29" s="43">
        <f t="shared" si="55"/>
        <v>0.10000000001930701</v>
      </c>
      <c r="V29" s="44">
        <f t="shared" si="56"/>
        <v>-3.6000000000004899</v>
      </c>
      <c r="W29" s="45">
        <f t="shared" si="57"/>
        <v>-2.0000000003861401E-2</v>
      </c>
      <c r="X29" s="6">
        <v>12.0036</v>
      </c>
      <c r="Y29" s="43">
        <f t="shared" si="58"/>
        <v>9.99999999997669E-2</v>
      </c>
      <c r="Z29" s="44">
        <f t="shared" si="59"/>
        <v>-3.80000000000003</v>
      </c>
      <c r="AA29" s="45">
        <f t="shared" si="60"/>
        <v>1.9999999999953399E-2</v>
      </c>
      <c r="AB29" s="49">
        <v>8.7307000000000006</v>
      </c>
      <c r="AC29" s="43">
        <f t="shared" si="61"/>
        <v>9.99999999997669E-2</v>
      </c>
      <c r="AD29" s="44">
        <f t="shared" si="62"/>
        <v>-3.4999999999989502</v>
      </c>
      <c r="AE29" s="45">
        <f t="shared" si="63"/>
        <v>1.9999999999953399E-2</v>
      </c>
      <c r="AF29" s="50">
        <v>80846</v>
      </c>
      <c r="AG29" s="58">
        <f t="shared" si="45"/>
        <v>126</v>
      </c>
      <c r="AH29" s="59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65">
        <f>F29-F18</f>
        <v>-1.1999999999261499</v>
      </c>
      <c r="F30" s="33">
        <f>K29-K18</f>
        <v>-1.39999999998963</v>
      </c>
      <c r="G30" s="33">
        <f>P29-P18</f>
        <v>-1.8000000000029099</v>
      </c>
      <c r="H30" s="33">
        <f>F29</f>
        <v>-3.2999999999674401</v>
      </c>
      <c r="I30" s="66">
        <f>K29</f>
        <v>-3.69999999998072</v>
      </c>
      <c r="J30" s="65">
        <f>P29</f>
        <v>-3.7999999999556202</v>
      </c>
      <c r="K30" s="33">
        <f>(P29-P18)/26</f>
        <v>-6.9230769230881201E-2</v>
      </c>
      <c r="L30" s="26"/>
      <c r="N30" s="35"/>
      <c r="O30" s="24"/>
      <c r="P30" s="25"/>
      <c r="Q30" s="26"/>
      <c r="R30" s="41"/>
      <c r="S30" s="21"/>
      <c r="T30" s="42"/>
      <c r="U30" s="65">
        <f>V29-V18</f>
        <v>-1.4999999999894</v>
      </c>
      <c r="V30" s="33">
        <f>Z29-Z18</f>
        <v>-1.50000000000006</v>
      </c>
      <c r="W30" s="33">
        <f>AD29-AD18</f>
        <v>-1.50000000000006</v>
      </c>
      <c r="X30" s="33">
        <f>V29</f>
        <v>-3.6000000000004899</v>
      </c>
      <c r="Y30" s="65">
        <f>Z29</f>
        <v>-3.80000000000003</v>
      </c>
      <c r="Z30" s="33">
        <f>AD29</f>
        <v>-3.4999999999989502</v>
      </c>
      <c r="AA30" s="33">
        <f>(AD29-AD18)/26</f>
        <v>-5.7692307692309902E-2</v>
      </c>
      <c r="AB30" s="49"/>
      <c r="AC30" s="43"/>
      <c r="AD30" s="44"/>
      <c r="AE30" s="45"/>
      <c r="AF30" s="50"/>
      <c r="AG30" s="58"/>
      <c r="AH30" s="61"/>
      <c r="AI30" s="60"/>
      <c r="AJ30"/>
      <c r="AK30"/>
      <c r="AL30"/>
      <c r="AM30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7"/>
      <c r="D33" s="23"/>
      <c r="E33" s="24"/>
      <c r="F33" s="25"/>
      <c r="G33" s="26"/>
      <c r="I33" s="35"/>
      <c r="J33" s="24"/>
      <c r="K33" s="25"/>
      <c r="L33" s="26"/>
      <c r="N33" s="35"/>
      <c r="O33" s="24"/>
      <c r="P33" s="25"/>
      <c r="Q33" s="26"/>
      <c r="R33" s="41"/>
      <c r="S33" s="21"/>
      <c r="T33" s="42"/>
      <c r="U33" s="43"/>
      <c r="V33" s="44"/>
      <c r="W33" s="45"/>
      <c r="X33" s="29"/>
      <c r="Y33" s="43"/>
      <c r="Z33" s="44"/>
      <c r="AA33" s="45"/>
      <c r="AB33" s="49"/>
      <c r="AC33" s="43"/>
      <c r="AD33" s="44"/>
      <c r="AE33" s="45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21"/>
      <c r="B34" s="22"/>
      <c r="C34" s="27"/>
      <c r="D34" s="23"/>
      <c r="E34" s="24"/>
      <c r="F34" s="25"/>
      <c r="G34" s="26"/>
      <c r="I34" s="35"/>
      <c r="J34" s="24"/>
      <c r="K34" s="25"/>
      <c r="L34" s="26"/>
      <c r="N34" s="35"/>
      <c r="O34" s="24"/>
      <c r="P34" s="25"/>
      <c r="Q34" s="26"/>
      <c r="R34" s="41"/>
      <c r="S34" s="21"/>
      <c r="T34" s="42"/>
      <c r="U34" s="43"/>
      <c r="V34" s="44"/>
      <c r="W34" s="45"/>
      <c r="X34" s="29"/>
      <c r="Y34" s="43"/>
      <c r="Z34" s="44"/>
      <c r="AA34" s="45"/>
      <c r="AB34" s="49"/>
      <c r="AC34" s="43"/>
      <c r="AD34" s="44"/>
      <c r="AE34" s="45"/>
      <c r="AF34" s="50"/>
      <c r="AG34" s="58"/>
      <c r="AH34" s="61"/>
      <c r="AI34" s="60"/>
      <c r="AJ34" s="61"/>
      <c r="AK34" s="62"/>
      <c r="AL34" s="60"/>
      <c r="AM34" s="64"/>
    </row>
    <row r="35" spans="1:39">
      <c r="A35" s="21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61"/>
      <c r="AI35" s="60"/>
      <c r="AJ35" s="61"/>
      <c r="AK35" s="62"/>
      <c r="AL35" s="60"/>
      <c r="AM35" s="64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29"/>
      <c r="Y37" s="24"/>
      <c r="Z37" s="25"/>
      <c r="AA37" s="26"/>
      <c r="AB37" s="29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6"/>
      <c r="U39" s="24"/>
      <c r="V39" s="25"/>
      <c r="W39" s="26"/>
      <c r="X39" s="47"/>
      <c r="Y39" s="24"/>
      <c r="Z39" s="25"/>
      <c r="AA39" s="26"/>
      <c r="AB39" s="47"/>
      <c r="AC39" s="24"/>
      <c r="AD39" s="25"/>
      <c r="AE39" s="26"/>
      <c r="AF39" s="50"/>
      <c r="AG39" s="58"/>
      <c r="AH39" s="51"/>
    </row>
    <row r="40" spans="1:39">
      <c r="A40" s="30"/>
      <c r="B40" s="22"/>
      <c r="C40" s="22"/>
      <c r="D40" s="28"/>
      <c r="E40" s="24"/>
      <c r="F40" s="25"/>
      <c r="G40" s="26"/>
      <c r="H40" s="29"/>
      <c r="I40" s="35"/>
      <c r="J40" s="24"/>
      <c r="K40" s="25"/>
      <c r="L40" s="26"/>
      <c r="M40" s="29"/>
      <c r="N40" s="35"/>
      <c r="O40" s="24"/>
      <c r="P40" s="25"/>
      <c r="Q40" s="26"/>
      <c r="R40" s="41"/>
      <c r="S40" s="30"/>
      <c r="T40" s="46"/>
      <c r="U40" s="24"/>
      <c r="V40" s="25"/>
      <c r="W40" s="26"/>
      <c r="X40" s="29"/>
      <c r="Y40" s="24"/>
      <c r="Z40" s="25"/>
      <c r="AA40" s="26"/>
      <c r="AB40" s="29"/>
      <c r="AC40" s="24"/>
      <c r="AD40" s="25"/>
      <c r="AE40" s="26"/>
      <c r="AF40" s="50"/>
      <c r="AG40" s="58"/>
      <c r="AH40" s="51"/>
    </row>
    <row r="41" spans="1:39">
      <c r="A41" s="30"/>
      <c r="B41" s="22"/>
      <c r="C41" s="22"/>
      <c r="D41" s="28"/>
      <c r="E41" s="24"/>
      <c r="F41" s="25"/>
      <c r="G41" s="26"/>
      <c r="H41" s="29"/>
      <c r="I41" s="35"/>
      <c r="J41" s="24"/>
      <c r="K41" s="25"/>
      <c r="L41" s="26"/>
      <c r="M41" s="29"/>
      <c r="N41" s="35"/>
      <c r="O41" s="24"/>
      <c r="P41" s="25"/>
      <c r="Q41" s="26"/>
      <c r="R41" s="41"/>
      <c r="S41" s="30"/>
      <c r="T41" s="42"/>
      <c r="U41" s="24"/>
      <c r="V41" s="25"/>
      <c r="W41" s="26"/>
      <c r="X41" s="29"/>
      <c r="Y41" s="24"/>
      <c r="Z41" s="25"/>
      <c r="AA41" s="26"/>
      <c r="AB41" s="29"/>
      <c r="AC41" s="24"/>
      <c r="AD41" s="25"/>
      <c r="AE41" s="26"/>
      <c r="AF41" s="26"/>
      <c r="AG41" s="26"/>
      <c r="AH41" s="51"/>
    </row>
    <row r="42" spans="1:39">
      <c r="A42" s="31"/>
      <c r="B42" s="30"/>
      <c r="C42" s="32"/>
      <c r="E42" s="24"/>
      <c r="F42" s="25"/>
      <c r="G42" s="26"/>
      <c r="H42" s="29"/>
      <c r="J42" s="24"/>
      <c r="K42" s="25"/>
      <c r="L42" s="26"/>
      <c r="M42" s="29"/>
      <c r="O42" s="24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/>
      <c r="AC42" s="33"/>
      <c r="AD42" s="25"/>
      <c r="AE42" s="26"/>
      <c r="AF42" s="26"/>
      <c r="AG42" s="26"/>
      <c r="AH42" s="51"/>
    </row>
    <row r="43" spans="1:39">
      <c r="A43" s="31"/>
      <c r="B43" s="30"/>
      <c r="C43" s="32"/>
      <c r="D43" s="32"/>
      <c r="E43" s="24"/>
      <c r="F43" s="25"/>
      <c r="G43" s="26"/>
      <c r="H43" s="29"/>
      <c r="I43" s="29"/>
      <c r="J43" s="24"/>
      <c r="K43" s="25"/>
      <c r="L43" s="26"/>
      <c r="M43" s="29"/>
      <c r="O43" s="24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>
        <v>3</v>
      </c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B50" s="31"/>
      <c r="C50" s="32"/>
      <c r="D50" s="32"/>
      <c r="E50" s="33"/>
      <c r="F50" s="25"/>
      <c r="G50" s="26"/>
      <c r="H50" s="29"/>
      <c r="I50" s="29"/>
      <c r="J50" s="33"/>
      <c r="K50" s="25"/>
      <c r="L50" s="26"/>
      <c r="M50" s="29"/>
      <c r="N50" s="29"/>
      <c r="O50" s="33"/>
      <c r="P50" s="25"/>
      <c r="Q50" s="26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B51" s="31"/>
      <c r="C51" s="32"/>
      <c r="D51" s="32"/>
      <c r="E51" s="33"/>
      <c r="F51" s="25"/>
      <c r="G51" s="26"/>
      <c r="H51" s="29"/>
      <c r="I51" s="29"/>
      <c r="J51" s="33"/>
      <c r="K51" s="25"/>
      <c r="L51" s="26"/>
      <c r="M51" s="29"/>
      <c r="N51" s="29"/>
      <c r="O51" s="33"/>
      <c r="P51" s="25"/>
      <c r="Q51" s="26"/>
      <c r="R51" s="41"/>
      <c r="S51" s="30"/>
      <c r="T51" s="42"/>
      <c r="U51" s="33"/>
      <c r="V51" s="25"/>
      <c r="W51" s="26"/>
      <c r="X51" s="29"/>
      <c r="Y51" s="33"/>
      <c r="Z51" s="25"/>
      <c r="AA51" s="26"/>
      <c r="AB51" s="29"/>
      <c r="AC51" s="33"/>
      <c r="AD51" s="25"/>
      <c r="AE51" s="26"/>
      <c r="AF51" s="26"/>
      <c r="AG51" s="26"/>
      <c r="AH51" s="51"/>
    </row>
    <row r="52" spans="1:34">
      <c r="A52" s="31"/>
      <c r="C52" s="32"/>
      <c r="H52" s="29"/>
      <c r="M52" s="29"/>
      <c r="R52" s="41"/>
      <c r="S52" s="30"/>
      <c r="T52" s="42"/>
      <c r="U52" s="33"/>
      <c r="V52" s="25"/>
      <c r="W52" s="26"/>
      <c r="X52" s="29"/>
      <c r="Y52" s="33"/>
      <c r="Z52" s="25"/>
      <c r="AA52" s="26"/>
      <c r="AB52" s="29"/>
      <c r="AC52" s="33"/>
      <c r="AD52" s="25"/>
      <c r="AE52" s="26"/>
      <c r="AF52" s="26"/>
      <c r="AG52" s="26"/>
      <c r="AH52" s="51"/>
    </row>
    <row r="53" spans="1:34">
      <c r="A53" s="31"/>
      <c r="C53" s="32"/>
      <c r="H53" s="29"/>
      <c r="M53" s="29"/>
      <c r="R53" s="41"/>
      <c r="AH53" s="51"/>
    </row>
    <row r="54" spans="1:34">
      <c r="A54" s="31"/>
      <c r="C54" s="32"/>
      <c r="H54" s="29"/>
      <c r="M54" s="29"/>
      <c r="R54" s="41"/>
      <c r="AH54" s="51"/>
    </row>
    <row r="55" spans="1:34">
      <c r="A55" s="31"/>
      <c r="C55" s="32"/>
      <c r="H55" s="29"/>
      <c r="M55" s="29"/>
      <c r="R55" s="41"/>
      <c r="AH55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sheetPr>
    <tabColor rgb="FF00B050"/>
  </sheetPr>
  <dimension ref="A1:AV53"/>
  <sheetViews>
    <sheetView topLeftCell="P28" workbookViewId="0">
      <selection activeCell="U27" sqref="U27:AA27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86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45014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45014</v>
      </c>
      <c r="B6" s="22">
        <v>791.80629999999996</v>
      </c>
      <c r="C6" s="6">
        <v>5.4943</v>
      </c>
      <c r="D6" s="23">
        <f t="shared" ref="D6:D24" si="0">C6+B6</f>
        <v>797.30060000000003</v>
      </c>
      <c r="E6" s="24">
        <v>0</v>
      </c>
      <c r="F6" s="25">
        <v>0</v>
      </c>
      <c r="G6" s="26">
        <v>0</v>
      </c>
      <c r="H6" s="6">
        <v>6.5198</v>
      </c>
      <c r="I6" s="35">
        <f t="shared" ref="I6:I24" si="1">H6+B6</f>
        <v>798.3261</v>
      </c>
      <c r="J6" s="24">
        <v>0</v>
      </c>
      <c r="K6" s="25">
        <v>0</v>
      </c>
      <c r="L6" s="26">
        <v>0</v>
      </c>
      <c r="M6" s="6">
        <v>5.6672000000000002</v>
      </c>
      <c r="N6" s="35">
        <f t="shared" ref="N6:N24" si="2">M6+B6</f>
        <v>797.47349999999994</v>
      </c>
      <c r="O6" s="24">
        <v>0</v>
      </c>
      <c r="P6" s="25">
        <v>0</v>
      </c>
      <c r="Q6" s="26">
        <v>0</v>
      </c>
      <c r="R6" s="41"/>
      <c r="S6" s="21">
        <f t="shared" ref="S6:S24" si="3">A6</f>
        <v>45014</v>
      </c>
      <c r="T6" s="42">
        <v>8.2449999999999992</v>
      </c>
      <c r="U6" s="43">
        <v>0</v>
      </c>
      <c r="V6" s="44">
        <v>0</v>
      </c>
      <c r="W6" s="45">
        <f>U6/(S6-S11)</f>
        <v>0</v>
      </c>
      <c r="X6" s="6">
        <v>11.928000000000001</v>
      </c>
      <c r="Y6" s="43">
        <v>0</v>
      </c>
      <c r="Z6" s="44">
        <v>0</v>
      </c>
      <c r="AA6" s="45">
        <v>0</v>
      </c>
      <c r="AB6" s="49">
        <v>8.7047000000000008</v>
      </c>
      <c r="AC6" s="43">
        <v>0</v>
      </c>
      <c r="AD6" s="44">
        <v>0</v>
      </c>
      <c r="AE6" s="45">
        <v>0</v>
      </c>
      <c r="AF6" s="50">
        <v>80770</v>
      </c>
      <c r="AG6" s="58">
        <f>AF6-80764</f>
        <v>6</v>
      </c>
      <c r="AH6" s="59"/>
      <c r="AI6" s="60"/>
      <c r="AJ6" s="61"/>
      <c r="AK6" s="62"/>
      <c r="AL6" s="52"/>
      <c r="AM6" s="52"/>
    </row>
    <row r="7" spans="1:48">
      <c r="A7" s="21">
        <v>45015</v>
      </c>
      <c r="B7" s="22">
        <v>791.80629999999996</v>
      </c>
      <c r="C7" s="6">
        <v>5.4939999999999998</v>
      </c>
      <c r="D7" s="23">
        <f t="shared" si="0"/>
        <v>797.30029999999999</v>
      </c>
      <c r="E7" s="24">
        <f t="shared" ref="E7:E24" si="4">(D7-D6)*1000</f>
        <v>-0.29999999992469401</v>
      </c>
      <c r="F7" s="25">
        <f t="shared" ref="F7:F24" si="5">F6+E7</f>
        <v>-0.29999999992469401</v>
      </c>
      <c r="G7" s="26">
        <f t="shared" ref="G7:G24" si="6">E7/(A7-A6)</f>
        <v>-0.29999999992469401</v>
      </c>
      <c r="H7" s="6">
        <v>6.5195999999999996</v>
      </c>
      <c r="I7" s="35">
        <f t="shared" si="1"/>
        <v>798.32590000000005</v>
      </c>
      <c r="J7" s="24">
        <f t="shared" ref="J7:J24" si="7">(I7-I6)*1000</f>
        <v>-0.20000000006348301</v>
      </c>
      <c r="K7" s="25">
        <f t="shared" ref="K7:K24" si="8">K6+J7</f>
        <v>-0.20000000006348301</v>
      </c>
      <c r="L7" s="26">
        <f t="shared" ref="L7:L24" si="9">J7/(A7-A6)</f>
        <v>-0.20000000006348301</v>
      </c>
      <c r="M7" s="6">
        <v>5.6669999999999998</v>
      </c>
      <c r="N7" s="35">
        <f t="shared" si="2"/>
        <v>797.47329999999999</v>
      </c>
      <c r="O7" s="24">
        <f t="shared" ref="O7:O24" si="10">(N7-N6)*1000</f>
        <v>-0.199999999949796</v>
      </c>
      <c r="P7" s="25">
        <f t="shared" ref="P7:P24" si="11">P6+O7</f>
        <v>-0.199999999949796</v>
      </c>
      <c r="Q7" s="26">
        <f t="shared" ref="Q7:Q24" si="12">O7/(A7-A6)</f>
        <v>-0.199999999949796</v>
      </c>
      <c r="R7" s="41"/>
      <c r="S7" s="21">
        <f t="shared" si="3"/>
        <v>45015</v>
      </c>
      <c r="T7" s="42">
        <v>8.2451000000000008</v>
      </c>
      <c r="U7" s="43">
        <f t="shared" ref="U7:U24" si="13">(T7-T6)*1000</f>
        <v>0.10000000000154299</v>
      </c>
      <c r="V7" s="44">
        <f t="shared" ref="V7:V24" si="14">V6+U7</f>
        <v>0.10000000000154299</v>
      </c>
      <c r="W7" s="45">
        <f t="shared" ref="W7:W24" si="15">U7/(S6-S7)</f>
        <v>-0.10000000000154299</v>
      </c>
      <c r="X7" s="6">
        <v>11.9278</v>
      </c>
      <c r="Y7" s="43">
        <f t="shared" ref="Y7:Y24" si="16">(X7-X6)*1000</f>
        <v>-0.20000000000130999</v>
      </c>
      <c r="Z7" s="44">
        <f t="shared" ref="Z7:Z24" si="17">Z6+Y7</f>
        <v>-0.20000000000130999</v>
      </c>
      <c r="AA7" s="45">
        <f t="shared" ref="AA7:AA24" si="18">Y7/(S7-S6)</f>
        <v>-0.20000000000130999</v>
      </c>
      <c r="AB7" s="49">
        <v>8.7044999999999995</v>
      </c>
      <c r="AC7" s="43">
        <f t="shared" ref="AC7:AC24" si="19">(AB7-AB6)*1000</f>
        <v>-0.20000000000130999</v>
      </c>
      <c r="AD7" s="44">
        <f t="shared" ref="AD7:AD24" si="20">AD6+AC7</f>
        <v>-0.20000000000130999</v>
      </c>
      <c r="AE7" s="45">
        <f t="shared" ref="AE7:AE24" si="21">AC7/(S7-S6)</f>
        <v>-0.20000000000130999</v>
      </c>
      <c r="AF7" s="50">
        <v>80773</v>
      </c>
      <c r="AG7" s="58">
        <f t="shared" ref="AG7:AG24" si="22">AF7-80764</f>
        <v>9</v>
      </c>
      <c r="AH7" s="59"/>
      <c r="AI7" s="60"/>
      <c r="AJ7" s="61"/>
      <c r="AK7" s="62"/>
      <c r="AL7" s="52"/>
      <c r="AM7" s="52"/>
    </row>
    <row r="8" spans="1:48">
      <c r="A8" s="21">
        <v>45016</v>
      </c>
      <c r="B8" s="22">
        <v>791.80629999999996</v>
      </c>
      <c r="C8" s="6">
        <v>5.4941000000000004</v>
      </c>
      <c r="D8" s="23">
        <f t="shared" si="0"/>
        <v>797.30039999999997</v>
      </c>
      <c r="E8" s="24">
        <f t="shared" si="4"/>
        <v>9.9999999974897905E-2</v>
      </c>
      <c r="F8" s="25">
        <f t="shared" si="5"/>
        <v>-0.199999999949796</v>
      </c>
      <c r="G8" s="26">
        <f t="shared" si="6"/>
        <v>9.9999999974897905E-2</v>
      </c>
      <c r="H8" s="6">
        <v>6.5194000000000001</v>
      </c>
      <c r="I8" s="35">
        <f t="shared" si="1"/>
        <v>798.32569999999998</v>
      </c>
      <c r="J8" s="24">
        <f t="shared" si="7"/>
        <v>-0.199999999949796</v>
      </c>
      <c r="K8" s="25">
        <f t="shared" si="8"/>
        <v>-0.40000000001327901</v>
      </c>
      <c r="L8" s="26">
        <f t="shared" si="9"/>
        <v>-0.199999999949796</v>
      </c>
      <c r="M8" s="6">
        <v>5.6670999999999996</v>
      </c>
      <c r="N8" s="35">
        <f t="shared" si="2"/>
        <v>797.47339999999997</v>
      </c>
      <c r="O8" s="24">
        <f t="shared" si="10"/>
        <v>9.9999999974897905E-2</v>
      </c>
      <c r="P8" s="25">
        <f t="shared" si="11"/>
        <v>-9.9999999974897905E-2</v>
      </c>
      <c r="Q8" s="26">
        <f t="shared" si="12"/>
        <v>9.9999999974897905E-2</v>
      </c>
      <c r="R8" s="41"/>
      <c r="S8" s="21">
        <f t="shared" si="3"/>
        <v>45016</v>
      </c>
      <c r="T8" s="42">
        <v>8.2448999999999995</v>
      </c>
      <c r="U8" s="43">
        <f t="shared" si="13"/>
        <v>-0.20000000000130999</v>
      </c>
      <c r="V8" s="44">
        <f t="shared" si="14"/>
        <v>-9.99999999997669E-2</v>
      </c>
      <c r="W8" s="45">
        <f t="shared" si="15"/>
        <v>0.20000000000130999</v>
      </c>
      <c r="X8" s="6">
        <v>11.9275</v>
      </c>
      <c r="Y8" s="43">
        <f t="shared" si="16"/>
        <v>-0.29999999999930099</v>
      </c>
      <c r="Z8" s="44">
        <f t="shared" si="17"/>
        <v>-0.50000000000061096</v>
      </c>
      <c r="AA8" s="45">
        <f t="shared" si="18"/>
        <v>-0.29999999999930099</v>
      </c>
      <c r="AB8" s="49">
        <v>8.7043999999999997</v>
      </c>
      <c r="AC8" s="43">
        <f t="shared" si="19"/>
        <v>-9.99999999997669E-2</v>
      </c>
      <c r="AD8" s="44">
        <f t="shared" si="20"/>
        <v>-0.30000000000107702</v>
      </c>
      <c r="AE8" s="45">
        <f t="shared" si="21"/>
        <v>-9.99999999997669E-2</v>
      </c>
      <c r="AF8" s="50">
        <v>80776</v>
      </c>
      <c r="AG8" s="58">
        <f t="shared" si="22"/>
        <v>12</v>
      </c>
      <c r="AH8" s="59"/>
      <c r="AI8" s="60"/>
      <c r="AJ8" s="61"/>
      <c r="AK8" s="62"/>
      <c r="AL8" s="52"/>
      <c r="AM8" s="52"/>
    </row>
    <row r="9" spans="1:48">
      <c r="A9" s="21">
        <v>45017</v>
      </c>
      <c r="B9" s="22">
        <v>791.80629999999996</v>
      </c>
      <c r="C9" s="6">
        <v>5.4939</v>
      </c>
      <c r="D9" s="23">
        <f t="shared" si="0"/>
        <v>797.30020000000002</v>
      </c>
      <c r="E9" s="24">
        <f t="shared" si="4"/>
        <v>-0.199999999949796</v>
      </c>
      <c r="F9" s="25">
        <f t="shared" si="5"/>
        <v>-0.39999999989959201</v>
      </c>
      <c r="G9" s="26">
        <f t="shared" si="6"/>
        <v>-0.199999999949796</v>
      </c>
      <c r="H9" s="6">
        <v>6.5194999999999999</v>
      </c>
      <c r="I9" s="35">
        <f t="shared" si="1"/>
        <v>798.32579999999996</v>
      </c>
      <c r="J9" s="24">
        <f t="shared" si="7"/>
        <v>9.9999999974897905E-2</v>
      </c>
      <c r="K9" s="25">
        <f t="shared" si="8"/>
        <v>-0.30000000003838101</v>
      </c>
      <c r="L9" s="26">
        <f t="shared" si="9"/>
        <v>9.9999999974897905E-2</v>
      </c>
      <c r="M9" s="6">
        <v>5.6669</v>
      </c>
      <c r="N9" s="35">
        <f t="shared" si="2"/>
        <v>797.47320000000002</v>
      </c>
      <c r="O9" s="24">
        <f t="shared" si="10"/>
        <v>-0.199999999949796</v>
      </c>
      <c r="P9" s="25">
        <f t="shared" si="11"/>
        <v>-0.29999999992469401</v>
      </c>
      <c r="Q9" s="26">
        <f t="shared" si="12"/>
        <v>-0.199999999949796</v>
      </c>
      <c r="R9" s="41"/>
      <c r="S9" s="21">
        <f t="shared" si="3"/>
        <v>45017</v>
      </c>
      <c r="T9" s="42">
        <v>8.2446999999999999</v>
      </c>
      <c r="U9" s="43">
        <f t="shared" si="13"/>
        <v>-0.19999999999953399</v>
      </c>
      <c r="V9" s="44">
        <f t="shared" si="14"/>
        <v>-0.29999999999930099</v>
      </c>
      <c r="W9" s="45">
        <f t="shared" si="15"/>
        <v>0.19999999999953399</v>
      </c>
      <c r="X9" s="6">
        <v>11.927300000000001</v>
      </c>
      <c r="Y9" s="43">
        <f t="shared" si="16"/>
        <v>-0.19999999999953399</v>
      </c>
      <c r="Z9" s="44">
        <f t="shared" si="17"/>
        <v>-0.70000000000014495</v>
      </c>
      <c r="AA9" s="45">
        <f t="shared" si="18"/>
        <v>-0.19999999999953399</v>
      </c>
      <c r="AB9" s="49">
        <v>8.7041000000000004</v>
      </c>
      <c r="AC9" s="43">
        <f t="shared" si="19"/>
        <v>-0.29999999999930099</v>
      </c>
      <c r="AD9" s="44">
        <f t="shared" si="20"/>
        <v>-0.60000000000037801</v>
      </c>
      <c r="AE9" s="45">
        <f t="shared" si="21"/>
        <v>-0.29999999999930099</v>
      </c>
      <c r="AF9" s="50">
        <v>80779</v>
      </c>
      <c r="AG9" s="58">
        <f t="shared" si="22"/>
        <v>15</v>
      </c>
      <c r="AH9" s="61"/>
      <c r="AI9" s="60"/>
      <c r="AJ9"/>
      <c r="AK9"/>
      <c r="AL9"/>
      <c r="AM9"/>
    </row>
    <row r="10" spans="1:48">
      <c r="A10" s="21">
        <v>45018</v>
      </c>
      <c r="B10" s="22">
        <v>791.80629999999996</v>
      </c>
      <c r="C10" s="6">
        <v>5.4936999999999996</v>
      </c>
      <c r="D10" s="23">
        <f t="shared" si="0"/>
        <v>797.3</v>
      </c>
      <c r="E10" s="24">
        <f t="shared" si="4"/>
        <v>-0.20000000006348301</v>
      </c>
      <c r="F10" s="25">
        <f t="shared" si="5"/>
        <v>-0.59999999996307496</v>
      </c>
      <c r="G10" s="26">
        <f t="shared" si="6"/>
        <v>-0.20000000006348301</v>
      </c>
      <c r="H10" s="6">
        <v>6.5190000000000001</v>
      </c>
      <c r="I10" s="35">
        <f t="shared" si="1"/>
        <v>798.32529999999997</v>
      </c>
      <c r="J10" s="24">
        <f t="shared" si="7"/>
        <v>-0.49999999998817701</v>
      </c>
      <c r="K10" s="25">
        <f t="shared" si="8"/>
        <v>-0.80000000002655702</v>
      </c>
      <c r="L10" s="26">
        <f t="shared" si="9"/>
        <v>-0.49999999998817701</v>
      </c>
      <c r="M10" s="6">
        <v>5.6666999999999996</v>
      </c>
      <c r="N10" s="35">
        <f t="shared" si="2"/>
        <v>797.47299999999996</v>
      </c>
      <c r="O10" s="24">
        <f t="shared" si="10"/>
        <v>-0.20000000006348301</v>
      </c>
      <c r="P10" s="25">
        <f t="shared" si="11"/>
        <v>-0.49999999998817701</v>
      </c>
      <c r="Q10" s="26">
        <f t="shared" si="12"/>
        <v>-0.20000000006348301</v>
      </c>
      <c r="R10" s="41"/>
      <c r="S10" s="21">
        <f t="shared" si="3"/>
        <v>45018</v>
      </c>
      <c r="T10" s="42">
        <v>8.2446000000000002</v>
      </c>
      <c r="U10" s="43">
        <f t="shared" si="13"/>
        <v>-9.99999999997669E-2</v>
      </c>
      <c r="V10" s="44">
        <f t="shared" si="14"/>
        <v>-0.39999999999906799</v>
      </c>
      <c r="W10" s="45">
        <f t="shared" si="15"/>
        <v>9.99999999997669E-2</v>
      </c>
      <c r="X10" s="6">
        <v>11.927099999999999</v>
      </c>
      <c r="Y10" s="43">
        <f t="shared" si="16"/>
        <v>-0.20000000000130999</v>
      </c>
      <c r="Z10" s="44">
        <f t="shared" si="17"/>
        <v>-0.90000000000145497</v>
      </c>
      <c r="AA10" s="45">
        <f t="shared" si="18"/>
        <v>-0.20000000000130999</v>
      </c>
      <c r="AB10" s="49">
        <v>8.7039000000000009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80782</v>
      </c>
      <c r="AG10" s="58">
        <f t="shared" si="22"/>
        <v>18</v>
      </c>
      <c r="AH10" s="59"/>
      <c r="AI10" s="60"/>
      <c r="AJ10" s="61"/>
      <c r="AK10" s="62"/>
      <c r="AL10" s="52"/>
      <c r="AM10" s="52"/>
    </row>
    <row r="11" spans="1:48">
      <c r="A11" s="21">
        <v>45019</v>
      </c>
      <c r="B11" s="22">
        <v>791.80629999999996</v>
      </c>
      <c r="C11" s="6">
        <v>5.4935999999999998</v>
      </c>
      <c r="D11" s="23">
        <f t="shared" si="0"/>
        <v>797.29989999999998</v>
      </c>
      <c r="E11" s="24">
        <f t="shared" si="4"/>
        <v>-9.9999999974897905E-2</v>
      </c>
      <c r="F11" s="25">
        <f t="shared" si="5"/>
        <v>-0.69999999993797202</v>
      </c>
      <c r="G11" s="26">
        <f t="shared" si="6"/>
        <v>-9.9999999974897905E-2</v>
      </c>
      <c r="H11" s="6">
        <v>6.5190999999999999</v>
      </c>
      <c r="I11" s="35">
        <f t="shared" si="1"/>
        <v>798.32539999999995</v>
      </c>
      <c r="J11" s="24">
        <f t="shared" si="7"/>
        <v>9.9999999974897905E-2</v>
      </c>
      <c r="K11" s="25">
        <f t="shared" si="8"/>
        <v>-0.70000000005165897</v>
      </c>
      <c r="L11" s="26">
        <f t="shared" si="9"/>
        <v>9.9999999974897905E-2</v>
      </c>
      <c r="M11" s="6">
        <v>5.6665999999999999</v>
      </c>
      <c r="N11" s="35">
        <f t="shared" si="2"/>
        <v>797.47289999999998</v>
      </c>
      <c r="O11" s="24">
        <f t="shared" si="10"/>
        <v>-9.9999999974897905E-2</v>
      </c>
      <c r="P11" s="25">
        <f t="shared" si="11"/>
        <v>-0.59999999996307496</v>
      </c>
      <c r="Q11" s="26">
        <f t="shared" si="12"/>
        <v>-9.9999999974897905E-2</v>
      </c>
      <c r="R11" s="41"/>
      <c r="S11" s="21">
        <f t="shared" si="3"/>
        <v>45019</v>
      </c>
      <c r="T11" s="42">
        <v>8.2443000000000008</v>
      </c>
      <c r="U11" s="43">
        <f t="shared" si="13"/>
        <v>-0.29999999999930099</v>
      </c>
      <c r="V11" s="44">
        <f t="shared" si="14"/>
        <v>-0.69999999999836904</v>
      </c>
      <c r="W11" s="45">
        <f t="shared" si="15"/>
        <v>0.29999999999930099</v>
      </c>
      <c r="X11" s="6">
        <v>11.927199999999999</v>
      </c>
      <c r="Y11" s="43">
        <f t="shared" si="16"/>
        <v>9.99999999997669E-2</v>
      </c>
      <c r="Z11" s="44">
        <f t="shared" si="17"/>
        <v>-0.80000000000168803</v>
      </c>
      <c r="AA11" s="45">
        <f t="shared" si="18"/>
        <v>9.99999999997669E-2</v>
      </c>
      <c r="AB11" s="49">
        <v>8.7040000000000006</v>
      </c>
      <c r="AC11" s="43">
        <f t="shared" si="19"/>
        <v>9.99999999997669E-2</v>
      </c>
      <c r="AD11" s="44">
        <f t="shared" si="20"/>
        <v>-0.70000000000014495</v>
      </c>
      <c r="AE11" s="45">
        <f t="shared" si="21"/>
        <v>9.99999999997669E-2</v>
      </c>
      <c r="AF11" s="50">
        <v>80785</v>
      </c>
      <c r="AG11" s="58">
        <f t="shared" si="22"/>
        <v>21</v>
      </c>
      <c r="AH11" s="61"/>
      <c r="AI11" s="60"/>
      <c r="AJ11"/>
      <c r="AK11"/>
      <c r="AL11"/>
      <c r="AM11"/>
    </row>
    <row r="12" spans="1:48">
      <c r="A12" s="21">
        <v>45020</v>
      </c>
      <c r="B12" s="22">
        <v>791.80629999999996</v>
      </c>
      <c r="C12" s="6">
        <v>5.4932999999999996</v>
      </c>
      <c r="D12" s="23">
        <f t="shared" si="0"/>
        <v>797.29960000000005</v>
      </c>
      <c r="E12" s="24">
        <f t="shared" si="4"/>
        <v>-0.30000000003838101</v>
      </c>
      <c r="F12" s="25">
        <f t="shared" si="5"/>
        <v>-0.99999999997635303</v>
      </c>
      <c r="G12" s="26">
        <f t="shared" si="6"/>
        <v>-0.30000000003838101</v>
      </c>
      <c r="H12" s="6">
        <v>6.5186000000000002</v>
      </c>
      <c r="I12" s="35">
        <f t="shared" si="1"/>
        <v>798.32489999999996</v>
      </c>
      <c r="J12" s="24">
        <f t="shared" si="7"/>
        <v>-0.49999999998817701</v>
      </c>
      <c r="K12" s="25">
        <f t="shared" si="8"/>
        <v>-1.2000000000398401</v>
      </c>
      <c r="L12" s="26">
        <f t="shared" si="9"/>
        <v>-0.49999999998817701</v>
      </c>
      <c r="M12" s="6">
        <v>5.6662999999999997</v>
      </c>
      <c r="N12" s="35">
        <f t="shared" si="2"/>
        <v>797.47260000000006</v>
      </c>
      <c r="O12" s="24">
        <f t="shared" si="10"/>
        <v>-0.30000000003838101</v>
      </c>
      <c r="P12" s="25">
        <f t="shared" si="11"/>
        <v>-0.90000000000145497</v>
      </c>
      <c r="Q12" s="26">
        <f t="shared" si="12"/>
        <v>-0.30000000003838101</v>
      </c>
      <c r="R12" s="41"/>
      <c r="S12" s="21">
        <f t="shared" si="3"/>
        <v>45020</v>
      </c>
      <c r="T12" s="42">
        <v>8.2440999999999907</v>
      </c>
      <c r="U12" s="43">
        <f t="shared" si="13"/>
        <v>-0.200000000010192</v>
      </c>
      <c r="V12" s="44">
        <f t="shared" si="14"/>
        <v>-0.90000000000856095</v>
      </c>
      <c r="W12" s="45">
        <f t="shared" si="15"/>
        <v>0.200000000010192</v>
      </c>
      <c r="X12" s="6">
        <v>11.9267</v>
      </c>
      <c r="Y12" s="43">
        <f t="shared" si="16"/>
        <v>-0.49999999999883499</v>
      </c>
      <c r="Z12" s="44">
        <f t="shared" si="17"/>
        <v>-1.3000000000005201</v>
      </c>
      <c r="AA12" s="45">
        <f t="shared" si="18"/>
        <v>-0.49999999999883499</v>
      </c>
      <c r="AB12" s="49">
        <v>8.7034999999999894</v>
      </c>
      <c r="AC12" s="43">
        <f t="shared" si="19"/>
        <v>-0.50000000001126899</v>
      </c>
      <c r="AD12" s="44">
        <f t="shared" si="20"/>
        <v>-1.2000000000114099</v>
      </c>
      <c r="AE12" s="45">
        <f t="shared" si="21"/>
        <v>-0.50000000001126899</v>
      </c>
      <c r="AF12" s="50">
        <v>80788</v>
      </c>
      <c r="AG12" s="58">
        <f t="shared" si="22"/>
        <v>24</v>
      </c>
      <c r="AH12" s="59"/>
      <c r="AI12" s="60"/>
      <c r="AJ12"/>
      <c r="AK12"/>
      <c r="AL12"/>
      <c r="AM12"/>
    </row>
    <row r="13" spans="1:48">
      <c r="A13" s="21">
        <v>45021</v>
      </c>
      <c r="B13" s="22">
        <v>791.80629999999996</v>
      </c>
      <c r="C13" s="6">
        <v>5.4931000000000001</v>
      </c>
      <c r="D13" s="23">
        <f t="shared" si="0"/>
        <v>797.29939999999999</v>
      </c>
      <c r="E13" s="24">
        <f t="shared" si="4"/>
        <v>-0.199999999949796</v>
      </c>
      <c r="F13" s="25">
        <f t="shared" si="5"/>
        <v>-1.1999999999261499</v>
      </c>
      <c r="G13" s="26">
        <f t="shared" si="6"/>
        <v>-0.199999999949796</v>
      </c>
      <c r="H13" s="6">
        <v>6.5183999999999997</v>
      </c>
      <c r="I13" s="35">
        <f t="shared" si="1"/>
        <v>798.32470000000001</v>
      </c>
      <c r="J13" s="24">
        <f t="shared" si="7"/>
        <v>-0.199999999949796</v>
      </c>
      <c r="K13" s="25">
        <f t="shared" si="8"/>
        <v>-1.39999999998963</v>
      </c>
      <c r="L13" s="26">
        <f t="shared" si="9"/>
        <v>-0.199999999949796</v>
      </c>
      <c r="M13" s="6">
        <v>5.6661000000000001</v>
      </c>
      <c r="N13" s="35">
        <f t="shared" si="2"/>
        <v>797.47239999999999</v>
      </c>
      <c r="O13" s="24">
        <f t="shared" si="10"/>
        <v>-0.199999999949796</v>
      </c>
      <c r="P13" s="25">
        <f t="shared" si="11"/>
        <v>-1.09999999995125</v>
      </c>
      <c r="Q13" s="26">
        <f t="shared" si="12"/>
        <v>-0.199999999949796</v>
      </c>
      <c r="R13" s="41"/>
      <c r="S13" s="21">
        <f t="shared" si="3"/>
        <v>45021</v>
      </c>
      <c r="T13" s="42">
        <v>8.2439999999999998</v>
      </c>
      <c r="U13" s="43">
        <f t="shared" si="13"/>
        <v>-9.9999999990885199E-2</v>
      </c>
      <c r="V13" s="44">
        <f t="shared" si="14"/>
        <v>-0.999999999999446</v>
      </c>
      <c r="W13" s="45">
        <f t="shared" si="15"/>
        <v>9.9999999990885199E-2</v>
      </c>
      <c r="X13" s="6">
        <v>11.926500000000001</v>
      </c>
      <c r="Y13" s="43">
        <f t="shared" si="16"/>
        <v>-0.19999999999953399</v>
      </c>
      <c r="Z13" s="44">
        <f t="shared" si="17"/>
        <v>-1.50000000000006</v>
      </c>
      <c r="AA13" s="45">
        <f t="shared" si="18"/>
        <v>-0.19999999999953399</v>
      </c>
      <c r="AB13" s="49">
        <v>8.7032999999999898</v>
      </c>
      <c r="AC13" s="43">
        <f t="shared" si="19"/>
        <v>-0.19999999999953399</v>
      </c>
      <c r="AD13" s="44">
        <f t="shared" si="20"/>
        <v>-1.40000000001095</v>
      </c>
      <c r="AE13" s="45">
        <f t="shared" si="21"/>
        <v>-0.19999999999953399</v>
      </c>
      <c r="AF13" s="50">
        <v>80791</v>
      </c>
      <c r="AG13" s="58">
        <f t="shared" si="22"/>
        <v>27</v>
      </c>
      <c r="AH13" s="61"/>
      <c r="AI13" s="60"/>
      <c r="AJ13"/>
      <c r="AK13"/>
      <c r="AL13"/>
      <c r="AM13"/>
    </row>
    <row r="14" spans="1:48">
      <c r="A14" s="21">
        <v>45022</v>
      </c>
      <c r="B14" s="22">
        <v>791.80629999999996</v>
      </c>
      <c r="C14" s="6">
        <v>5.4930000000000003</v>
      </c>
      <c r="D14" s="23">
        <f t="shared" si="0"/>
        <v>797.29930000000002</v>
      </c>
      <c r="E14" s="24">
        <f t="shared" si="4"/>
        <v>-9.9999999974897905E-2</v>
      </c>
      <c r="F14" s="25">
        <f t="shared" si="5"/>
        <v>-1.2999999999010501</v>
      </c>
      <c r="G14" s="26">
        <f t="shared" si="6"/>
        <v>-9.9999999974897905E-2</v>
      </c>
      <c r="H14" s="6">
        <v>6.5183</v>
      </c>
      <c r="I14" s="35">
        <f t="shared" si="1"/>
        <v>798.32460000000003</v>
      </c>
      <c r="J14" s="24">
        <f t="shared" si="7"/>
        <v>-0.10000000008858501</v>
      </c>
      <c r="K14" s="25">
        <f t="shared" si="8"/>
        <v>-1.5000000000782201</v>
      </c>
      <c r="L14" s="26">
        <f t="shared" si="9"/>
        <v>-0.10000000008858501</v>
      </c>
      <c r="M14" s="6">
        <v>5.6660000000000004</v>
      </c>
      <c r="N14" s="35">
        <f t="shared" si="2"/>
        <v>797.47230000000002</v>
      </c>
      <c r="O14" s="24">
        <f t="shared" si="10"/>
        <v>-9.9999999974897905E-2</v>
      </c>
      <c r="P14" s="25">
        <f t="shared" si="11"/>
        <v>-1.1999999999261499</v>
      </c>
      <c r="Q14" s="26">
        <f t="shared" si="12"/>
        <v>-9.9999999974897905E-2</v>
      </c>
      <c r="R14" s="41"/>
      <c r="S14" s="21">
        <f t="shared" si="3"/>
        <v>45022</v>
      </c>
      <c r="T14" s="42">
        <v>8.2436999999999898</v>
      </c>
      <c r="U14" s="43">
        <f t="shared" si="13"/>
        <v>-0.30000000000995902</v>
      </c>
      <c r="V14" s="44">
        <f t="shared" si="14"/>
        <v>-1.3000000000094001</v>
      </c>
      <c r="W14" s="45">
        <f t="shared" si="15"/>
        <v>0.30000000000995902</v>
      </c>
      <c r="X14" s="6">
        <v>11.926399999999999</v>
      </c>
      <c r="Y14" s="43">
        <f t="shared" si="16"/>
        <v>-0.10000000000154299</v>
      </c>
      <c r="Z14" s="44">
        <f t="shared" si="17"/>
        <v>-1.6000000000015999</v>
      </c>
      <c r="AA14" s="45">
        <f t="shared" si="18"/>
        <v>-0.10000000000154299</v>
      </c>
      <c r="AB14" s="49">
        <v>8.7034000000000002</v>
      </c>
      <c r="AC14" s="43">
        <f t="shared" si="19"/>
        <v>0.100000000010425</v>
      </c>
      <c r="AD14" s="44">
        <f t="shared" si="20"/>
        <v>-1.3000000000005201</v>
      </c>
      <c r="AE14" s="45">
        <f t="shared" si="21"/>
        <v>0.100000000010425</v>
      </c>
      <c r="AF14" s="50">
        <v>80794</v>
      </c>
      <c r="AG14" s="58">
        <f t="shared" si="22"/>
        <v>30</v>
      </c>
      <c r="AH14" s="59"/>
      <c r="AI14" s="60"/>
      <c r="AJ14"/>
      <c r="AK14"/>
      <c r="AL14"/>
      <c r="AM14"/>
    </row>
    <row r="15" spans="1:48">
      <c r="A15" s="21">
        <v>45023</v>
      </c>
      <c r="B15" s="22">
        <v>791.80629999999996</v>
      </c>
      <c r="C15" s="6">
        <v>5.4927000000000001</v>
      </c>
      <c r="D15" s="23">
        <f t="shared" si="0"/>
        <v>797.29899999999998</v>
      </c>
      <c r="E15" s="24">
        <f t="shared" si="4"/>
        <v>-0.30000000003838101</v>
      </c>
      <c r="F15" s="25">
        <f t="shared" si="5"/>
        <v>-1.5999999999394301</v>
      </c>
      <c r="G15" s="26">
        <f t="shared" si="6"/>
        <v>-0.30000000003838101</v>
      </c>
      <c r="H15" s="6">
        <v>6.5179999999999998</v>
      </c>
      <c r="I15" s="35">
        <f t="shared" si="1"/>
        <v>798.32429999999999</v>
      </c>
      <c r="J15" s="24">
        <f t="shared" si="7"/>
        <v>-0.29999999992469401</v>
      </c>
      <c r="K15" s="25">
        <f t="shared" si="8"/>
        <v>-1.8000000000029099</v>
      </c>
      <c r="L15" s="26">
        <f t="shared" si="9"/>
        <v>-0.29999999992469401</v>
      </c>
      <c r="M15" s="6">
        <v>5.6657000000000002</v>
      </c>
      <c r="N15" s="35">
        <f t="shared" si="2"/>
        <v>797.47199999999998</v>
      </c>
      <c r="O15" s="24">
        <f t="shared" si="10"/>
        <v>-0.30000000003838101</v>
      </c>
      <c r="P15" s="25">
        <f t="shared" si="11"/>
        <v>-1.4999999999645299</v>
      </c>
      <c r="Q15" s="26">
        <f t="shared" si="12"/>
        <v>-0.30000000003838101</v>
      </c>
      <c r="R15" s="41"/>
      <c r="S15" s="21">
        <f t="shared" si="3"/>
        <v>45023</v>
      </c>
      <c r="T15" s="42">
        <v>8.2434999999999903</v>
      </c>
      <c r="U15" s="43">
        <f t="shared" si="13"/>
        <v>-0.19999999999953399</v>
      </c>
      <c r="V15" s="44">
        <f t="shared" si="14"/>
        <v>-1.50000000000894</v>
      </c>
      <c r="W15" s="45">
        <f t="shared" si="15"/>
        <v>0.19999999999953399</v>
      </c>
      <c r="X15" s="6">
        <v>11.9261</v>
      </c>
      <c r="Y15" s="43">
        <f t="shared" si="16"/>
        <v>-0.29999999999930099</v>
      </c>
      <c r="Z15" s="44">
        <f t="shared" si="17"/>
        <v>-1.9000000000009001</v>
      </c>
      <c r="AA15" s="45">
        <f t="shared" si="18"/>
        <v>-0.29999999999930099</v>
      </c>
      <c r="AB15" s="49">
        <v>8.7028999999999908</v>
      </c>
      <c r="AC15" s="43">
        <f t="shared" si="19"/>
        <v>-0.50000000000949296</v>
      </c>
      <c r="AD15" s="44">
        <f t="shared" si="20"/>
        <v>-1.80000000001002</v>
      </c>
      <c r="AE15" s="45">
        <f t="shared" si="21"/>
        <v>-0.50000000000949296</v>
      </c>
      <c r="AF15" s="50">
        <v>80797</v>
      </c>
      <c r="AG15" s="58">
        <f t="shared" si="22"/>
        <v>33</v>
      </c>
      <c r="AH15" s="61"/>
      <c r="AI15" s="60"/>
      <c r="AJ15"/>
      <c r="AK15"/>
      <c r="AL15"/>
      <c r="AM15"/>
    </row>
    <row r="16" spans="1:48">
      <c r="A16" s="21">
        <v>45024</v>
      </c>
      <c r="B16" s="22">
        <v>791.80629999999996</v>
      </c>
      <c r="C16" s="6">
        <v>5.4924999999999997</v>
      </c>
      <c r="D16" s="23">
        <f t="shared" si="0"/>
        <v>797.29880000000003</v>
      </c>
      <c r="E16" s="24">
        <f t="shared" si="4"/>
        <v>-0.20000000006348301</v>
      </c>
      <c r="F16" s="25">
        <f t="shared" si="5"/>
        <v>-1.8000000000029099</v>
      </c>
      <c r="G16" s="26">
        <f t="shared" si="6"/>
        <v>-0.20000000006348301</v>
      </c>
      <c r="H16" s="6">
        <v>6.5178000000000003</v>
      </c>
      <c r="I16" s="35">
        <f t="shared" si="1"/>
        <v>798.32410000000004</v>
      </c>
      <c r="J16" s="24">
        <f t="shared" si="7"/>
        <v>-0.20000000006348301</v>
      </c>
      <c r="K16" s="25">
        <f t="shared" si="8"/>
        <v>-2.00000000006639</v>
      </c>
      <c r="L16" s="26">
        <f t="shared" si="9"/>
        <v>-0.20000000006348301</v>
      </c>
      <c r="M16" s="6">
        <v>5.6654999999999998</v>
      </c>
      <c r="N16" s="35">
        <f t="shared" si="2"/>
        <v>797.47180000000003</v>
      </c>
      <c r="O16" s="24">
        <f t="shared" si="10"/>
        <v>-0.20000000006348301</v>
      </c>
      <c r="P16" s="25">
        <f t="shared" si="11"/>
        <v>-1.70000000002801</v>
      </c>
      <c r="Q16" s="26">
        <f t="shared" si="12"/>
        <v>-0.20000000006348301</v>
      </c>
      <c r="R16" s="41"/>
      <c r="S16" s="21">
        <f t="shared" si="3"/>
        <v>45024</v>
      </c>
      <c r="T16" s="42">
        <v>8.2436000000000007</v>
      </c>
      <c r="U16" s="43">
        <f t="shared" si="13"/>
        <v>0.100000000010425</v>
      </c>
      <c r="V16" s="44">
        <f t="shared" si="14"/>
        <v>-1.39999999999851</v>
      </c>
      <c r="W16" s="45">
        <f t="shared" si="15"/>
        <v>-0.100000000010425</v>
      </c>
      <c r="X16" s="6">
        <v>11.9259</v>
      </c>
      <c r="Y16" s="43">
        <f t="shared" si="16"/>
        <v>-0.19999999999953399</v>
      </c>
      <c r="Z16" s="44">
        <f t="shared" si="17"/>
        <v>-2.10000000000043</v>
      </c>
      <c r="AA16" s="45">
        <f t="shared" si="18"/>
        <v>-0.19999999999953399</v>
      </c>
      <c r="AB16" s="49">
        <v>8.7026999999999894</v>
      </c>
      <c r="AC16" s="43">
        <f t="shared" si="19"/>
        <v>-0.20000000000130999</v>
      </c>
      <c r="AD16" s="44">
        <f t="shared" si="20"/>
        <v>-2.00000000001133</v>
      </c>
      <c r="AE16" s="45">
        <f t="shared" si="21"/>
        <v>-0.20000000000130999</v>
      </c>
      <c r="AF16" s="50">
        <v>80800</v>
      </c>
      <c r="AG16" s="58">
        <f t="shared" si="22"/>
        <v>36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45025</v>
      </c>
      <c r="B17" s="22">
        <v>791.80629999999996</v>
      </c>
      <c r="C17" s="6">
        <v>5.4923999999999999</v>
      </c>
      <c r="D17" s="23">
        <f t="shared" si="0"/>
        <v>797.29870000000005</v>
      </c>
      <c r="E17" s="24">
        <f t="shared" si="4"/>
        <v>-9.9999999974897905E-2</v>
      </c>
      <c r="F17" s="25">
        <f t="shared" si="5"/>
        <v>-1.8999999999778101</v>
      </c>
      <c r="G17" s="26">
        <f t="shared" si="6"/>
        <v>-9.9999999974897905E-2</v>
      </c>
      <c r="H17" s="6">
        <v>6.5180999999999996</v>
      </c>
      <c r="I17" s="35">
        <f t="shared" si="1"/>
        <v>798.32439999999997</v>
      </c>
      <c r="J17" s="24">
        <f t="shared" si="7"/>
        <v>0.30000000003838101</v>
      </c>
      <c r="K17" s="25">
        <f t="shared" si="8"/>
        <v>-1.70000000002801</v>
      </c>
      <c r="L17" s="26">
        <f t="shared" si="9"/>
        <v>0.30000000003838101</v>
      </c>
      <c r="M17" s="6">
        <v>5.6653000000000002</v>
      </c>
      <c r="N17" s="35">
        <f t="shared" si="2"/>
        <v>797.47159999999997</v>
      </c>
      <c r="O17" s="24">
        <f t="shared" si="10"/>
        <v>-0.199999999949796</v>
      </c>
      <c r="P17" s="25">
        <f t="shared" si="11"/>
        <v>-1.8999999999778101</v>
      </c>
      <c r="Q17" s="26">
        <f t="shared" si="12"/>
        <v>-0.199999999949796</v>
      </c>
      <c r="R17" s="41"/>
      <c r="S17" s="21">
        <f t="shared" si="3"/>
        <v>45025</v>
      </c>
      <c r="T17" s="42">
        <v>8.2430999999999894</v>
      </c>
      <c r="U17" s="43">
        <f t="shared" si="13"/>
        <v>-0.50000000001126899</v>
      </c>
      <c r="V17" s="44">
        <f t="shared" si="14"/>
        <v>-1.9000000000097801</v>
      </c>
      <c r="W17" s="45">
        <f t="shared" si="15"/>
        <v>0.50000000001126899</v>
      </c>
      <c r="X17" s="6">
        <v>11.926</v>
      </c>
      <c r="Y17" s="43">
        <f t="shared" si="16"/>
        <v>9.99999999997669E-2</v>
      </c>
      <c r="Z17" s="44">
        <f t="shared" si="17"/>
        <v>-2.0000000000006701</v>
      </c>
      <c r="AA17" s="45">
        <f t="shared" si="18"/>
        <v>9.99999999997669E-2</v>
      </c>
      <c r="AB17" s="49">
        <v>8.7026000000000003</v>
      </c>
      <c r="AC17" s="43">
        <f t="shared" si="19"/>
        <v>-9.9999999989108801E-2</v>
      </c>
      <c r="AD17" s="44">
        <f t="shared" si="20"/>
        <v>-2.10000000000043</v>
      </c>
      <c r="AE17" s="45">
        <f t="shared" si="21"/>
        <v>-9.9999999989108801E-2</v>
      </c>
      <c r="AF17" s="50">
        <v>80803</v>
      </c>
      <c r="AG17" s="58">
        <f t="shared" si="22"/>
        <v>39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45026</v>
      </c>
      <c r="B18" s="22">
        <v>791.80629999999996</v>
      </c>
      <c r="C18" s="6">
        <v>5.4920999999999998</v>
      </c>
      <c r="D18" s="23">
        <f t="shared" si="0"/>
        <v>797.29840000000002</v>
      </c>
      <c r="E18" s="24">
        <f t="shared" si="4"/>
        <v>-0.29999999992469401</v>
      </c>
      <c r="F18" s="25">
        <f t="shared" si="5"/>
        <v>-2.1999999999024999</v>
      </c>
      <c r="G18" s="26">
        <f t="shared" si="6"/>
        <v>-0.29999999992469401</v>
      </c>
      <c r="H18" s="6">
        <v>6.5173999999999896</v>
      </c>
      <c r="I18" s="35">
        <f t="shared" si="1"/>
        <v>798.32370000000003</v>
      </c>
      <c r="J18" s="24">
        <f t="shared" si="7"/>
        <v>-0.70000000005165897</v>
      </c>
      <c r="K18" s="25">
        <f t="shared" si="8"/>
        <v>-2.40000000007967</v>
      </c>
      <c r="L18" s="26">
        <f t="shared" si="9"/>
        <v>-0.70000000005165897</v>
      </c>
      <c r="M18" s="6">
        <v>5.6650999999999998</v>
      </c>
      <c r="N18" s="35">
        <f t="shared" si="2"/>
        <v>797.47140000000002</v>
      </c>
      <c r="O18" s="24">
        <f t="shared" si="10"/>
        <v>-0.199999999949796</v>
      </c>
      <c r="P18" s="25">
        <f t="shared" si="11"/>
        <v>-2.0999999999275998</v>
      </c>
      <c r="Q18" s="26">
        <f t="shared" si="12"/>
        <v>-0.199999999949796</v>
      </c>
      <c r="R18" s="41"/>
      <c r="S18" s="21">
        <f t="shared" si="3"/>
        <v>45026</v>
      </c>
      <c r="T18" s="42">
        <v>8.2428999999999899</v>
      </c>
      <c r="U18" s="43">
        <f t="shared" si="13"/>
        <v>-0.19999999999953399</v>
      </c>
      <c r="V18" s="44">
        <f t="shared" si="14"/>
        <v>-2.1000000000093202</v>
      </c>
      <c r="W18" s="45">
        <f t="shared" si="15"/>
        <v>0.19999999999953399</v>
      </c>
      <c r="X18" s="6">
        <v>11.9255</v>
      </c>
      <c r="Y18" s="43">
        <f t="shared" si="16"/>
        <v>-0.50000000000061096</v>
      </c>
      <c r="Z18" s="44">
        <f t="shared" si="17"/>
        <v>-2.5000000000012799</v>
      </c>
      <c r="AA18" s="45">
        <f t="shared" si="18"/>
        <v>-0.50000000000061096</v>
      </c>
      <c r="AB18" s="49">
        <v>8.7022999999999904</v>
      </c>
      <c r="AC18" s="43">
        <f t="shared" si="19"/>
        <v>-0.30000000000995902</v>
      </c>
      <c r="AD18" s="44">
        <f t="shared" si="20"/>
        <v>-2.4000000000103898</v>
      </c>
      <c r="AE18" s="45">
        <f t="shared" si="21"/>
        <v>-0.30000000000995902</v>
      </c>
      <c r="AF18" s="50">
        <v>80806</v>
      </c>
      <c r="AG18" s="58">
        <f t="shared" si="22"/>
        <v>42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45027</v>
      </c>
      <c r="B19" s="22">
        <v>791.80629999999996</v>
      </c>
      <c r="C19" s="6">
        <v>5.4919000000000002</v>
      </c>
      <c r="D19" s="23">
        <f t="shared" si="0"/>
        <v>797.29819999999995</v>
      </c>
      <c r="E19" s="24">
        <f t="shared" si="4"/>
        <v>-0.20000000006348301</v>
      </c>
      <c r="F19" s="25">
        <f t="shared" si="5"/>
        <v>-2.39999999996598</v>
      </c>
      <c r="G19" s="26">
        <f t="shared" si="6"/>
        <v>-0.20000000006348301</v>
      </c>
      <c r="H19" s="6">
        <v>6.5171999999999901</v>
      </c>
      <c r="I19" s="35">
        <f t="shared" si="1"/>
        <v>798.32349999999997</v>
      </c>
      <c r="J19" s="24">
        <f t="shared" si="7"/>
        <v>-0.199999999949796</v>
      </c>
      <c r="K19" s="25">
        <f t="shared" si="8"/>
        <v>-2.6000000000294698</v>
      </c>
      <c r="L19" s="26">
        <f t="shared" si="9"/>
        <v>-0.199999999949796</v>
      </c>
      <c r="M19" s="6">
        <v>5.6651999999999996</v>
      </c>
      <c r="N19" s="35">
        <f t="shared" si="2"/>
        <v>797.47149999999999</v>
      </c>
      <c r="O19" s="24">
        <f t="shared" si="10"/>
        <v>9.9999999974897905E-2</v>
      </c>
      <c r="P19" s="25">
        <f t="shared" si="11"/>
        <v>-1.9999999999527101</v>
      </c>
      <c r="Q19" s="26">
        <f t="shared" si="12"/>
        <v>9.9999999974897905E-2</v>
      </c>
      <c r="R19" s="41"/>
      <c r="S19" s="21">
        <f t="shared" si="3"/>
        <v>45027</v>
      </c>
      <c r="T19" s="42">
        <v>8.2430000000000003</v>
      </c>
      <c r="U19" s="43">
        <f t="shared" si="13"/>
        <v>0.100000000010425</v>
      </c>
      <c r="V19" s="44">
        <f t="shared" si="14"/>
        <v>-1.99999999999889</v>
      </c>
      <c r="W19" s="45">
        <f t="shared" si="15"/>
        <v>-0.100000000010425</v>
      </c>
      <c r="X19" s="6">
        <v>11.9253</v>
      </c>
      <c r="Y19" s="43">
        <f t="shared" si="16"/>
        <v>-0.19999999999953399</v>
      </c>
      <c r="Z19" s="44">
        <f t="shared" si="17"/>
        <v>-2.7000000000008102</v>
      </c>
      <c r="AA19" s="45">
        <f t="shared" si="18"/>
        <v>-0.19999999999953399</v>
      </c>
      <c r="AB19" s="49">
        <v>8.7020999999999802</v>
      </c>
      <c r="AC19" s="43">
        <f t="shared" si="19"/>
        <v>-0.200000000010192</v>
      </c>
      <c r="AD19" s="44">
        <f t="shared" si="20"/>
        <v>-2.6000000000205898</v>
      </c>
      <c r="AE19" s="45">
        <f t="shared" si="21"/>
        <v>-0.200000000010192</v>
      </c>
      <c r="AF19" s="50">
        <v>80809</v>
      </c>
      <c r="AG19" s="58">
        <f t="shared" si="22"/>
        <v>45</v>
      </c>
      <c r="AH19" s="61"/>
      <c r="AI19" s="60"/>
      <c r="AJ19"/>
      <c r="AK19"/>
      <c r="AL19"/>
      <c r="AM19"/>
    </row>
    <row r="20" spans="1:48">
      <c r="A20" s="21">
        <v>45028</v>
      </c>
      <c r="B20" s="22">
        <v>791.80629999999996</v>
      </c>
      <c r="C20" s="6">
        <v>5.492</v>
      </c>
      <c r="D20" s="23">
        <f t="shared" si="0"/>
        <v>797.29830000000004</v>
      </c>
      <c r="E20" s="24">
        <f t="shared" si="4"/>
        <v>9.9999999974897905E-2</v>
      </c>
      <c r="F20" s="25">
        <f t="shared" si="5"/>
        <v>-2.2999999999910901</v>
      </c>
      <c r="G20" s="26">
        <f t="shared" si="6"/>
        <v>9.9999999974897905E-2</v>
      </c>
      <c r="H20" s="6">
        <v>6.5172999999999996</v>
      </c>
      <c r="I20" s="35">
        <f t="shared" si="1"/>
        <v>798.32360000000006</v>
      </c>
      <c r="J20" s="24">
        <f t="shared" si="7"/>
        <v>9.9999999974897905E-2</v>
      </c>
      <c r="K20" s="25">
        <f t="shared" si="8"/>
        <v>-2.5000000000545701</v>
      </c>
      <c r="L20" s="26">
        <f t="shared" si="9"/>
        <v>9.9999999974897905E-2</v>
      </c>
      <c r="M20" s="6">
        <v>5.6647000000000096</v>
      </c>
      <c r="N20" s="35">
        <f t="shared" si="2"/>
        <v>797.471</v>
      </c>
      <c r="O20" s="24">
        <f t="shared" si="10"/>
        <v>-0.49999999998817701</v>
      </c>
      <c r="P20" s="25">
        <f t="shared" si="11"/>
        <v>-2.4999999999408802</v>
      </c>
      <c r="Q20" s="26">
        <f t="shared" si="12"/>
        <v>-0.49999999998817701</v>
      </c>
      <c r="R20" s="41"/>
      <c r="S20" s="21">
        <f t="shared" si="3"/>
        <v>45028</v>
      </c>
      <c r="T20" s="42">
        <v>8.2424999999999802</v>
      </c>
      <c r="U20" s="43">
        <f t="shared" si="13"/>
        <v>-0.50000000002015099</v>
      </c>
      <c r="V20" s="44">
        <f t="shared" si="14"/>
        <v>-2.5000000000190399</v>
      </c>
      <c r="W20" s="45">
        <f t="shared" si="15"/>
        <v>0.50000000002015099</v>
      </c>
      <c r="X20" s="6">
        <v>11.9254</v>
      </c>
      <c r="Y20" s="43">
        <f t="shared" si="16"/>
        <v>9.99999999997669E-2</v>
      </c>
      <c r="Z20" s="44">
        <f t="shared" si="17"/>
        <v>-2.6000000000010499</v>
      </c>
      <c r="AA20" s="45">
        <f t="shared" si="18"/>
        <v>9.99999999997669E-2</v>
      </c>
      <c r="AB20" s="49">
        <v>8.7021999999999995</v>
      </c>
      <c r="AC20" s="43">
        <f t="shared" si="19"/>
        <v>0.10000000001930701</v>
      </c>
      <c r="AD20" s="44">
        <f t="shared" si="20"/>
        <v>-2.5000000000012799</v>
      </c>
      <c r="AE20" s="45">
        <f t="shared" si="21"/>
        <v>0.10000000001930701</v>
      </c>
      <c r="AF20" s="50">
        <v>80812</v>
      </c>
      <c r="AG20" s="58">
        <f t="shared" si="22"/>
        <v>48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45030</v>
      </c>
      <c r="B21" s="22">
        <v>791.80629999999996</v>
      </c>
      <c r="C21" s="6">
        <v>5.4914999999999896</v>
      </c>
      <c r="D21" s="23">
        <f t="shared" si="0"/>
        <v>797.29780000000005</v>
      </c>
      <c r="E21" s="24">
        <f t="shared" si="4"/>
        <v>-0.49999999998817701</v>
      </c>
      <c r="F21" s="25">
        <f t="shared" si="5"/>
        <v>-2.79999999997926</v>
      </c>
      <c r="G21" s="26">
        <f t="shared" si="6"/>
        <v>-0.24999999999408801</v>
      </c>
      <c r="H21" s="6">
        <v>6.5167999999999902</v>
      </c>
      <c r="I21" s="35">
        <f t="shared" si="1"/>
        <v>798.32309999999995</v>
      </c>
      <c r="J21" s="24">
        <f t="shared" si="7"/>
        <v>-0.49999999998817701</v>
      </c>
      <c r="K21" s="25">
        <f t="shared" si="8"/>
        <v>-3.0000000000427498</v>
      </c>
      <c r="L21" s="26">
        <f t="shared" si="9"/>
        <v>-0.24999999999408801</v>
      </c>
      <c r="M21" s="6">
        <v>5.6645000000000101</v>
      </c>
      <c r="N21" s="35">
        <f t="shared" si="2"/>
        <v>797.47080000000005</v>
      </c>
      <c r="O21" s="24">
        <f t="shared" si="10"/>
        <v>-0.20000000006348301</v>
      </c>
      <c r="P21" s="25">
        <f t="shared" si="11"/>
        <v>-2.70000000000437</v>
      </c>
      <c r="Q21" s="26">
        <f t="shared" si="12"/>
        <v>-0.100000000031741</v>
      </c>
      <c r="R21" s="41"/>
      <c r="S21" s="21">
        <f t="shared" si="3"/>
        <v>45030</v>
      </c>
      <c r="T21" s="42">
        <v>8.2422999999999806</v>
      </c>
      <c r="U21" s="43">
        <f t="shared" si="13"/>
        <v>-0.19999999999953399</v>
      </c>
      <c r="V21" s="44">
        <f t="shared" si="14"/>
        <v>-2.70000000001858</v>
      </c>
      <c r="W21" s="45">
        <f t="shared" si="15"/>
        <v>9.99999999997669E-2</v>
      </c>
      <c r="X21" s="6">
        <v>11.924899999999999</v>
      </c>
      <c r="Y21" s="43">
        <f t="shared" si="16"/>
        <v>-0.50000000000061096</v>
      </c>
      <c r="Z21" s="44">
        <f t="shared" si="17"/>
        <v>-3.1000000000016601</v>
      </c>
      <c r="AA21" s="45">
        <f t="shared" si="18"/>
        <v>-0.25000000000030598</v>
      </c>
      <c r="AB21" s="49">
        <v>8.7016999999999793</v>
      </c>
      <c r="AC21" s="43">
        <f t="shared" si="19"/>
        <v>-0.50000000002015099</v>
      </c>
      <c r="AD21" s="44">
        <f t="shared" si="20"/>
        <v>-3.00000000002143</v>
      </c>
      <c r="AE21" s="45">
        <f t="shared" si="21"/>
        <v>-0.250000000010075</v>
      </c>
      <c r="AF21" s="50">
        <v>80815</v>
      </c>
      <c r="AG21" s="58">
        <f t="shared" si="22"/>
        <v>51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45032</v>
      </c>
      <c r="B22" s="22">
        <v>791.80629999999996</v>
      </c>
      <c r="C22" s="6">
        <v>5.4912999999999901</v>
      </c>
      <c r="D22" s="23">
        <f t="shared" si="0"/>
        <v>797.29759999999999</v>
      </c>
      <c r="E22" s="24">
        <f t="shared" si="4"/>
        <v>-0.199999999949796</v>
      </c>
      <c r="F22" s="25">
        <f t="shared" si="5"/>
        <v>-2.9999999999290599</v>
      </c>
      <c r="G22" s="26">
        <f t="shared" si="6"/>
        <v>-9.9999999974897905E-2</v>
      </c>
      <c r="H22" s="6">
        <v>6.5167000000000002</v>
      </c>
      <c r="I22" s="35">
        <f t="shared" si="1"/>
        <v>798.32299999999998</v>
      </c>
      <c r="J22" s="24">
        <f t="shared" si="7"/>
        <v>-9.9999999974897905E-2</v>
      </c>
      <c r="K22" s="25">
        <f t="shared" si="8"/>
        <v>-3.1000000000176402</v>
      </c>
      <c r="L22" s="26">
        <f t="shared" si="9"/>
        <v>-4.9999999987449001E-2</v>
      </c>
      <c r="M22" s="6">
        <v>5.6645000000000003</v>
      </c>
      <c r="N22" s="35">
        <f t="shared" si="2"/>
        <v>797.47080000000005</v>
      </c>
      <c r="O22" s="24">
        <f t="shared" si="10"/>
        <v>0</v>
      </c>
      <c r="P22" s="25">
        <f t="shared" si="11"/>
        <v>-2.70000000000437</v>
      </c>
      <c r="Q22" s="26">
        <f t="shared" si="12"/>
        <v>0</v>
      </c>
      <c r="R22" s="41"/>
      <c r="S22" s="21">
        <f t="shared" si="3"/>
        <v>45032</v>
      </c>
      <c r="T22" s="42">
        <v>8.2422000000000004</v>
      </c>
      <c r="U22" s="43">
        <f t="shared" si="13"/>
        <v>-9.9999999980227003E-2</v>
      </c>
      <c r="V22" s="44">
        <f t="shared" si="14"/>
        <v>-2.7999999999987999</v>
      </c>
      <c r="W22" s="45">
        <f t="shared" si="15"/>
        <v>4.9999999990113501E-2</v>
      </c>
      <c r="X22" s="6">
        <v>11.9247</v>
      </c>
      <c r="Y22" s="43">
        <f t="shared" si="16"/>
        <v>-0.19999999999953399</v>
      </c>
      <c r="Z22" s="44">
        <f t="shared" si="17"/>
        <v>-3.30000000000119</v>
      </c>
      <c r="AA22" s="45">
        <f t="shared" si="18"/>
        <v>-9.99999999997669E-2</v>
      </c>
      <c r="AB22" s="49">
        <v>8.7014999999999798</v>
      </c>
      <c r="AC22" s="43">
        <f t="shared" si="19"/>
        <v>-0.19999999999953399</v>
      </c>
      <c r="AD22" s="44">
        <f t="shared" si="20"/>
        <v>-3.2000000000209599</v>
      </c>
      <c r="AE22" s="45">
        <f t="shared" si="21"/>
        <v>-9.99999999997669E-2</v>
      </c>
      <c r="AF22" s="50">
        <v>80818</v>
      </c>
      <c r="AG22" s="58">
        <f t="shared" si="22"/>
        <v>54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45034</v>
      </c>
      <c r="B23" s="22">
        <v>791.80629999999996</v>
      </c>
      <c r="C23" s="6">
        <v>5.4915000000000003</v>
      </c>
      <c r="D23" s="23">
        <f t="shared" si="0"/>
        <v>797.29780000000005</v>
      </c>
      <c r="E23" s="24">
        <f t="shared" si="4"/>
        <v>0.199999999949796</v>
      </c>
      <c r="F23" s="25">
        <f t="shared" si="5"/>
        <v>-2.79999999997926</v>
      </c>
      <c r="G23" s="26">
        <f t="shared" si="6"/>
        <v>9.9999999974897905E-2</v>
      </c>
      <c r="H23" s="6">
        <v>6.5163999999999902</v>
      </c>
      <c r="I23" s="35">
        <f t="shared" si="1"/>
        <v>798.32270000000005</v>
      </c>
      <c r="J23" s="24">
        <f t="shared" si="7"/>
        <v>-0.30000000003838101</v>
      </c>
      <c r="K23" s="25">
        <f t="shared" si="8"/>
        <v>-3.40000000005602</v>
      </c>
      <c r="L23" s="26">
        <f t="shared" si="9"/>
        <v>-0.15000000001919001</v>
      </c>
      <c r="M23" s="6">
        <v>5.6641000000000101</v>
      </c>
      <c r="N23" s="35">
        <f t="shared" si="2"/>
        <v>797.47040000000004</v>
      </c>
      <c r="O23" s="24">
        <f t="shared" si="10"/>
        <v>-0.40000000001327901</v>
      </c>
      <c r="P23" s="25">
        <f t="shared" si="11"/>
        <v>-3.1000000000176402</v>
      </c>
      <c r="Q23" s="26">
        <f t="shared" si="12"/>
        <v>-0.20000000000663901</v>
      </c>
      <c r="R23" s="41"/>
      <c r="S23" s="21">
        <f t="shared" si="3"/>
        <v>45034</v>
      </c>
      <c r="T23" s="42">
        <v>8.2418999999999798</v>
      </c>
      <c r="U23" s="43">
        <f t="shared" si="13"/>
        <v>-0.300000000020617</v>
      </c>
      <c r="V23" s="44">
        <f t="shared" si="14"/>
        <v>-3.1000000000194201</v>
      </c>
      <c r="W23" s="45">
        <f t="shared" si="15"/>
        <v>0.150000000010309</v>
      </c>
      <c r="X23" s="6">
        <v>11.9246</v>
      </c>
      <c r="Y23" s="43">
        <f t="shared" si="16"/>
        <v>-9.99999999997669E-2</v>
      </c>
      <c r="Z23" s="44">
        <f t="shared" si="17"/>
        <v>-3.40000000000096</v>
      </c>
      <c r="AA23" s="45">
        <f t="shared" si="18"/>
        <v>-4.9999999999883499E-2</v>
      </c>
      <c r="AB23" s="49">
        <v>8.7013999999999996</v>
      </c>
      <c r="AC23" s="43">
        <f t="shared" si="19"/>
        <v>-9.9999999980227003E-2</v>
      </c>
      <c r="AD23" s="44">
        <f t="shared" si="20"/>
        <v>-3.30000000000119</v>
      </c>
      <c r="AE23" s="45">
        <f t="shared" si="21"/>
        <v>-4.9999999990113501E-2</v>
      </c>
      <c r="AF23" s="50">
        <v>80821</v>
      </c>
      <c r="AG23" s="58">
        <f t="shared" si="22"/>
        <v>57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45036</v>
      </c>
      <c r="B24" s="22">
        <v>791.80629999999996</v>
      </c>
      <c r="C24" s="6">
        <v>5.4913999999999996</v>
      </c>
      <c r="D24" s="23">
        <f t="shared" si="0"/>
        <v>797.29769999999996</v>
      </c>
      <c r="E24" s="24">
        <f t="shared" si="4"/>
        <v>-9.9999999974897905E-2</v>
      </c>
      <c r="F24" s="25">
        <f t="shared" si="5"/>
        <v>-2.8999999999541601</v>
      </c>
      <c r="G24" s="26">
        <f t="shared" si="6"/>
        <v>-4.9999999987449001E-2</v>
      </c>
      <c r="H24" s="6">
        <v>6.5161999999999898</v>
      </c>
      <c r="I24" s="35">
        <f t="shared" si="1"/>
        <v>798.32249999999999</v>
      </c>
      <c r="J24" s="24">
        <f t="shared" si="7"/>
        <v>-0.199999999949796</v>
      </c>
      <c r="K24" s="25">
        <f t="shared" si="8"/>
        <v>-3.6000000000058199</v>
      </c>
      <c r="L24" s="26">
        <f t="shared" si="9"/>
        <v>-9.9999999974897905E-2</v>
      </c>
      <c r="M24" s="6">
        <v>5.6642000000000001</v>
      </c>
      <c r="N24" s="35">
        <f t="shared" si="2"/>
        <v>797.47050000000002</v>
      </c>
      <c r="O24" s="24">
        <f t="shared" si="10"/>
        <v>0.10000000008858501</v>
      </c>
      <c r="P24" s="25">
        <f t="shared" si="11"/>
        <v>-2.9999999999290599</v>
      </c>
      <c r="Q24" s="26">
        <f t="shared" si="12"/>
        <v>5.0000000044292399E-2</v>
      </c>
      <c r="R24" s="41"/>
      <c r="S24" s="21">
        <f t="shared" si="3"/>
        <v>45036</v>
      </c>
      <c r="T24" s="42">
        <v>8.2420000000000009</v>
      </c>
      <c r="U24" s="43">
        <f t="shared" si="13"/>
        <v>0.100000000021083</v>
      </c>
      <c r="V24" s="44">
        <f t="shared" si="14"/>
        <v>-2.99999999999834</v>
      </c>
      <c r="W24" s="45">
        <f t="shared" si="15"/>
        <v>-5.0000000010541598E-2</v>
      </c>
      <c r="X24" s="6">
        <v>11.9247</v>
      </c>
      <c r="Y24" s="43">
        <f t="shared" si="16"/>
        <v>9.99999999997669E-2</v>
      </c>
      <c r="Z24" s="44">
        <f t="shared" si="17"/>
        <v>-3.30000000000119</v>
      </c>
      <c r="AA24" s="45">
        <f t="shared" si="18"/>
        <v>4.9999999999883499E-2</v>
      </c>
      <c r="AB24" s="49">
        <v>8.7010999999999807</v>
      </c>
      <c r="AC24" s="43">
        <f t="shared" si="19"/>
        <v>-0.30000000001884097</v>
      </c>
      <c r="AD24" s="44">
        <f t="shared" si="20"/>
        <v>-3.6000000000200298</v>
      </c>
      <c r="AE24" s="45">
        <f t="shared" si="21"/>
        <v>-0.15000000000941999</v>
      </c>
      <c r="AF24" s="50">
        <v>80824</v>
      </c>
      <c r="AG24" s="58">
        <f t="shared" si="22"/>
        <v>60</v>
      </c>
      <c r="AH24" s="59"/>
      <c r="AI24" s="60"/>
      <c r="AJ24" s="52"/>
      <c r="AK24" s="52"/>
      <c r="AL24" s="52"/>
      <c r="AM24" s="52"/>
    </row>
    <row r="25" spans="1:48">
      <c r="A25" s="21">
        <v>45038</v>
      </c>
      <c r="B25" s="22">
        <v>791.80629999999996</v>
      </c>
      <c r="C25" s="6">
        <v>5.4912999999999998</v>
      </c>
      <c r="D25" s="23">
        <f>C25+B25</f>
        <v>797.29759999999999</v>
      </c>
      <c r="E25" s="24">
        <f>(D25-D24)*1000</f>
        <v>-9.9999999974897905E-2</v>
      </c>
      <c r="F25" s="25">
        <f>F24+E25</f>
        <v>-2.9999999999290599</v>
      </c>
      <c r="G25" s="26">
        <f>E25/(A25-A24)</f>
        <v>-4.9999999987449001E-2</v>
      </c>
      <c r="H25" s="6">
        <v>6.5159999999999902</v>
      </c>
      <c r="I25" s="35">
        <f>H25+B25</f>
        <v>798.32230000000004</v>
      </c>
      <c r="J25" s="24">
        <f>(I25-I24)*1000</f>
        <v>-0.20000000006348301</v>
      </c>
      <c r="K25" s="25">
        <f>K24+J25</f>
        <v>-3.8000000000692999</v>
      </c>
      <c r="L25" s="26">
        <f>J25/(A25-A24)</f>
        <v>-0.100000000031741</v>
      </c>
      <c r="M25" s="6">
        <v>5.6642999999999901</v>
      </c>
      <c r="N25" s="35">
        <f>M25+B25</f>
        <v>797.47059999999999</v>
      </c>
      <c r="O25" s="24">
        <f>(N25-N24)*1000</f>
        <v>9.9999999974897905E-2</v>
      </c>
      <c r="P25" s="25">
        <f>P24+O25</f>
        <v>-2.8999999999541601</v>
      </c>
      <c r="Q25" s="26">
        <f>O25/(A25-A24)</f>
        <v>4.9999999987449001E-2</v>
      </c>
      <c r="R25" s="41"/>
      <c r="S25" s="21">
        <f>A25</f>
        <v>45038</v>
      </c>
      <c r="T25" s="42">
        <v>8.2421000000000202</v>
      </c>
      <c r="U25" s="43">
        <f>(T25-T24)*1000</f>
        <v>0.100000000021083</v>
      </c>
      <c r="V25" s="44">
        <f>V24+U25</f>
        <v>-2.8999999999772501</v>
      </c>
      <c r="W25" s="45">
        <f>U25/(S24-S25)</f>
        <v>-5.0000000010541598E-2</v>
      </c>
      <c r="X25" s="6">
        <v>11.924799999999999</v>
      </c>
      <c r="Y25" s="43">
        <f>(X25-X24)*1000</f>
        <v>9.99999999997669E-2</v>
      </c>
      <c r="Z25" s="44">
        <f>Z24+Y25</f>
        <v>-3.2000000000014199</v>
      </c>
      <c r="AA25" s="45">
        <f>Y25/(S25-S24)</f>
        <v>4.9999999999883499E-2</v>
      </c>
      <c r="AB25" s="49">
        <v>8.7007999999999601</v>
      </c>
      <c r="AC25" s="43">
        <f>(AB25-AB24)*1000</f>
        <v>-0.30000000001884097</v>
      </c>
      <c r="AD25" s="44">
        <f>AD24+AC25</f>
        <v>-3.9000000000388702</v>
      </c>
      <c r="AE25" s="45">
        <f>AC25/(S25-S24)</f>
        <v>-0.15000000000941999</v>
      </c>
      <c r="AF25" s="50">
        <v>80827</v>
      </c>
      <c r="AG25" s="58">
        <f>AF25-80764</f>
        <v>63</v>
      </c>
      <c r="AH25" s="61"/>
      <c r="AI25" s="60"/>
      <c r="AJ25"/>
      <c r="AK25"/>
      <c r="AL25"/>
      <c r="AM25"/>
    </row>
    <row r="26" spans="1:48">
      <c r="A26" s="21">
        <v>45040</v>
      </c>
      <c r="B26" s="22">
        <v>791.80629999999996</v>
      </c>
      <c r="C26" s="6">
        <v>5.4912000000000001</v>
      </c>
      <c r="D26" s="23">
        <f>C26+B26</f>
        <v>797.29750000000001</v>
      </c>
      <c r="E26" s="24">
        <f>(D26-D25)*1000</f>
        <v>-9.9999999974897905E-2</v>
      </c>
      <c r="F26" s="25">
        <f>F25+E26</f>
        <v>-3.09999999990396</v>
      </c>
      <c r="G26" s="26">
        <f>E26/(A26-A25)</f>
        <v>-4.9999999987449001E-2</v>
      </c>
      <c r="H26" s="6">
        <v>6.5157999999999898</v>
      </c>
      <c r="I26" s="35">
        <f>H26+B26</f>
        <v>798.32209999999998</v>
      </c>
      <c r="J26" s="24">
        <f>(I26-I25)*1000</f>
        <v>-0.199999999949796</v>
      </c>
      <c r="K26" s="25">
        <f>K25+J26</f>
        <v>-4.0000000000191003</v>
      </c>
      <c r="L26" s="26">
        <f>J26/(A26-A25)</f>
        <v>-9.9999999974897905E-2</v>
      </c>
      <c r="M26" s="6">
        <v>5.6643999999999801</v>
      </c>
      <c r="N26" s="35">
        <f>M26+B26</f>
        <v>797.47069999999997</v>
      </c>
      <c r="O26" s="24">
        <f>(N26-N25)*1000</f>
        <v>9.9999999974897905E-2</v>
      </c>
      <c r="P26" s="25">
        <f>P25+O26</f>
        <v>-2.79999999997926</v>
      </c>
      <c r="Q26" s="26">
        <f>O26/(A26-A25)</f>
        <v>4.9999999987449001E-2</v>
      </c>
      <c r="R26" s="41"/>
      <c r="S26" s="21">
        <f>A26</f>
        <v>45040</v>
      </c>
      <c r="T26" s="42">
        <v>8.2422000000000395</v>
      </c>
      <c r="U26" s="43">
        <f>(T26-T25)*1000</f>
        <v>0.100000000021083</v>
      </c>
      <c r="V26" s="44">
        <f>V25+U26</f>
        <v>-2.79999999995617</v>
      </c>
      <c r="W26" s="45">
        <f>U26/(S25-S26)</f>
        <v>-5.0000000010541598E-2</v>
      </c>
      <c r="X26" s="6">
        <v>11.924899999999999</v>
      </c>
      <c r="Y26" s="43">
        <f>(X26-X25)*1000</f>
        <v>9.99999999997669E-2</v>
      </c>
      <c r="Z26" s="44">
        <f>Z25+Y26</f>
        <v>-3.1000000000016601</v>
      </c>
      <c r="AA26" s="45">
        <f>Y26/(S26-S25)</f>
        <v>4.9999999999883499E-2</v>
      </c>
      <c r="AB26" s="49">
        <v>8.7004999999999395</v>
      </c>
      <c r="AC26" s="43">
        <f>(AB26-AB25)*1000</f>
        <v>-0.30000000001884097</v>
      </c>
      <c r="AD26" s="44">
        <f>AD25+AC26</f>
        <v>-4.2000000000577096</v>
      </c>
      <c r="AE26" s="45">
        <f>AC26/(S26-S25)</f>
        <v>-0.15000000000941999</v>
      </c>
      <c r="AF26" s="50">
        <v>80830</v>
      </c>
      <c r="AG26" s="58">
        <f>AF26-80764</f>
        <v>66</v>
      </c>
      <c r="AH26" s="59"/>
      <c r="AI26" s="60"/>
      <c r="AJ26" s="61"/>
      <c r="AK26" s="62"/>
      <c r="AL26" s="60"/>
      <c r="AM26" s="64"/>
    </row>
    <row r="27" spans="1:48">
      <c r="A27" s="21"/>
      <c r="B27" s="22"/>
      <c r="C27" s="27"/>
      <c r="D27" s="23"/>
      <c r="E27" s="65">
        <f>F26-F25</f>
        <v>-9.9999999974900167E-2</v>
      </c>
      <c r="F27" s="33">
        <f>K26-K25</f>
        <v>-0.19999999994980033</v>
      </c>
      <c r="G27" s="33">
        <f>P26-P25</f>
        <v>9.9999999974900167E-2</v>
      </c>
      <c r="H27" s="33">
        <f>F26</f>
        <v>-3.09999999990396</v>
      </c>
      <c r="I27" s="66">
        <f>K26</f>
        <v>-4.0000000000191003</v>
      </c>
      <c r="J27" s="65">
        <f>P26</f>
        <v>-2.79999999997926</v>
      </c>
      <c r="K27" s="33">
        <f>(P26-P25)/2</f>
        <v>4.9999999987450083E-2</v>
      </c>
      <c r="L27" s="26"/>
      <c r="N27" s="35"/>
      <c r="O27" s="24"/>
      <c r="P27" s="25"/>
      <c r="Q27" s="26"/>
      <c r="R27" s="41"/>
      <c r="S27" s="21"/>
      <c r="T27" s="42"/>
      <c r="U27" s="65">
        <f>V26-V25</f>
        <v>0.10000000002108012</v>
      </c>
      <c r="V27" s="33">
        <f>Z26-Z25</f>
        <v>9.9999999999759837E-2</v>
      </c>
      <c r="W27" s="33">
        <f>AD26-AD25</f>
        <v>-0.30000000001883942</v>
      </c>
      <c r="X27" s="33">
        <f>V26</f>
        <v>-2.79999999995617</v>
      </c>
      <c r="Y27" s="65">
        <f>Z26</f>
        <v>-3.1000000000016601</v>
      </c>
      <c r="Z27" s="33">
        <f>AD26</f>
        <v>-4.2000000000577096</v>
      </c>
      <c r="AA27" s="33">
        <f>(AD26-AD25)/2</f>
        <v>-0.15000000000941971</v>
      </c>
      <c r="AB27" s="49"/>
      <c r="AC27" s="43"/>
      <c r="AD27" s="44"/>
      <c r="AE27" s="45"/>
      <c r="AF27" s="50"/>
      <c r="AG27" s="58"/>
      <c r="AH27" s="61"/>
      <c r="AI27" s="60"/>
      <c r="AJ27"/>
      <c r="AK27"/>
      <c r="AL27"/>
      <c r="AM27"/>
    </row>
    <row r="28" spans="1:48">
      <c r="A28" s="21"/>
      <c r="B28" s="22"/>
      <c r="C28" s="27"/>
      <c r="D28" s="23"/>
      <c r="E28" s="24"/>
      <c r="F28" s="25"/>
      <c r="G28" s="26"/>
      <c r="I28" s="35"/>
      <c r="J28" s="24"/>
      <c r="K28" s="25"/>
      <c r="L28" s="26"/>
      <c r="N28" s="35"/>
      <c r="O28" s="24"/>
      <c r="P28" s="25"/>
      <c r="Q28" s="26"/>
      <c r="R28" s="41"/>
      <c r="S28" s="21"/>
      <c r="T28" s="42"/>
      <c r="U28" s="43"/>
      <c r="V28" s="44"/>
      <c r="W28" s="45"/>
      <c r="X28" s="29"/>
      <c r="Y28" s="43"/>
      <c r="Z28" s="44"/>
      <c r="AA28" s="45"/>
      <c r="AB28" s="49"/>
      <c r="AC28" s="43"/>
      <c r="AD28" s="44"/>
      <c r="AE28" s="45"/>
      <c r="AF28" s="50"/>
      <c r="AG28" s="58"/>
      <c r="AH28" s="61"/>
      <c r="AI28" s="60"/>
      <c r="AJ28" s="61"/>
      <c r="AK28" s="62"/>
      <c r="AL28" s="60"/>
      <c r="AM28" s="64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Q28" workbookViewId="0">
      <selection activeCell="E28" sqref="E28:K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87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45022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45022</v>
      </c>
      <c r="B6" s="22">
        <v>791.80629999999996</v>
      </c>
      <c r="C6" s="6">
        <v>4.9180000000000001</v>
      </c>
      <c r="D6" s="23">
        <f t="shared" ref="D6:D20" si="0">C6+B6</f>
        <v>796.72429999999997</v>
      </c>
      <c r="E6" s="24">
        <v>0</v>
      </c>
      <c r="F6" s="25">
        <v>0</v>
      </c>
      <c r="G6" s="26">
        <v>0</v>
      </c>
      <c r="H6" s="6">
        <v>6.0640000000000001</v>
      </c>
      <c r="I6" s="35">
        <f t="shared" ref="I6:I20" si="1">H6+B6</f>
        <v>797.87030000000004</v>
      </c>
      <c r="J6" s="24">
        <v>0</v>
      </c>
      <c r="K6" s="25">
        <v>0</v>
      </c>
      <c r="L6" s="26">
        <v>0</v>
      </c>
      <c r="M6" s="6">
        <v>4.7191000000000001</v>
      </c>
      <c r="N6" s="35">
        <f t="shared" ref="N6:N20" si="2">M6+B6</f>
        <v>796.52539999999999</v>
      </c>
      <c r="O6" s="24">
        <v>0</v>
      </c>
      <c r="P6" s="25">
        <v>0</v>
      </c>
      <c r="Q6" s="26">
        <v>0</v>
      </c>
      <c r="R6" s="41"/>
      <c r="S6" s="21">
        <f t="shared" ref="S6:S20" si="3">A6</f>
        <v>45022</v>
      </c>
      <c r="T6" s="42">
        <v>8.2449999999999992</v>
      </c>
      <c r="U6" s="43">
        <v>0</v>
      </c>
      <c r="V6" s="44">
        <v>0</v>
      </c>
      <c r="W6" s="45">
        <f>U6/(S6-S11)</f>
        <v>0</v>
      </c>
      <c r="X6" s="6">
        <v>12.211</v>
      </c>
      <c r="Y6" s="43">
        <v>0</v>
      </c>
      <c r="Z6" s="44">
        <v>0</v>
      </c>
      <c r="AA6" s="45">
        <v>0</v>
      </c>
      <c r="AB6" s="49">
        <v>8.7047000000000008</v>
      </c>
      <c r="AC6" s="43">
        <v>0</v>
      </c>
      <c r="AD6" s="44">
        <v>0</v>
      </c>
      <c r="AE6" s="45">
        <v>0</v>
      </c>
      <c r="AF6" s="50">
        <v>80799</v>
      </c>
      <c r="AG6" s="58">
        <f>AF6-80793</f>
        <v>6</v>
      </c>
      <c r="AH6" s="59"/>
      <c r="AI6" s="60"/>
      <c r="AJ6" s="61"/>
      <c r="AK6" s="62"/>
      <c r="AL6" s="52"/>
      <c r="AM6" s="52"/>
    </row>
    <row r="7" spans="1:48">
      <c r="A7" s="21">
        <v>45023</v>
      </c>
      <c r="B7" s="22">
        <v>791.80629999999996</v>
      </c>
      <c r="C7" s="6">
        <v>4.9177999999999997</v>
      </c>
      <c r="D7" s="23">
        <f t="shared" si="0"/>
        <v>796.72410000000002</v>
      </c>
      <c r="E7" s="24">
        <f t="shared" ref="E7:E20" si="4">(D7-D6)*1000</f>
        <v>-0.20000000006348301</v>
      </c>
      <c r="F7" s="25">
        <f t="shared" ref="F7:F20" si="5">F6+E7</f>
        <v>-0.20000000006348301</v>
      </c>
      <c r="G7" s="26">
        <f t="shared" ref="G7:G20" si="6">E7/(A7-A6)</f>
        <v>-0.20000000006348301</v>
      </c>
      <c r="H7" s="6">
        <v>6.0637999999999996</v>
      </c>
      <c r="I7" s="35">
        <f t="shared" si="1"/>
        <v>797.87009999999998</v>
      </c>
      <c r="J7" s="24">
        <f t="shared" ref="J7:J20" si="7">(I7-I6)*1000</f>
        <v>-0.199999999949796</v>
      </c>
      <c r="K7" s="25">
        <f t="shared" ref="K7:K20" si="8">K6+J7</f>
        <v>-0.199999999949796</v>
      </c>
      <c r="L7" s="26">
        <f t="shared" ref="L7:L20" si="9">J7/(A7-A6)</f>
        <v>-0.199999999949796</v>
      </c>
      <c r="M7" s="6">
        <v>4.7190000000000003</v>
      </c>
      <c r="N7" s="35">
        <f t="shared" si="2"/>
        <v>796.52530000000002</v>
      </c>
      <c r="O7" s="24">
        <f t="shared" ref="O7:O20" si="10">(N7-N6)*1000</f>
        <v>-9.9999999974897905E-2</v>
      </c>
      <c r="P7" s="25">
        <f t="shared" ref="P7:P20" si="11">P6+O7</f>
        <v>-9.9999999974897905E-2</v>
      </c>
      <c r="Q7" s="26">
        <f t="shared" ref="Q7:Q20" si="12">O7/(A7-A6)</f>
        <v>-9.9999999974897905E-2</v>
      </c>
      <c r="R7" s="41"/>
      <c r="S7" s="21">
        <f t="shared" si="3"/>
        <v>45023</v>
      </c>
      <c r="T7" s="42">
        <v>8.2451000000000008</v>
      </c>
      <c r="U7" s="43">
        <f t="shared" ref="U7:U20" si="13">(T7-T6)*1000</f>
        <v>0.10000000000154299</v>
      </c>
      <c r="V7" s="44">
        <f t="shared" ref="V7:V20" si="14">V6+U7</f>
        <v>0.10000000000154299</v>
      </c>
      <c r="W7" s="45">
        <f t="shared" ref="W7:W20" si="15">U7/(S6-S7)</f>
        <v>-0.10000000000154299</v>
      </c>
      <c r="X7" s="6">
        <v>12.210800000000001</v>
      </c>
      <c r="Y7" s="43">
        <f t="shared" ref="Y7:Y20" si="16">(X7-X6)*1000</f>
        <v>-0.19999999999953399</v>
      </c>
      <c r="Z7" s="44">
        <f t="shared" ref="Z7:Z20" si="17">Z6+Y7</f>
        <v>-0.19999999999953399</v>
      </c>
      <c r="AA7" s="45">
        <f t="shared" ref="AA7:AA20" si="18">Y7/(S7-S6)</f>
        <v>-0.19999999999953399</v>
      </c>
      <c r="AB7" s="49">
        <v>8.7044999999999995</v>
      </c>
      <c r="AC7" s="43">
        <f t="shared" ref="AC7:AC20" si="19">(AB7-AB6)*1000</f>
        <v>-0.20000000000130999</v>
      </c>
      <c r="AD7" s="44">
        <f t="shared" ref="AD7:AD20" si="20">AD6+AC7</f>
        <v>-0.20000000000130999</v>
      </c>
      <c r="AE7" s="45">
        <f t="shared" ref="AE7:AE20" si="21">AC7/(S7-S6)</f>
        <v>-0.20000000000130999</v>
      </c>
      <c r="AF7" s="50">
        <v>80802</v>
      </c>
      <c r="AG7" s="58">
        <f t="shared" ref="AG7:AG20" si="22">AF7-80793</f>
        <v>9</v>
      </c>
      <c r="AH7" s="59"/>
      <c r="AI7" s="60"/>
      <c r="AJ7" s="61"/>
      <c r="AK7" s="62"/>
      <c r="AL7" s="52"/>
      <c r="AM7" s="52"/>
    </row>
    <row r="8" spans="1:48">
      <c r="A8" s="21">
        <v>45024</v>
      </c>
      <c r="B8" s="22">
        <v>791.80629999999996</v>
      </c>
      <c r="C8" s="6">
        <v>4.9176000000000002</v>
      </c>
      <c r="D8" s="23">
        <f t="shared" si="0"/>
        <v>796.72389999999996</v>
      </c>
      <c r="E8" s="24">
        <f t="shared" si="4"/>
        <v>-0.199999999949796</v>
      </c>
      <c r="F8" s="25">
        <f t="shared" si="5"/>
        <v>-0.40000000001327901</v>
      </c>
      <c r="G8" s="26">
        <f t="shared" si="6"/>
        <v>-0.199999999949796</v>
      </c>
      <c r="H8" s="6">
        <v>6.0635000000000003</v>
      </c>
      <c r="I8" s="35">
        <f t="shared" si="1"/>
        <v>797.86980000000005</v>
      </c>
      <c r="J8" s="24">
        <f t="shared" si="7"/>
        <v>-0.30000000003838101</v>
      </c>
      <c r="K8" s="25">
        <f t="shared" si="8"/>
        <v>-0.49999999998817701</v>
      </c>
      <c r="L8" s="26">
        <f t="shared" si="9"/>
        <v>-0.30000000003838101</v>
      </c>
      <c r="M8" s="6">
        <v>4.7187999999999999</v>
      </c>
      <c r="N8" s="35">
        <f t="shared" si="2"/>
        <v>796.52509999999995</v>
      </c>
      <c r="O8" s="24">
        <f t="shared" si="10"/>
        <v>-0.20000000006348301</v>
      </c>
      <c r="P8" s="25">
        <f t="shared" si="11"/>
        <v>-0.30000000003838101</v>
      </c>
      <c r="Q8" s="26">
        <f t="shared" si="12"/>
        <v>-0.20000000006348301</v>
      </c>
      <c r="R8" s="41"/>
      <c r="S8" s="21">
        <f t="shared" si="3"/>
        <v>45024</v>
      </c>
      <c r="T8" s="42">
        <v>8.2448999999999995</v>
      </c>
      <c r="U8" s="43">
        <f t="shared" si="13"/>
        <v>-0.20000000000130999</v>
      </c>
      <c r="V8" s="44">
        <f t="shared" si="14"/>
        <v>-9.99999999997669E-2</v>
      </c>
      <c r="W8" s="45">
        <f t="shared" si="15"/>
        <v>0.20000000000130999</v>
      </c>
      <c r="X8" s="6">
        <v>12.210599999999999</v>
      </c>
      <c r="Y8" s="43">
        <f t="shared" si="16"/>
        <v>-0.20000000000130999</v>
      </c>
      <c r="Z8" s="44">
        <f t="shared" si="17"/>
        <v>-0.40000000000084401</v>
      </c>
      <c r="AA8" s="45">
        <f t="shared" si="18"/>
        <v>-0.20000000000130999</v>
      </c>
      <c r="AB8" s="49">
        <v>8.7043999999999997</v>
      </c>
      <c r="AC8" s="43">
        <f t="shared" si="19"/>
        <v>-9.99999999997669E-2</v>
      </c>
      <c r="AD8" s="44">
        <f t="shared" si="20"/>
        <v>-0.30000000000107702</v>
      </c>
      <c r="AE8" s="45">
        <f t="shared" si="21"/>
        <v>-9.99999999997669E-2</v>
      </c>
      <c r="AF8" s="50">
        <v>80805</v>
      </c>
      <c r="AG8" s="58">
        <f t="shared" si="22"/>
        <v>12</v>
      </c>
      <c r="AH8" s="59"/>
      <c r="AI8" s="60"/>
      <c r="AJ8" s="61"/>
      <c r="AK8" s="62"/>
      <c r="AL8" s="52"/>
      <c r="AM8" s="52"/>
    </row>
    <row r="9" spans="1:48">
      <c r="A9" s="21">
        <v>45025</v>
      </c>
      <c r="B9" s="22">
        <v>791.80629999999996</v>
      </c>
      <c r="C9" s="6">
        <v>4.9175000000000004</v>
      </c>
      <c r="D9" s="23">
        <f t="shared" si="0"/>
        <v>796.72379999999998</v>
      </c>
      <c r="E9" s="24">
        <f t="shared" si="4"/>
        <v>-9.9999999974897905E-2</v>
      </c>
      <c r="F9" s="25">
        <f t="shared" si="5"/>
        <v>-0.49999999998817701</v>
      </c>
      <c r="G9" s="26">
        <f t="shared" si="6"/>
        <v>-9.9999999974897905E-2</v>
      </c>
      <c r="H9" s="6">
        <v>6.0633999999999997</v>
      </c>
      <c r="I9" s="35">
        <f t="shared" si="1"/>
        <v>797.86969999999997</v>
      </c>
      <c r="J9" s="24">
        <f t="shared" si="7"/>
        <v>-9.9999999974897905E-2</v>
      </c>
      <c r="K9" s="25">
        <f t="shared" si="8"/>
        <v>-0.59999999996307496</v>
      </c>
      <c r="L9" s="26">
        <f t="shared" si="9"/>
        <v>-9.9999999974897905E-2</v>
      </c>
      <c r="M9" s="6">
        <v>4.7186000000000003</v>
      </c>
      <c r="N9" s="35">
        <f t="shared" si="2"/>
        <v>796.5249</v>
      </c>
      <c r="O9" s="24">
        <f t="shared" si="10"/>
        <v>-0.199999999949796</v>
      </c>
      <c r="P9" s="25">
        <f t="shared" si="11"/>
        <v>-0.49999999998817701</v>
      </c>
      <c r="Q9" s="26">
        <f t="shared" si="12"/>
        <v>-0.199999999949796</v>
      </c>
      <c r="R9" s="41"/>
      <c r="S9" s="21">
        <f t="shared" si="3"/>
        <v>45025</v>
      </c>
      <c r="T9" s="42">
        <v>8.2446999999999999</v>
      </c>
      <c r="U9" s="43">
        <f t="shared" si="13"/>
        <v>-0.19999999999953399</v>
      </c>
      <c r="V9" s="44">
        <f t="shared" si="14"/>
        <v>-0.29999999999930099</v>
      </c>
      <c r="W9" s="45">
        <f t="shared" si="15"/>
        <v>0.19999999999953399</v>
      </c>
      <c r="X9" s="6">
        <v>12.21</v>
      </c>
      <c r="Y9" s="43">
        <f t="shared" si="16"/>
        <v>-0.59999999999860198</v>
      </c>
      <c r="Z9" s="44">
        <f t="shared" si="17"/>
        <v>-0.999999999999446</v>
      </c>
      <c r="AA9" s="45">
        <f t="shared" si="18"/>
        <v>-0.59999999999860198</v>
      </c>
      <c r="AB9" s="49">
        <v>8.7041000000000004</v>
      </c>
      <c r="AC9" s="43">
        <f t="shared" si="19"/>
        <v>-0.29999999999930099</v>
      </c>
      <c r="AD9" s="44">
        <f t="shared" si="20"/>
        <v>-0.60000000000037801</v>
      </c>
      <c r="AE9" s="45">
        <f t="shared" si="21"/>
        <v>-0.29999999999930099</v>
      </c>
      <c r="AF9" s="50">
        <v>80808</v>
      </c>
      <c r="AG9" s="58">
        <f t="shared" si="22"/>
        <v>15</v>
      </c>
      <c r="AH9" s="61"/>
      <c r="AI9" s="60"/>
      <c r="AJ9"/>
      <c r="AK9"/>
      <c r="AL9"/>
      <c r="AM9"/>
    </row>
    <row r="10" spans="1:48">
      <c r="A10" s="21">
        <v>45026</v>
      </c>
      <c r="B10" s="22">
        <v>791.80629999999996</v>
      </c>
      <c r="C10" s="6">
        <v>4.9172000000000002</v>
      </c>
      <c r="D10" s="23">
        <f t="shared" si="0"/>
        <v>796.72349999999994</v>
      </c>
      <c r="E10" s="24">
        <f t="shared" si="4"/>
        <v>-0.30000000003838101</v>
      </c>
      <c r="F10" s="25">
        <f t="shared" si="5"/>
        <v>-0.80000000002655702</v>
      </c>
      <c r="G10" s="26">
        <f t="shared" si="6"/>
        <v>-0.30000000003838101</v>
      </c>
      <c r="H10" s="6">
        <v>6.0632999999999999</v>
      </c>
      <c r="I10" s="35">
        <f t="shared" si="1"/>
        <v>797.86959999999999</v>
      </c>
      <c r="J10" s="24">
        <f t="shared" si="7"/>
        <v>-9.9999999974897905E-2</v>
      </c>
      <c r="K10" s="25">
        <f t="shared" si="8"/>
        <v>-0.69999999993797202</v>
      </c>
      <c r="L10" s="26">
        <f t="shared" si="9"/>
        <v>-9.9999999974897905E-2</v>
      </c>
      <c r="M10" s="6">
        <v>4.7184999999999997</v>
      </c>
      <c r="N10" s="35">
        <f t="shared" si="2"/>
        <v>796.52480000000003</v>
      </c>
      <c r="O10" s="24">
        <f t="shared" si="10"/>
        <v>-0.10000000008858501</v>
      </c>
      <c r="P10" s="25">
        <f t="shared" si="11"/>
        <v>-0.60000000007676102</v>
      </c>
      <c r="Q10" s="26">
        <f t="shared" si="12"/>
        <v>-0.10000000008858501</v>
      </c>
      <c r="R10" s="41"/>
      <c r="S10" s="21">
        <f t="shared" si="3"/>
        <v>45026</v>
      </c>
      <c r="T10" s="42">
        <v>8.2446000000000002</v>
      </c>
      <c r="U10" s="43">
        <f t="shared" si="13"/>
        <v>-9.99999999997669E-2</v>
      </c>
      <c r="V10" s="44">
        <f t="shared" si="14"/>
        <v>-0.39999999999906799</v>
      </c>
      <c r="W10" s="45">
        <f t="shared" si="15"/>
        <v>9.99999999997669E-2</v>
      </c>
      <c r="X10" s="6">
        <v>12.2102</v>
      </c>
      <c r="Y10" s="43">
        <f t="shared" si="16"/>
        <v>0.19999999999953399</v>
      </c>
      <c r="Z10" s="44">
        <f t="shared" si="17"/>
        <v>-0.799999999999912</v>
      </c>
      <c r="AA10" s="45">
        <f t="shared" si="18"/>
        <v>0.19999999999953399</v>
      </c>
      <c r="AB10" s="49">
        <v>8.7039000000000009</v>
      </c>
      <c r="AC10" s="43">
        <f t="shared" si="19"/>
        <v>-0.19999999999953399</v>
      </c>
      <c r="AD10" s="44">
        <f t="shared" si="20"/>
        <v>-0.799999999999912</v>
      </c>
      <c r="AE10" s="45">
        <f t="shared" si="21"/>
        <v>-0.19999999999953399</v>
      </c>
      <c r="AF10" s="50">
        <v>80811</v>
      </c>
      <c r="AG10" s="58">
        <f t="shared" si="22"/>
        <v>18</v>
      </c>
      <c r="AH10" s="59"/>
      <c r="AI10" s="60"/>
      <c r="AJ10" s="61"/>
      <c r="AK10" s="62"/>
      <c r="AL10" s="52"/>
      <c r="AM10" s="52"/>
    </row>
    <row r="11" spans="1:48">
      <c r="A11" s="21">
        <v>45027</v>
      </c>
      <c r="B11" s="22">
        <v>791.80629999999996</v>
      </c>
      <c r="C11" s="6">
        <v>4.9170999999999996</v>
      </c>
      <c r="D11" s="23">
        <f t="shared" si="0"/>
        <v>796.72339999999997</v>
      </c>
      <c r="E11" s="24">
        <f t="shared" si="4"/>
        <v>-9.9999999974897905E-2</v>
      </c>
      <c r="F11" s="25">
        <f t="shared" si="5"/>
        <v>-0.90000000000145497</v>
      </c>
      <c r="G11" s="26">
        <f t="shared" si="6"/>
        <v>-9.9999999974897905E-2</v>
      </c>
      <c r="H11" s="6">
        <v>6.0632000000000001</v>
      </c>
      <c r="I11" s="35">
        <f t="shared" si="1"/>
        <v>797.86950000000002</v>
      </c>
      <c r="J11" s="24">
        <f t="shared" si="7"/>
        <v>-9.9999999974897905E-2</v>
      </c>
      <c r="K11" s="25">
        <f t="shared" si="8"/>
        <v>-0.79999999991286996</v>
      </c>
      <c r="L11" s="26">
        <f t="shared" si="9"/>
        <v>-9.9999999974897905E-2</v>
      </c>
      <c r="M11" s="6">
        <v>4.7182000000000004</v>
      </c>
      <c r="N11" s="35">
        <f t="shared" si="2"/>
        <v>796.52449999999999</v>
      </c>
      <c r="O11" s="24">
        <f t="shared" si="10"/>
        <v>-0.29999999992469401</v>
      </c>
      <c r="P11" s="25">
        <f t="shared" si="11"/>
        <v>-0.90000000000145497</v>
      </c>
      <c r="Q11" s="26">
        <f t="shared" si="12"/>
        <v>-0.29999999992469401</v>
      </c>
      <c r="R11" s="41"/>
      <c r="S11" s="21">
        <f t="shared" si="3"/>
        <v>45027</v>
      </c>
      <c r="T11" s="42">
        <v>8.2443000000000008</v>
      </c>
      <c r="U11" s="43">
        <f t="shared" si="13"/>
        <v>-0.29999999999930099</v>
      </c>
      <c r="V11" s="44">
        <f t="shared" si="14"/>
        <v>-0.69999999999836904</v>
      </c>
      <c r="W11" s="45">
        <f t="shared" si="15"/>
        <v>0.29999999999930099</v>
      </c>
      <c r="X11" s="6">
        <v>12.21</v>
      </c>
      <c r="Y11" s="43">
        <f t="shared" si="16"/>
        <v>-0.19999999999953399</v>
      </c>
      <c r="Z11" s="44">
        <f t="shared" si="17"/>
        <v>-0.999999999999446</v>
      </c>
      <c r="AA11" s="45">
        <f t="shared" si="18"/>
        <v>-0.19999999999953399</v>
      </c>
      <c r="AB11" s="49">
        <v>8.7040000000000006</v>
      </c>
      <c r="AC11" s="43">
        <f t="shared" si="19"/>
        <v>9.99999999997669E-2</v>
      </c>
      <c r="AD11" s="44">
        <f t="shared" si="20"/>
        <v>-0.70000000000014495</v>
      </c>
      <c r="AE11" s="45">
        <f t="shared" si="21"/>
        <v>9.99999999997669E-2</v>
      </c>
      <c r="AF11" s="50">
        <v>80814</v>
      </c>
      <c r="AG11" s="58">
        <f t="shared" si="22"/>
        <v>21</v>
      </c>
      <c r="AH11" s="61"/>
      <c r="AI11" s="60"/>
      <c r="AJ11"/>
      <c r="AK11"/>
      <c r="AL11"/>
      <c r="AM11"/>
    </row>
    <row r="12" spans="1:48">
      <c r="A12" s="21">
        <v>45028</v>
      </c>
      <c r="B12" s="22">
        <v>791.80629999999996</v>
      </c>
      <c r="C12" s="6">
        <v>4.9168000000000003</v>
      </c>
      <c r="D12" s="23">
        <f t="shared" si="0"/>
        <v>796.72310000000004</v>
      </c>
      <c r="E12" s="24">
        <f t="shared" si="4"/>
        <v>-0.30000000003838101</v>
      </c>
      <c r="F12" s="25">
        <f t="shared" si="5"/>
        <v>-1.2000000000398401</v>
      </c>
      <c r="G12" s="26">
        <f t="shared" si="6"/>
        <v>-0.30000000003838101</v>
      </c>
      <c r="H12" s="6">
        <v>6.0629999999999997</v>
      </c>
      <c r="I12" s="35">
        <f t="shared" si="1"/>
        <v>797.86929999999995</v>
      </c>
      <c r="J12" s="24">
        <f t="shared" si="7"/>
        <v>-0.20000000006348301</v>
      </c>
      <c r="K12" s="25">
        <f t="shared" si="8"/>
        <v>-0.99999999997635303</v>
      </c>
      <c r="L12" s="26">
        <f t="shared" si="9"/>
        <v>-0.20000000006348301</v>
      </c>
      <c r="M12" s="6">
        <v>4.718</v>
      </c>
      <c r="N12" s="35">
        <f t="shared" si="2"/>
        <v>796.52430000000004</v>
      </c>
      <c r="O12" s="24">
        <f t="shared" si="10"/>
        <v>-0.20000000006348301</v>
      </c>
      <c r="P12" s="25">
        <f t="shared" si="11"/>
        <v>-1.1000000000649399</v>
      </c>
      <c r="Q12" s="26">
        <f t="shared" si="12"/>
        <v>-0.20000000006348301</v>
      </c>
      <c r="R12" s="41"/>
      <c r="S12" s="21">
        <f t="shared" si="3"/>
        <v>45028</v>
      </c>
      <c r="T12" s="42">
        <v>8.2440999999999907</v>
      </c>
      <c r="U12" s="43">
        <f t="shared" si="13"/>
        <v>-0.200000000010192</v>
      </c>
      <c r="V12" s="44">
        <f t="shared" si="14"/>
        <v>-0.90000000000856095</v>
      </c>
      <c r="W12" s="45">
        <f t="shared" si="15"/>
        <v>0.200000000010192</v>
      </c>
      <c r="X12" s="6">
        <v>12.2098</v>
      </c>
      <c r="Y12" s="43">
        <f t="shared" si="16"/>
        <v>-0.20000000000130999</v>
      </c>
      <c r="Z12" s="44">
        <f t="shared" si="17"/>
        <v>-1.20000000000076</v>
      </c>
      <c r="AA12" s="45">
        <f t="shared" si="18"/>
        <v>-0.20000000000130999</v>
      </c>
      <c r="AB12" s="49">
        <v>8.7034999999999894</v>
      </c>
      <c r="AC12" s="43">
        <f t="shared" si="19"/>
        <v>-0.50000000001126899</v>
      </c>
      <c r="AD12" s="44">
        <f t="shared" si="20"/>
        <v>-1.2000000000114099</v>
      </c>
      <c r="AE12" s="45">
        <f t="shared" si="21"/>
        <v>-0.50000000001126899</v>
      </c>
      <c r="AF12" s="50">
        <v>80817</v>
      </c>
      <c r="AG12" s="58">
        <f t="shared" si="22"/>
        <v>24</v>
      </c>
      <c r="AH12" s="59"/>
      <c r="AI12" s="60"/>
      <c r="AJ12"/>
      <c r="AK12"/>
      <c r="AL12"/>
      <c r="AM12"/>
    </row>
    <row r="13" spans="1:48">
      <c r="A13" s="21">
        <v>45029</v>
      </c>
      <c r="B13" s="22">
        <v>791.80629999999996</v>
      </c>
      <c r="C13" s="6">
        <v>4.9165999999999999</v>
      </c>
      <c r="D13" s="23">
        <f t="shared" si="0"/>
        <v>796.72289999999998</v>
      </c>
      <c r="E13" s="24">
        <f t="shared" si="4"/>
        <v>-0.199999999949796</v>
      </c>
      <c r="F13" s="25">
        <f t="shared" si="5"/>
        <v>-1.39999999998963</v>
      </c>
      <c r="G13" s="26">
        <f t="shared" si="6"/>
        <v>-0.199999999949796</v>
      </c>
      <c r="H13" s="6">
        <v>6.0629999999999997</v>
      </c>
      <c r="I13" s="35">
        <f t="shared" si="1"/>
        <v>797.86929999999995</v>
      </c>
      <c r="J13" s="24">
        <f t="shared" si="7"/>
        <v>0</v>
      </c>
      <c r="K13" s="25">
        <f t="shared" si="8"/>
        <v>-0.99999999997635303</v>
      </c>
      <c r="L13" s="26">
        <f t="shared" si="9"/>
        <v>0</v>
      </c>
      <c r="M13" s="6">
        <v>4.7180999999999997</v>
      </c>
      <c r="N13" s="35">
        <f t="shared" si="2"/>
        <v>796.52440000000001</v>
      </c>
      <c r="O13" s="24">
        <f t="shared" si="10"/>
        <v>0.10000000008858501</v>
      </c>
      <c r="P13" s="25">
        <f t="shared" si="11"/>
        <v>-0.99999999997635303</v>
      </c>
      <c r="Q13" s="26">
        <f t="shared" si="12"/>
        <v>0.10000000008858501</v>
      </c>
      <c r="R13" s="41"/>
      <c r="S13" s="21">
        <f t="shared" si="3"/>
        <v>45029</v>
      </c>
      <c r="T13" s="42">
        <v>8.2439999999999998</v>
      </c>
      <c r="U13" s="43">
        <f t="shared" si="13"/>
        <v>-9.9999999990885199E-2</v>
      </c>
      <c r="V13" s="44">
        <f t="shared" si="14"/>
        <v>-0.999999999999446</v>
      </c>
      <c r="W13" s="45">
        <f t="shared" si="15"/>
        <v>9.9999999990885199E-2</v>
      </c>
      <c r="X13" s="6">
        <v>12.2095</v>
      </c>
      <c r="Y13" s="43">
        <f t="shared" si="16"/>
        <v>-0.29999999999930099</v>
      </c>
      <c r="Z13" s="44">
        <f t="shared" si="17"/>
        <v>-1.50000000000006</v>
      </c>
      <c r="AA13" s="45">
        <f t="shared" si="18"/>
        <v>-0.29999999999930099</v>
      </c>
      <c r="AB13" s="49">
        <v>8.7032999999999898</v>
      </c>
      <c r="AC13" s="43">
        <f t="shared" si="19"/>
        <v>-0.19999999999953399</v>
      </c>
      <c r="AD13" s="44">
        <f t="shared" si="20"/>
        <v>-1.40000000001095</v>
      </c>
      <c r="AE13" s="45">
        <f t="shared" si="21"/>
        <v>-0.19999999999953399</v>
      </c>
      <c r="AF13" s="50">
        <v>80820</v>
      </c>
      <c r="AG13" s="58">
        <f t="shared" si="22"/>
        <v>27</v>
      </c>
      <c r="AH13" s="61"/>
      <c r="AI13" s="60"/>
      <c r="AJ13"/>
      <c r="AK13"/>
      <c r="AL13"/>
      <c r="AM13"/>
    </row>
    <row r="14" spans="1:48">
      <c r="A14" s="21">
        <v>45030</v>
      </c>
      <c r="B14" s="22">
        <v>791.80629999999996</v>
      </c>
      <c r="C14" s="6">
        <v>4.9162999999999997</v>
      </c>
      <c r="D14" s="23">
        <f t="shared" si="0"/>
        <v>796.72260000000006</v>
      </c>
      <c r="E14" s="24">
        <f t="shared" si="4"/>
        <v>-0.30000000003838101</v>
      </c>
      <c r="F14" s="25">
        <f t="shared" si="5"/>
        <v>-1.70000000002801</v>
      </c>
      <c r="G14" s="26">
        <f t="shared" si="6"/>
        <v>-0.30000000003838101</v>
      </c>
      <c r="H14" s="6">
        <v>6.0629</v>
      </c>
      <c r="I14" s="35">
        <f t="shared" si="1"/>
        <v>797.86919999999998</v>
      </c>
      <c r="J14" s="24">
        <f t="shared" si="7"/>
        <v>-9.9999999974897905E-2</v>
      </c>
      <c r="K14" s="25">
        <f t="shared" si="8"/>
        <v>-1.09999999995125</v>
      </c>
      <c r="L14" s="26">
        <f t="shared" si="9"/>
        <v>-9.9999999974897905E-2</v>
      </c>
      <c r="M14" s="6">
        <v>4.7176</v>
      </c>
      <c r="N14" s="35">
        <f t="shared" si="2"/>
        <v>796.52390000000003</v>
      </c>
      <c r="O14" s="24">
        <f t="shared" si="10"/>
        <v>-0.50000000010186296</v>
      </c>
      <c r="P14" s="25">
        <f t="shared" si="11"/>
        <v>-1.5000000000782201</v>
      </c>
      <c r="Q14" s="26">
        <f t="shared" si="12"/>
        <v>-0.50000000010186296</v>
      </c>
      <c r="R14" s="41"/>
      <c r="S14" s="21">
        <f t="shared" si="3"/>
        <v>45030</v>
      </c>
      <c r="T14" s="42">
        <v>8.2436999999999898</v>
      </c>
      <c r="U14" s="43">
        <f t="shared" si="13"/>
        <v>-0.30000000000995902</v>
      </c>
      <c r="V14" s="44">
        <f t="shared" si="14"/>
        <v>-1.3000000000094001</v>
      </c>
      <c r="W14" s="45">
        <f t="shared" si="15"/>
        <v>0.30000000000995902</v>
      </c>
      <c r="X14" s="6">
        <v>12.2094</v>
      </c>
      <c r="Y14" s="43">
        <f t="shared" si="16"/>
        <v>-9.99999999997669E-2</v>
      </c>
      <c r="Z14" s="44">
        <f t="shared" si="17"/>
        <v>-1.59999999999982</v>
      </c>
      <c r="AA14" s="45">
        <f t="shared" si="18"/>
        <v>-9.99999999997669E-2</v>
      </c>
      <c r="AB14" s="49">
        <v>8.7034000000000002</v>
      </c>
      <c r="AC14" s="43">
        <f t="shared" si="19"/>
        <v>0.100000000010425</v>
      </c>
      <c r="AD14" s="44">
        <f t="shared" si="20"/>
        <v>-1.3000000000005201</v>
      </c>
      <c r="AE14" s="45">
        <f t="shared" si="21"/>
        <v>0.100000000010425</v>
      </c>
      <c r="AF14" s="50">
        <v>80823</v>
      </c>
      <c r="AG14" s="58">
        <f t="shared" si="22"/>
        <v>30</v>
      </c>
      <c r="AH14" s="59"/>
      <c r="AI14" s="60"/>
      <c r="AJ14"/>
      <c r="AK14"/>
      <c r="AL14"/>
      <c r="AM14"/>
    </row>
    <row r="15" spans="1:48">
      <c r="A15" s="21">
        <v>45031</v>
      </c>
      <c r="B15" s="22">
        <v>791.80629999999996</v>
      </c>
      <c r="C15" s="6">
        <v>4.9161999999999999</v>
      </c>
      <c r="D15" s="23">
        <f t="shared" si="0"/>
        <v>796.72249999999997</v>
      </c>
      <c r="E15" s="24">
        <f t="shared" si="4"/>
        <v>-9.9999999974897905E-2</v>
      </c>
      <c r="F15" s="25">
        <f t="shared" si="5"/>
        <v>-1.8000000000029099</v>
      </c>
      <c r="G15" s="26">
        <f t="shared" si="6"/>
        <v>-9.9999999974897905E-2</v>
      </c>
      <c r="H15" s="6">
        <v>6.0625</v>
      </c>
      <c r="I15" s="35">
        <f t="shared" si="1"/>
        <v>797.86879999999996</v>
      </c>
      <c r="J15" s="24">
        <f t="shared" si="7"/>
        <v>-0.40000000001327901</v>
      </c>
      <c r="K15" s="25">
        <f t="shared" si="8"/>
        <v>-1.4999999999645299</v>
      </c>
      <c r="L15" s="26">
        <f t="shared" si="9"/>
        <v>-0.40000000001327901</v>
      </c>
      <c r="M15" s="6">
        <v>4.7173999999999996</v>
      </c>
      <c r="N15" s="35">
        <f t="shared" si="2"/>
        <v>796.52369999999996</v>
      </c>
      <c r="O15" s="24">
        <f t="shared" si="10"/>
        <v>-0.199999999949796</v>
      </c>
      <c r="P15" s="25">
        <f t="shared" si="11"/>
        <v>-1.70000000002801</v>
      </c>
      <c r="Q15" s="26">
        <f t="shared" si="12"/>
        <v>-0.199999999949796</v>
      </c>
      <c r="R15" s="41"/>
      <c r="S15" s="21">
        <f t="shared" si="3"/>
        <v>45031</v>
      </c>
      <c r="T15" s="42">
        <v>8.2434999999999903</v>
      </c>
      <c r="U15" s="43">
        <f t="shared" si="13"/>
        <v>-0.19999999999953399</v>
      </c>
      <c r="V15" s="44">
        <f t="shared" si="14"/>
        <v>-1.50000000000894</v>
      </c>
      <c r="W15" s="45">
        <f t="shared" si="15"/>
        <v>0.19999999999953399</v>
      </c>
      <c r="X15" s="6">
        <v>12.2095</v>
      </c>
      <c r="Y15" s="43">
        <f t="shared" si="16"/>
        <v>9.99999999997669E-2</v>
      </c>
      <c r="Z15" s="44">
        <f t="shared" si="17"/>
        <v>-1.50000000000006</v>
      </c>
      <c r="AA15" s="45">
        <f t="shared" si="18"/>
        <v>9.99999999997669E-2</v>
      </c>
      <c r="AB15" s="49">
        <v>8.7028999999999908</v>
      </c>
      <c r="AC15" s="43">
        <f t="shared" si="19"/>
        <v>-0.50000000000949296</v>
      </c>
      <c r="AD15" s="44">
        <f t="shared" si="20"/>
        <v>-1.80000000001002</v>
      </c>
      <c r="AE15" s="45">
        <f t="shared" si="21"/>
        <v>-0.50000000000949296</v>
      </c>
      <c r="AF15" s="50">
        <v>80826</v>
      </c>
      <c r="AG15" s="58">
        <f t="shared" si="22"/>
        <v>33</v>
      </c>
      <c r="AH15" s="61"/>
      <c r="AI15" s="60"/>
      <c r="AJ15"/>
      <c r="AK15"/>
      <c r="AL15"/>
      <c r="AM15"/>
    </row>
    <row r="16" spans="1:48">
      <c r="A16" s="21">
        <v>45032</v>
      </c>
      <c r="B16" s="22">
        <v>791.80629999999996</v>
      </c>
      <c r="C16" s="6">
        <v>4.9160000000000004</v>
      </c>
      <c r="D16" s="23">
        <f t="shared" si="0"/>
        <v>796.72230000000002</v>
      </c>
      <c r="E16" s="24">
        <f t="shared" si="4"/>
        <v>-0.199999999949796</v>
      </c>
      <c r="F16" s="25">
        <f t="shared" si="5"/>
        <v>-1.9999999999527101</v>
      </c>
      <c r="G16" s="26">
        <f t="shared" si="6"/>
        <v>-0.199999999949796</v>
      </c>
      <c r="H16" s="6">
        <v>6.0627000000000004</v>
      </c>
      <c r="I16" s="35">
        <f t="shared" si="1"/>
        <v>797.86900000000003</v>
      </c>
      <c r="J16" s="24">
        <f t="shared" si="7"/>
        <v>0.199999999949796</v>
      </c>
      <c r="K16" s="25">
        <f t="shared" si="8"/>
        <v>-1.30000000001473</v>
      </c>
      <c r="L16" s="26">
        <f t="shared" si="9"/>
        <v>0.199999999949796</v>
      </c>
      <c r="M16" s="6">
        <v>4.7175000000000002</v>
      </c>
      <c r="N16" s="35">
        <f t="shared" si="2"/>
        <v>796.52380000000005</v>
      </c>
      <c r="O16" s="24">
        <f t="shared" si="10"/>
        <v>9.9999999974897905E-2</v>
      </c>
      <c r="P16" s="25">
        <f t="shared" si="11"/>
        <v>-1.60000000005311</v>
      </c>
      <c r="Q16" s="26">
        <f t="shared" si="12"/>
        <v>9.9999999974897905E-2</v>
      </c>
      <c r="R16" s="41"/>
      <c r="S16" s="21">
        <f t="shared" si="3"/>
        <v>45032</v>
      </c>
      <c r="T16" s="42">
        <v>8.2436000000000007</v>
      </c>
      <c r="U16" s="43">
        <f t="shared" si="13"/>
        <v>0.100000000010425</v>
      </c>
      <c r="V16" s="44">
        <f t="shared" si="14"/>
        <v>-1.39999999999851</v>
      </c>
      <c r="W16" s="45">
        <f t="shared" si="15"/>
        <v>-0.100000000010425</v>
      </c>
      <c r="X16" s="6">
        <v>12.209</v>
      </c>
      <c r="Y16" s="43">
        <f t="shared" si="16"/>
        <v>-0.50000000000061096</v>
      </c>
      <c r="Z16" s="44">
        <f t="shared" si="17"/>
        <v>-2.0000000000006701</v>
      </c>
      <c r="AA16" s="45">
        <f t="shared" si="18"/>
        <v>-0.50000000000061096</v>
      </c>
      <c r="AB16" s="49">
        <v>8.7026999999999894</v>
      </c>
      <c r="AC16" s="43">
        <f t="shared" si="19"/>
        <v>-0.20000000000130999</v>
      </c>
      <c r="AD16" s="44">
        <f t="shared" si="20"/>
        <v>-2.00000000001133</v>
      </c>
      <c r="AE16" s="45">
        <f t="shared" si="21"/>
        <v>-0.20000000000130999</v>
      </c>
      <c r="AF16" s="50">
        <v>80829</v>
      </c>
      <c r="AG16" s="58">
        <f t="shared" si="22"/>
        <v>36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45033</v>
      </c>
      <c r="B17" s="22">
        <v>791.80629999999996</v>
      </c>
      <c r="C17" s="6">
        <v>4.9161000000000001</v>
      </c>
      <c r="D17" s="23">
        <f t="shared" si="0"/>
        <v>796.72239999999999</v>
      </c>
      <c r="E17" s="24">
        <f t="shared" si="4"/>
        <v>9.9999999974897905E-2</v>
      </c>
      <c r="F17" s="25">
        <f t="shared" si="5"/>
        <v>-1.8999999999778101</v>
      </c>
      <c r="G17" s="26">
        <f t="shared" si="6"/>
        <v>9.9999999974897905E-2</v>
      </c>
      <c r="H17" s="6">
        <v>6.0625999999999998</v>
      </c>
      <c r="I17" s="35">
        <f t="shared" si="1"/>
        <v>797.86889999999994</v>
      </c>
      <c r="J17" s="24">
        <f t="shared" si="7"/>
        <v>-0.10000000008858478</v>
      </c>
      <c r="K17" s="25">
        <f t="shared" si="8"/>
        <v>-1.4000000001033148</v>
      </c>
      <c r="L17" s="26">
        <f t="shared" si="9"/>
        <v>-0.10000000008858478</v>
      </c>
      <c r="M17" s="6">
        <v>4.7169999999999996</v>
      </c>
      <c r="N17" s="35">
        <f t="shared" si="2"/>
        <v>796.52329999999995</v>
      </c>
      <c r="O17" s="24">
        <f t="shared" si="10"/>
        <v>-0.49999999998817701</v>
      </c>
      <c r="P17" s="25">
        <f t="shared" si="11"/>
        <v>-2.1000000000412902</v>
      </c>
      <c r="Q17" s="26">
        <f t="shared" si="12"/>
        <v>-0.49999999998817701</v>
      </c>
      <c r="R17" s="41"/>
      <c r="S17" s="21">
        <f t="shared" si="3"/>
        <v>45033</v>
      </c>
      <c r="T17" s="42">
        <v>8.2431000000000001</v>
      </c>
      <c r="U17" s="43">
        <f t="shared" si="13"/>
        <v>-0.50000000000061107</v>
      </c>
      <c r="V17" s="44">
        <f t="shared" si="14"/>
        <v>-1.8999999999991211</v>
      </c>
      <c r="W17" s="45">
        <f t="shared" si="15"/>
        <v>0.50000000000061107</v>
      </c>
      <c r="X17" s="6">
        <v>12.2088</v>
      </c>
      <c r="Y17" s="43">
        <f t="shared" si="16"/>
        <v>-0.19999999999953399</v>
      </c>
      <c r="Z17" s="44">
        <f t="shared" si="17"/>
        <v>-2.2000000000002</v>
      </c>
      <c r="AA17" s="45">
        <f t="shared" si="18"/>
        <v>-0.19999999999953399</v>
      </c>
      <c r="AB17" s="49">
        <v>8.7026000000000003</v>
      </c>
      <c r="AC17" s="43">
        <f t="shared" si="19"/>
        <v>-9.9999999989108801E-2</v>
      </c>
      <c r="AD17" s="44">
        <f t="shared" si="20"/>
        <v>-2.10000000000043</v>
      </c>
      <c r="AE17" s="45">
        <f t="shared" si="21"/>
        <v>-9.9999999989108801E-2</v>
      </c>
      <c r="AF17" s="50">
        <v>80832</v>
      </c>
      <c r="AG17" s="58">
        <f t="shared" si="22"/>
        <v>39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45034</v>
      </c>
      <c r="B18" s="22">
        <v>791.80629999999996</v>
      </c>
      <c r="C18" s="6">
        <v>4.9156000000000004</v>
      </c>
      <c r="D18" s="23">
        <f t="shared" si="0"/>
        <v>796.72190000000001</v>
      </c>
      <c r="E18" s="24">
        <f t="shared" si="4"/>
        <v>-0.49999999998817701</v>
      </c>
      <c r="F18" s="25">
        <f t="shared" si="5"/>
        <v>-2.39999999996598</v>
      </c>
      <c r="G18" s="26">
        <f t="shared" si="6"/>
        <v>-0.49999999998817701</v>
      </c>
      <c r="H18" s="6">
        <v>6.0625</v>
      </c>
      <c r="I18" s="35">
        <f t="shared" si="1"/>
        <v>797.86879999999996</v>
      </c>
      <c r="J18" s="24">
        <f t="shared" si="7"/>
        <v>-9.9999999974897946E-2</v>
      </c>
      <c r="K18" s="25">
        <f t="shared" si="8"/>
        <v>-1.5000000000782128</v>
      </c>
      <c r="L18" s="26">
        <f t="shared" si="9"/>
        <v>-9.9999999974897946E-2</v>
      </c>
      <c r="M18" s="6">
        <v>4.7168000000000001</v>
      </c>
      <c r="N18" s="35">
        <f t="shared" si="2"/>
        <v>796.5231</v>
      </c>
      <c r="O18" s="24">
        <f t="shared" si="10"/>
        <v>-0.199999999949796</v>
      </c>
      <c r="P18" s="25">
        <f t="shared" si="11"/>
        <v>-2.2999999999910901</v>
      </c>
      <c r="Q18" s="26">
        <f t="shared" si="12"/>
        <v>-0.199999999949796</v>
      </c>
      <c r="R18" s="41"/>
      <c r="S18" s="21">
        <f t="shared" si="3"/>
        <v>45034</v>
      </c>
      <c r="T18" s="42">
        <v>8.2429000000000006</v>
      </c>
      <c r="U18" s="43">
        <f t="shared" si="13"/>
        <v>-0.19999999999953388</v>
      </c>
      <c r="V18" s="44">
        <f t="shared" si="14"/>
        <v>-2.0999999999986549</v>
      </c>
      <c r="W18" s="45">
        <f t="shared" si="15"/>
        <v>0.19999999999953388</v>
      </c>
      <c r="X18" s="6">
        <v>12.208399999999999</v>
      </c>
      <c r="Y18" s="43">
        <f t="shared" si="16"/>
        <v>-0.40000000000084401</v>
      </c>
      <c r="Z18" s="44">
        <f t="shared" si="17"/>
        <v>-2.6000000000010499</v>
      </c>
      <c r="AA18" s="45">
        <f t="shared" si="18"/>
        <v>-0.40000000000084401</v>
      </c>
      <c r="AB18" s="49">
        <v>8.7022999999999993</v>
      </c>
      <c r="AC18" s="43">
        <f t="shared" si="19"/>
        <v>-0.30000000000107718</v>
      </c>
      <c r="AD18" s="44">
        <f t="shared" si="20"/>
        <v>-2.4000000000015071</v>
      </c>
      <c r="AE18" s="45">
        <f t="shared" si="21"/>
        <v>-0.30000000000107718</v>
      </c>
      <c r="AF18" s="50">
        <v>80835</v>
      </c>
      <c r="AG18" s="58">
        <f t="shared" si="22"/>
        <v>42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45035</v>
      </c>
      <c r="B19" s="22">
        <v>791.80629999999996</v>
      </c>
      <c r="C19" s="6">
        <v>4.9153999999999902</v>
      </c>
      <c r="D19" s="23">
        <f t="shared" si="0"/>
        <v>796.72170000000006</v>
      </c>
      <c r="E19" s="24">
        <f t="shared" si="4"/>
        <v>-0.20000000006348301</v>
      </c>
      <c r="F19" s="25">
        <f t="shared" si="5"/>
        <v>-2.6000000000294698</v>
      </c>
      <c r="G19" s="26">
        <f t="shared" si="6"/>
        <v>-0.20000000006348301</v>
      </c>
      <c r="H19" s="6">
        <v>6.0622999999999996</v>
      </c>
      <c r="I19" s="35">
        <f t="shared" si="1"/>
        <v>797.86860000000001</v>
      </c>
      <c r="J19" s="24">
        <f t="shared" si="7"/>
        <v>-0.19999999994979589</v>
      </c>
      <c r="K19" s="25">
        <f t="shared" si="8"/>
        <v>-1.7000000000280087</v>
      </c>
      <c r="L19" s="26">
        <f t="shared" si="9"/>
        <v>-0.19999999994979589</v>
      </c>
      <c r="M19" s="6">
        <v>4.7164999999999999</v>
      </c>
      <c r="N19" s="35">
        <f t="shared" si="2"/>
        <v>796.52279999999996</v>
      </c>
      <c r="O19" s="24">
        <f t="shared" si="10"/>
        <v>-0.30000000003838101</v>
      </c>
      <c r="P19" s="25">
        <f t="shared" si="11"/>
        <v>-2.6000000000294698</v>
      </c>
      <c r="Q19" s="26">
        <f t="shared" si="12"/>
        <v>-0.30000000003838101</v>
      </c>
      <c r="R19" s="41"/>
      <c r="S19" s="21">
        <f t="shared" si="3"/>
        <v>45035</v>
      </c>
      <c r="T19" s="42">
        <v>8.2430000000000003</v>
      </c>
      <c r="U19" s="43">
        <f t="shared" si="13"/>
        <v>9.9999999999766942E-2</v>
      </c>
      <c r="V19" s="44">
        <f t="shared" si="14"/>
        <v>-1.999999999998888</v>
      </c>
      <c r="W19" s="45">
        <f t="shared" si="15"/>
        <v>-9.9999999999766942E-2</v>
      </c>
      <c r="X19" s="6">
        <v>12.208399999999999</v>
      </c>
      <c r="Y19" s="43">
        <f t="shared" si="16"/>
        <v>0</v>
      </c>
      <c r="Z19" s="44">
        <f t="shared" si="17"/>
        <v>-2.6000000000010499</v>
      </c>
      <c r="AA19" s="45">
        <f t="shared" si="18"/>
        <v>0</v>
      </c>
      <c r="AB19" s="49">
        <v>8.7020999999999997</v>
      </c>
      <c r="AC19" s="43">
        <f t="shared" si="19"/>
        <v>-0.19999999999953388</v>
      </c>
      <c r="AD19" s="44">
        <f t="shared" si="20"/>
        <v>-2.600000000001041</v>
      </c>
      <c r="AE19" s="45">
        <f t="shared" si="21"/>
        <v>-0.19999999999953388</v>
      </c>
      <c r="AF19" s="50">
        <v>80838</v>
      </c>
      <c r="AG19" s="58">
        <f t="shared" si="22"/>
        <v>45</v>
      </c>
      <c r="AH19" s="61"/>
      <c r="AI19" s="60"/>
      <c r="AJ19"/>
      <c r="AK19"/>
      <c r="AL19"/>
      <c r="AM19"/>
    </row>
    <row r="20" spans="1:48">
      <c r="A20" s="21">
        <v>45036</v>
      </c>
      <c r="B20" s="22">
        <v>791.80629999999996</v>
      </c>
      <c r="C20" s="6">
        <v>4.9153000000000002</v>
      </c>
      <c r="D20" s="23">
        <f t="shared" si="0"/>
        <v>796.72159999999997</v>
      </c>
      <c r="E20" s="24">
        <f t="shared" si="4"/>
        <v>-9.9999999974897905E-2</v>
      </c>
      <c r="F20" s="25">
        <f t="shared" si="5"/>
        <v>-2.70000000000437</v>
      </c>
      <c r="G20" s="26">
        <f t="shared" si="6"/>
        <v>-9.9999999974897905E-2</v>
      </c>
      <c r="H20" s="6">
        <v>6.0622999999999996</v>
      </c>
      <c r="I20" s="35">
        <f t="shared" si="1"/>
        <v>797.86860000000001</v>
      </c>
      <c r="J20" s="24">
        <f t="shared" si="7"/>
        <v>0</v>
      </c>
      <c r="K20" s="25">
        <f t="shared" si="8"/>
        <v>-1.7000000000280087</v>
      </c>
      <c r="L20" s="26">
        <f t="shared" si="9"/>
        <v>0</v>
      </c>
      <c r="M20" s="6">
        <v>4.7164000000000001</v>
      </c>
      <c r="N20" s="35">
        <f t="shared" si="2"/>
        <v>796.52269999999999</v>
      </c>
      <c r="O20" s="24">
        <f t="shared" si="10"/>
        <v>-9.9999999974897946E-2</v>
      </c>
      <c r="P20" s="25">
        <f t="shared" si="11"/>
        <v>-2.7000000000043678</v>
      </c>
      <c r="Q20" s="26">
        <f t="shared" si="12"/>
        <v>-9.9999999974897946E-2</v>
      </c>
      <c r="R20" s="41"/>
      <c r="S20" s="21">
        <f t="shared" si="3"/>
        <v>45036</v>
      </c>
      <c r="T20" s="42">
        <v>8.2424999999999997</v>
      </c>
      <c r="U20" s="43">
        <f t="shared" si="13"/>
        <v>-0.50000000000061107</v>
      </c>
      <c r="V20" s="44">
        <f t="shared" si="14"/>
        <v>-2.4999999999994991</v>
      </c>
      <c r="W20" s="45">
        <f t="shared" si="15"/>
        <v>0.50000000000061107</v>
      </c>
      <c r="X20" s="6">
        <v>12.2082</v>
      </c>
      <c r="Y20" s="43">
        <f t="shared" si="16"/>
        <v>-0.19999999999953399</v>
      </c>
      <c r="Z20" s="44">
        <f t="shared" si="17"/>
        <v>-2.8000000000005798</v>
      </c>
      <c r="AA20" s="45">
        <f t="shared" si="18"/>
        <v>-0.19999999999953399</v>
      </c>
      <c r="AB20" s="49">
        <v>8.7021999999999995</v>
      </c>
      <c r="AC20" s="43">
        <f t="shared" si="19"/>
        <v>9.9999999999766942E-2</v>
      </c>
      <c r="AD20" s="44">
        <f t="shared" si="20"/>
        <v>-2.5000000000012741</v>
      </c>
      <c r="AE20" s="45">
        <f t="shared" si="21"/>
        <v>9.9999999999766942E-2</v>
      </c>
      <c r="AF20" s="50">
        <v>80841</v>
      </c>
      <c r="AG20" s="58">
        <f t="shared" si="22"/>
        <v>48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45038</v>
      </c>
      <c r="B21" s="22">
        <v>791.80629999999996</v>
      </c>
      <c r="C21" s="6">
        <v>4.9151999999999996</v>
      </c>
      <c r="D21" s="23">
        <f t="shared" ref="D21:D27" si="23">C21+B21</f>
        <v>796.72149999999999</v>
      </c>
      <c r="E21" s="24">
        <f t="shared" ref="E21:E27" si="24">(D21-D20)*1000</f>
        <v>-9.9999999974897946E-2</v>
      </c>
      <c r="F21" s="25">
        <f t="shared" ref="F21:F27" si="25">F20+E21</f>
        <v>-2.799999999979268</v>
      </c>
      <c r="G21" s="26">
        <f t="shared" ref="G21:G27" si="26">E21/(A21-A20)</f>
        <v>-4.9999999987448973E-2</v>
      </c>
      <c r="H21" s="6">
        <v>6.0622999999999996</v>
      </c>
      <c r="I21" s="35">
        <f t="shared" ref="I21:I27" si="27">H21+B21</f>
        <v>797.86860000000001</v>
      </c>
      <c r="J21" s="24">
        <f t="shared" ref="J21:J27" si="28">(I21-I20)*1000</f>
        <v>0</v>
      </c>
      <c r="K21" s="25">
        <f t="shared" ref="K21:K27" si="29">K20+J21</f>
        <v>-1.7000000000280087</v>
      </c>
      <c r="L21" s="26">
        <f t="shared" ref="L21:L27" si="30">J21/(A21-A20)</f>
        <v>0</v>
      </c>
      <c r="M21" s="6">
        <v>4.7163000000000004</v>
      </c>
      <c r="N21" s="35">
        <f t="shared" ref="N21:N27" si="31">M21+B21</f>
        <v>796.52260000000001</v>
      </c>
      <c r="O21" s="24">
        <f t="shared" ref="O21:O27" si="32">(N21-N20)*1000</f>
        <v>-9.9999999974897946E-2</v>
      </c>
      <c r="P21" s="25">
        <f t="shared" ref="P21:P27" si="33">P20+O21</f>
        <v>-2.7999999999792657</v>
      </c>
      <c r="Q21" s="26">
        <f t="shared" ref="Q21:Q27" si="34">O21/(A21-A20)</f>
        <v>-4.9999999987448973E-2</v>
      </c>
      <c r="R21" s="41"/>
      <c r="S21" s="21">
        <f t="shared" ref="S21:S27" si="35">A21</f>
        <v>45038</v>
      </c>
      <c r="T21" s="42">
        <v>8.2425999999999995</v>
      </c>
      <c r="U21" s="43">
        <f t="shared" ref="U21:U27" si="36">(T21-T20)*1000</f>
        <v>9.9999999999766942E-2</v>
      </c>
      <c r="V21" s="44">
        <f t="shared" ref="V21:V27" si="37">V20+U21</f>
        <v>-2.3999999999997321</v>
      </c>
      <c r="W21" s="45">
        <f t="shared" ref="W21:W27" si="38">U21/(S20-S21)</f>
        <v>-4.9999999999883471E-2</v>
      </c>
      <c r="X21" s="6">
        <v>12.208</v>
      </c>
      <c r="Y21" s="43">
        <f t="shared" ref="Y21:Y27" si="39">(X21-X20)*1000</f>
        <v>-0.19999999999953399</v>
      </c>
      <c r="Z21" s="44">
        <f t="shared" ref="Z21:Z27" si="40">Z20+Y21</f>
        <v>-3.0000000000001101</v>
      </c>
      <c r="AA21" s="45">
        <f t="shared" ref="AA21:AA27" si="41">Y21/(S21-S20)</f>
        <v>-9.99999999997669E-2</v>
      </c>
      <c r="AB21" s="49">
        <v>8.7022999999999993</v>
      </c>
      <c r="AC21" s="43">
        <f t="shared" ref="AC21:AC27" si="42">(AB21-AB20)*1000</f>
        <v>9.9999999999766942E-2</v>
      </c>
      <c r="AD21" s="44">
        <f t="shared" ref="AD21:AD27" si="43">AD20+AC21</f>
        <v>-2.4000000000015071</v>
      </c>
      <c r="AE21" s="45">
        <f t="shared" ref="AE21:AE27" si="44">AC21/(S21-S20)</f>
        <v>4.9999999999883471E-2</v>
      </c>
      <c r="AF21" s="50">
        <v>80844</v>
      </c>
      <c r="AG21" s="58">
        <f t="shared" ref="AG21:AG27" si="45">AF21-80793</f>
        <v>51</v>
      </c>
      <c r="AH21" s="61"/>
      <c r="AI21" s="60"/>
      <c r="AJ21"/>
      <c r="AK21"/>
      <c r="AL21"/>
      <c r="AM21"/>
    </row>
    <row r="22" spans="1:48">
      <c r="A22" s="21">
        <v>45040</v>
      </c>
      <c r="B22" s="22">
        <v>791.80629999999996</v>
      </c>
      <c r="C22" s="6">
        <v>4.915</v>
      </c>
      <c r="D22" s="23">
        <f t="shared" si="23"/>
        <v>796.72130000000004</v>
      </c>
      <c r="E22" s="24">
        <f t="shared" si="24"/>
        <v>-0.19999999994979589</v>
      </c>
      <c r="F22" s="25">
        <f t="shared" si="25"/>
        <v>-2.9999999999290639</v>
      </c>
      <c r="G22" s="26">
        <f t="shared" si="26"/>
        <v>-9.9999999974897946E-2</v>
      </c>
      <c r="H22" s="6">
        <v>6.0621999999999998</v>
      </c>
      <c r="I22" s="35">
        <f t="shared" si="27"/>
        <v>797.86850000000004</v>
      </c>
      <c r="J22" s="24">
        <f t="shared" si="28"/>
        <v>-9.9999999974897946E-2</v>
      </c>
      <c r="K22" s="25">
        <f t="shared" si="29"/>
        <v>-1.8000000000029066</v>
      </c>
      <c r="L22" s="26">
        <f t="shared" si="30"/>
        <v>-4.9999999987448973E-2</v>
      </c>
      <c r="M22" s="6">
        <v>4.7161999999999997</v>
      </c>
      <c r="N22" s="35">
        <f t="shared" si="31"/>
        <v>796.52249999999992</v>
      </c>
      <c r="O22" s="24">
        <f t="shared" si="32"/>
        <v>-0.10000000008858478</v>
      </c>
      <c r="P22" s="25">
        <f t="shared" si="33"/>
        <v>-2.9000000000678505</v>
      </c>
      <c r="Q22" s="26">
        <f t="shared" si="34"/>
        <v>-5.0000000044292392E-2</v>
      </c>
      <c r="R22" s="41"/>
      <c r="S22" s="21">
        <f t="shared" si="35"/>
        <v>45040</v>
      </c>
      <c r="T22" s="42">
        <v>8.2423999999999999</v>
      </c>
      <c r="U22" s="43">
        <f t="shared" si="36"/>
        <v>-0.19999999999953399</v>
      </c>
      <c r="V22" s="44">
        <f t="shared" si="37"/>
        <v>-2.599999999999266</v>
      </c>
      <c r="W22" s="45">
        <f t="shared" si="38"/>
        <v>9.99999999997669E-2</v>
      </c>
      <c r="X22" s="6">
        <v>12.2081</v>
      </c>
      <c r="Y22" s="43">
        <f t="shared" si="39"/>
        <v>9.99999999997669E-2</v>
      </c>
      <c r="Z22" s="44">
        <f t="shared" si="40"/>
        <v>-2.9000000000003499</v>
      </c>
      <c r="AA22" s="45">
        <f t="shared" si="41"/>
        <v>4.9999999999883499E-2</v>
      </c>
      <c r="AB22" s="49">
        <v>8.7020999999999997</v>
      </c>
      <c r="AC22" s="43">
        <f t="shared" si="42"/>
        <v>-0.19999999999953388</v>
      </c>
      <c r="AD22" s="44">
        <f t="shared" si="43"/>
        <v>-2.600000000001041</v>
      </c>
      <c r="AE22" s="45">
        <f t="shared" si="44"/>
        <v>-9.9999999999766942E-2</v>
      </c>
      <c r="AF22" s="50">
        <v>80847</v>
      </c>
      <c r="AG22" s="58">
        <f t="shared" si="45"/>
        <v>54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45042</v>
      </c>
      <c r="B23" s="22">
        <v>791.80629999999996</v>
      </c>
      <c r="C23" s="6">
        <v>4.9150999999999998</v>
      </c>
      <c r="D23" s="23">
        <f t="shared" si="23"/>
        <v>796.72140000000002</v>
      </c>
      <c r="E23" s="24">
        <f t="shared" si="24"/>
        <v>0.10000000008858501</v>
      </c>
      <c r="F23" s="25">
        <f t="shared" si="25"/>
        <v>-2.8999999998404791</v>
      </c>
      <c r="G23" s="26">
        <f t="shared" si="26"/>
        <v>5.0000000044292399E-2</v>
      </c>
      <c r="H23" s="6">
        <v>6.0620000000000003</v>
      </c>
      <c r="I23" s="35">
        <f t="shared" si="27"/>
        <v>797.86829999999998</v>
      </c>
      <c r="J23" s="24">
        <f t="shared" si="28"/>
        <v>-0.199999999949796</v>
      </c>
      <c r="K23" s="25">
        <f t="shared" si="29"/>
        <v>-1.9999999999527027</v>
      </c>
      <c r="L23" s="26">
        <f t="shared" si="30"/>
        <v>-9.9999999974897905E-2</v>
      </c>
      <c r="M23" s="6">
        <v>4.7161</v>
      </c>
      <c r="N23" s="35">
        <f t="shared" si="31"/>
        <v>796.52239999999995</v>
      </c>
      <c r="O23" s="24">
        <f t="shared" si="32"/>
        <v>-9.9999999974897946E-2</v>
      </c>
      <c r="P23" s="25">
        <f t="shared" si="33"/>
        <v>-3.0000000000427485</v>
      </c>
      <c r="Q23" s="26">
        <f t="shared" si="34"/>
        <v>-4.9999999987448973E-2</v>
      </c>
      <c r="R23" s="41"/>
      <c r="S23" s="21">
        <f t="shared" si="35"/>
        <v>45042</v>
      </c>
      <c r="T23" s="42">
        <v>8.2422000000000004</v>
      </c>
      <c r="U23" s="43">
        <f t="shared" si="36"/>
        <v>-0.19999999999953399</v>
      </c>
      <c r="V23" s="44">
        <f t="shared" si="37"/>
        <v>-2.7999999999987999</v>
      </c>
      <c r="W23" s="45">
        <f t="shared" si="38"/>
        <v>9.99999999997669E-2</v>
      </c>
      <c r="X23" s="6">
        <v>12.207599999999999</v>
      </c>
      <c r="Y23" s="43">
        <f t="shared" si="39"/>
        <v>-0.49999999999883499</v>
      </c>
      <c r="Z23" s="44">
        <f t="shared" si="40"/>
        <v>-3.3999999999991801</v>
      </c>
      <c r="AA23" s="45">
        <f t="shared" si="41"/>
        <v>-0.24999999999941699</v>
      </c>
      <c r="AB23" s="49">
        <v>8.7025000000000006</v>
      </c>
      <c r="AC23" s="43">
        <f t="shared" si="42"/>
        <v>0.40000000000084412</v>
      </c>
      <c r="AD23" s="44">
        <f t="shared" si="43"/>
        <v>-2.2000000000001969</v>
      </c>
      <c r="AE23" s="45">
        <f t="shared" si="44"/>
        <v>0.20000000000042206</v>
      </c>
      <c r="AF23" s="50">
        <v>80850</v>
      </c>
      <c r="AG23" s="58">
        <f t="shared" si="45"/>
        <v>57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45044</v>
      </c>
      <c r="B24" s="22">
        <v>791.80629999999996</v>
      </c>
      <c r="C24" s="6">
        <v>4.9149000000000003</v>
      </c>
      <c r="D24" s="23">
        <f t="shared" si="23"/>
        <v>796.72119999999995</v>
      </c>
      <c r="E24" s="24">
        <f t="shared" si="24"/>
        <v>-0.20000000006348273</v>
      </c>
      <c r="F24" s="25">
        <f t="shared" si="25"/>
        <v>-3.0999999999039618</v>
      </c>
      <c r="G24" s="26">
        <f t="shared" si="26"/>
        <v>-0.10000000003174137</v>
      </c>
      <c r="H24" s="6">
        <v>6.0621</v>
      </c>
      <c r="I24" s="35">
        <f t="shared" si="27"/>
        <v>797.86839999999995</v>
      </c>
      <c r="J24" s="24">
        <f t="shared" si="28"/>
        <v>9.9999999974897905E-2</v>
      </c>
      <c r="K24" s="25">
        <f t="shared" si="29"/>
        <v>-1.8999999999778048</v>
      </c>
      <c r="L24" s="26">
        <f t="shared" si="30"/>
        <v>4.9999999987449001E-2</v>
      </c>
      <c r="M24" s="6">
        <v>4.7161999999999997</v>
      </c>
      <c r="N24" s="35">
        <f t="shared" si="31"/>
        <v>796.52250000000004</v>
      </c>
      <c r="O24" s="24">
        <f t="shared" si="32"/>
        <v>0.10000000008858478</v>
      </c>
      <c r="P24" s="25">
        <f t="shared" si="33"/>
        <v>-2.8999999999541637</v>
      </c>
      <c r="Q24" s="26">
        <f t="shared" si="34"/>
        <v>5.0000000044292392E-2</v>
      </c>
      <c r="R24" s="41"/>
      <c r="S24" s="21">
        <f t="shared" si="35"/>
        <v>45044</v>
      </c>
      <c r="T24" s="42">
        <v>8.2421000000000006</v>
      </c>
      <c r="U24" s="43">
        <f t="shared" si="36"/>
        <v>-9.99999999997669E-2</v>
      </c>
      <c r="V24" s="44">
        <f t="shared" si="37"/>
        <v>-2.8999999999985668</v>
      </c>
      <c r="W24" s="45">
        <f t="shared" si="38"/>
        <v>4.9999999999883499E-2</v>
      </c>
      <c r="X24" s="6">
        <v>12.2074</v>
      </c>
      <c r="Y24" s="43">
        <f t="shared" si="39"/>
        <v>-0.19999999999953399</v>
      </c>
      <c r="Z24" s="44">
        <f t="shared" si="40"/>
        <v>-3.5999999999987198</v>
      </c>
      <c r="AA24" s="45">
        <f t="shared" si="41"/>
        <v>-9.99999999997669E-2</v>
      </c>
      <c r="AB24" s="49">
        <v>8.7021999999999995</v>
      </c>
      <c r="AC24" s="43">
        <f t="shared" si="42"/>
        <v>-0.30000000000107718</v>
      </c>
      <c r="AD24" s="44">
        <f t="shared" si="43"/>
        <v>-2.5000000000012741</v>
      </c>
      <c r="AE24" s="45">
        <f t="shared" si="44"/>
        <v>-0.15000000000053859</v>
      </c>
      <c r="AF24" s="50">
        <v>80853</v>
      </c>
      <c r="AG24" s="58">
        <f t="shared" si="45"/>
        <v>60</v>
      </c>
      <c r="AH24" s="59"/>
      <c r="AI24" s="60"/>
      <c r="AJ24" s="52"/>
      <c r="AK24" s="52"/>
      <c r="AL24" s="52"/>
      <c r="AM24" s="52"/>
    </row>
    <row r="25" spans="1:48">
      <c r="A25" s="21">
        <v>45046</v>
      </c>
      <c r="B25" s="22">
        <v>791.80629999999996</v>
      </c>
      <c r="C25" s="6">
        <v>4.9147999999999996</v>
      </c>
      <c r="D25" s="23">
        <f t="shared" si="23"/>
        <v>796.72109999999998</v>
      </c>
      <c r="E25" s="24">
        <f t="shared" si="24"/>
        <v>-9.9999999974897946E-2</v>
      </c>
      <c r="F25" s="25">
        <f t="shared" si="25"/>
        <v>-3.1999999998788597</v>
      </c>
      <c r="G25" s="26">
        <f t="shared" si="26"/>
        <v>-4.9999999987448973E-2</v>
      </c>
      <c r="H25" s="6">
        <v>6.0617999999999999</v>
      </c>
      <c r="I25" s="35">
        <f t="shared" si="27"/>
        <v>797.86810000000003</v>
      </c>
      <c r="J25" s="24">
        <f t="shared" si="28"/>
        <v>-0.30000000003838101</v>
      </c>
      <c r="K25" s="25">
        <f t="shared" si="29"/>
        <v>-2.2000000000161859</v>
      </c>
      <c r="L25" s="26">
        <f t="shared" si="30"/>
        <v>-0.15000000001919001</v>
      </c>
      <c r="M25" s="6">
        <v>4.7159000000000004</v>
      </c>
      <c r="N25" s="35">
        <f t="shared" si="31"/>
        <v>796.5222</v>
      </c>
      <c r="O25" s="24">
        <f t="shared" si="32"/>
        <v>-0.30000000003838068</v>
      </c>
      <c r="P25" s="25">
        <f t="shared" si="33"/>
        <v>-3.1999999999925444</v>
      </c>
      <c r="Q25" s="26">
        <f t="shared" si="34"/>
        <v>-0.15000000001919034</v>
      </c>
      <c r="R25" s="41"/>
      <c r="S25" s="21">
        <f t="shared" si="35"/>
        <v>45046</v>
      </c>
      <c r="T25" s="42">
        <v>8.2417999999999996</v>
      </c>
      <c r="U25" s="43">
        <f t="shared" si="36"/>
        <v>-0.29999999999930099</v>
      </c>
      <c r="V25" s="44">
        <f t="shared" si="37"/>
        <v>-3.1999999999978677</v>
      </c>
      <c r="W25" s="45">
        <f t="shared" si="38"/>
        <v>0.14999999999965</v>
      </c>
      <c r="X25" s="6">
        <v>12.2075</v>
      </c>
      <c r="Y25" s="43">
        <f t="shared" si="39"/>
        <v>9.9999999997990599E-2</v>
      </c>
      <c r="Z25" s="44">
        <f t="shared" si="40"/>
        <v>-3.5000000000007199</v>
      </c>
      <c r="AA25" s="45">
        <f t="shared" si="41"/>
        <v>4.99999999989953E-2</v>
      </c>
      <c r="AB25" s="49">
        <v>8.702</v>
      </c>
      <c r="AC25" s="43">
        <f t="shared" si="42"/>
        <v>-0.19999999999953399</v>
      </c>
      <c r="AD25" s="44">
        <f t="shared" si="43"/>
        <v>-2.700000000000808</v>
      </c>
      <c r="AE25" s="45">
        <f t="shared" si="44"/>
        <v>-9.99999999997669E-2</v>
      </c>
      <c r="AF25" s="50">
        <v>80856</v>
      </c>
      <c r="AG25" s="58">
        <f t="shared" si="45"/>
        <v>63</v>
      </c>
      <c r="AH25" s="61"/>
      <c r="AI25" s="60"/>
      <c r="AJ25" s="52"/>
      <c r="AK25" s="52"/>
      <c r="AL25" s="52"/>
      <c r="AM25" s="52"/>
    </row>
    <row r="26" spans="1:48">
      <c r="A26" s="21">
        <v>45048</v>
      </c>
      <c r="B26" s="22">
        <v>791.80629999999996</v>
      </c>
      <c r="C26" s="6">
        <v>4.9145000000000003</v>
      </c>
      <c r="D26" s="23">
        <f t="shared" si="23"/>
        <v>796.72080000000005</v>
      </c>
      <c r="E26" s="24">
        <f t="shared" si="24"/>
        <v>-0.29999999992469384</v>
      </c>
      <c r="F26" s="25">
        <f t="shared" si="25"/>
        <v>-3.4999999998035536</v>
      </c>
      <c r="G26" s="26">
        <f t="shared" si="26"/>
        <v>-0.14999999996234692</v>
      </c>
      <c r="H26" s="6">
        <v>6.0618999999999996</v>
      </c>
      <c r="I26" s="35">
        <f t="shared" si="27"/>
        <v>797.8682</v>
      </c>
      <c r="J26" s="24">
        <f t="shared" si="28"/>
        <v>0.10000000008858501</v>
      </c>
      <c r="K26" s="25">
        <f t="shared" si="29"/>
        <v>-2.0999999999276007</v>
      </c>
      <c r="L26" s="26">
        <f t="shared" si="30"/>
        <v>5.0000000044292399E-2</v>
      </c>
      <c r="M26" s="6">
        <v>4.7157999999999998</v>
      </c>
      <c r="N26" s="35">
        <f t="shared" si="31"/>
        <v>796.52209999999991</v>
      </c>
      <c r="O26" s="24">
        <f t="shared" si="32"/>
        <v>-0.10000000008858478</v>
      </c>
      <c r="P26" s="25">
        <f t="shared" si="33"/>
        <v>-3.3000000000811291</v>
      </c>
      <c r="Q26" s="26">
        <f t="shared" si="34"/>
        <v>-5.0000000044292392E-2</v>
      </c>
      <c r="R26" s="41"/>
      <c r="S26" s="21">
        <f t="shared" si="35"/>
        <v>45048</v>
      </c>
      <c r="T26" s="42">
        <v>8.2416</v>
      </c>
      <c r="U26" s="43">
        <f t="shared" si="36"/>
        <v>-0.19999999999953399</v>
      </c>
      <c r="V26" s="44">
        <f t="shared" si="37"/>
        <v>-3.3999999999974015</v>
      </c>
      <c r="W26" s="45">
        <f t="shared" si="38"/>
        <v>9.99999999997669E-2</v>
      </c>
      <c r="X26" s="6">
        <v>12.207000000000001</v>
      </c>
      <c r="Y26" s="43">
        <f t="shared" si="39"/>
        <v>-0.49999999999705802</v>
      </c>
      <c r="Z26" s="44">
        <f t="shared" si="40"/>
        <v>-3.99999999999778</v>
      </c>
      <c r="AA26" s="45">
        <f t="shared" si="41"/>
        <v>-0.24999999999852901</v>
      </c>
      <c r="AB26" s="49">
        <v>8.7020999999999997</v>
      </c>
      <c r="AC26" s="43">
        <f t="shared" si="42"/>
        <v>9.99999999997669E-2</v>
      </c>
      <c r="AD26" s="44">
        <f t="shared" si="43"/>
        <v>-2.600000000001041</v>
      </c>
      <c r="AE26" s="45">
        <f t="shared" si="44"/>
        <v>4.9999999999883499E-2</v>
      </c>
      <c r="AF26" s="50">
        <v>80859</v>
      </c>
      <c r="AG26" s="58">
        <f t="shared" si="45"/>
        <v>66</v>
      </c>
      <c r="AH26" s="59"/>
      <c r="AI26" s="60"/>
      <c r="AJ26" s="61"/>
      <c r="AK26" s="62"/>
      <c r="AL26" s="60"/>
      <c r="AM26" s="64"/>
    </row>
    <row r="27" spans="1:48">
      <c r="A27" s="21">
        <v>45050</v>
      </c>
      <c r="B27" s="22">
        <v>791.80629999999996</v>
      </c>
      <c r="C27" s="6">
        <v>4.9146000000000001</v>
      </c>
      <c r="D27" s="23">
        <f t="shared" si="23"/>
        <v>796.72089999999992</v>
      </c>
      <c r="E27" s="24">
        <f t="shared" si="24"/>
        <v>9.9999999861211109E-2</v>
      </c>
      <c r="F27" s="25">
        <f t="shared" si="25"/>
        <v>-3.3999999999423425</v>
      </c>
      <c r="G27" s="26">
        <f t="shared" si="26"/>
        <v>4.9999999930605554E-2</v>
      </c>
      <c r="H27" s="6">
        <v>6.0620000000000003</v>
      </c>
      <c r="I27" s="35">
        <f t="shared" si="27"/>
        <v>797.86829999999998</v>
      </c>
      <c r="J27" s="24">
        <f t="shared" si="28"/>
        <v>9.9999999974897905E-2</v>
      </c>
      <c r="K27" s="25">
        <f t="shared" si="29"/>
        <v>-1.9999999999527027</v>
      </c>
      <c r="L27" s="26">
        <f t="shared" si="30"/>
        <v>4.9999999987449001E-2</v>
      </c>
      <c r="M27" s="6">
        <v>4.7160000000000002</v>
      </c>
      <c r="N27" s="35">
        <f t="shared" si="31"/>
        <v>796.52229999999997</v>
      </c>
      <c r="O27" s="24">
        <f t="shared" si="32"/>
        <v>0.20000000006348273</v>
      </c>
      <c r="P27" s="25">
        <f t="shared" si="33"/>
        <v>-3.1000000000176464</v>
      </c>
      <c r="Q27" s="26">
        <f t="shared" si="34"/>
        <v>0.10000000003174137</v>
      </c>
      <c r="R27" s="41"/>
      <c r="S27" s="21">
        <f t="shared" si="35"/>
        <v>45050</v>
      </c>
      <c r="T27" s="42">
        <v>8.2416999999999998</v>
      </c>
      <c r="U27" s="43">
        <f t="shared" si="36"/>
        <v>9.9999999997990599E-2</v>
      </c>
      <c r="V27" s="44">
        <f t="shared" si="37"/>
        <v>-3.299999999999411</v>
      </c>
      <c r="W27" s="45">
        <f t="shared" si="38"/>
        <v>-4.99999999989953E-2</v>
      </c>
      <c r="X27" s="6">
        <v>12.207100000000001</v>
      </c>
      <c r="Y27" s="43">
        <f t="shared" si="39"/>
        <v>9.9999999997990599E-2</v>
      </c>
      <c r="Z27" s="44">
        <f t="shared" si="40"/>
        <v>-3.8999999999997899</v>
      </c>
      <c r="AA27" s="45">
        <f t="shared" si="41"/>
        <v>4.99999999989953E-2</v>
      </c>
      <c r="AB27" s="49">
        <v>8.7022999999999993</v>
      </c>
      <c r="AC27" s="43">
        <f t="shared" si="42"/>
        <v>0.19999999999953388</v>
      </c>
      <c r="AD27" s="44">
        <f t="shared" si="43"/>
        <v>-2.4000000000015071</v>
      </c>
      <c r="AE27" s="45">
        <f t="shared" si="44"/>
        <v>9.9999999999766942E-2</v>
      </c>
      <c r="AF27" s="50">
        <v>80862</v>
      </c>
      <c r="AG27" s="58">
        <f t="shared" si="45"/>
        <v>69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F27-F20</f>
        <v>-0.69999999993797246</v>
      </c>
      <c r="F28" s="33">
        <f>K27-K20</f>
        <v>-0.29999999992469406</v>
      </c>
      <c r="G28" s="33">
        <f>P27-P20</f>
        <v>-0.40000000001327862</v>
      </c>
      <c r="H28" s="33">
        <f>F27</f>
        <v>-3.3999999999423425</v>
      </c>
      <c r="I28" s="66">
        <f>K27</f>
        <v>-1.9999999999527027</v>
      </c>
      <c r="J28" s="65">
        <f>P27</f>
        <v>-3.1000000000176464</v>
      </c>
      <c r="K28" s="33">
        <f>(F27-F20)/14</f>
        <v>-4.9999999995569464E-2</v>
      </c>
      <c r="L28" s="26"/>
      <c r="N28" s="35"/>
      <c r="O28" s="24"/>
      <c r="P28" s="25"/>
      <c r="Q28" s="26"/>
      <c r="R28" s="41"/>
      <c r="S28" s="21"/>
      <c r="T28" s="42"/>
      <c r="U28" s="65">
        <f>V27-V20</f>
        <v>-0.79999999999991189</v>
      </c>
      <c r="V28" s="33">
        <f>Z27-Z20</f>
        <v>-1.0999999999992101</v>
      </c>
      <c r="W28" s="33">
        <f>AD27-AD20</f>
        <v>9.9999999999766942E-2</v>
      </c>
      <c r="X28" s="33">
        <f>V27</f>
        <v>-3.299999999999411</v>
      </c>
      <c r="Y28" s="65">
        <f>Z27</f>
        <v>-3.8999999999997899</v>
      </c>
      <c r="Z28" s="33">
        <f>AD27</f>
        <v>-2.4000000000015071</v>
      </c>
      <c r="AA28" s="33">
        <f>(Z27-Z20)/14</f>
        <v>-7.8571428571372143E-2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opLeftCell="O28" workbookViewId="0">
      <selection activeCell="U28" sqref="U28:AA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88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45031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45031</v>
      </c>
      <c r="B6" s="22">
        <v>791.80629999999996</v>
      </c>
      <c r="C6" s="6">
        <v>5.2130000000000001</v>
      </c>
      <c r="D6" s="23">
        <f t="shared" ref="D6:D11" si="0">C6+B6</f>
        <v>797.01930000000004</v>
      </c>
      <c r="E6" s="24">
        <v>0</v>
      </c>
      <c r="F6" s="25">
        <v>0</v>
      </c>
      <c r="G6" s="26">
        <v>0</v>
      </c>
      <c r="H6" s="6">
        <v>6.0147000000000004</v>
      </c>
      <c r="I6" s="35">
        <f t="shared" ref="I6:I11" si="1">H6+B6</f>
        <v>797.82100000000003</v>
      </c>
      <c r="J6" s="24">
        <v>0</v>
      </c>
      <c r="K6" s="25">
        <v>0</v>
      </c>
      <c r="L6" s="26">
        <v>0</v>
      </c>
      <c r="M6" s="6">
        <v>5.0233999999999996</v>
      </c>
      <c r="N6" s="35">
        <f t="shared" ref="N6:N11" si="2">M6+B6</f>
        <v>796.8297</v>
      </c>
      <c r="O6" s="24">
        <v>0</v>
      </c>
      <c r="P6" s="25">
        <v>0</v>
      </c>
      <c r="Q6" s="26">
        <v>0</v>
      </c>
      <c r="R6" s="41"/>
      <c r="S6" s="21">
        <f t="shared" ref="S6:S11" si="3">A6</f>
        <v>45031</v>
      </c>
      <c r="T6" s="42">
        <v>8.3840000000000003</v>
      </c>
      <c r="U6" s="43">
        <v>0</v>
      </c>
      <c r="V6" s="44">
        <v>0</v>
      </c>
      <c r="W6" s="45">
        <f>U6/(S6-S11)</f>
        <v>0</v>
      </c>
      <c r="X6" s="6">
        <v>12.007</v>
      </c>
      <c r="Y6" s="43">
        <v>0</v>
      </c>
      <c r="Z6" s="44">
        <v>0</v>
      </c>
      <c r="AA6" s="45">
        <v>0</v>
      </c>
      <c r="AB6" s="49">
        <v>8.4794999999999998</v>
      </c>
      <c r="AC6" s="43">
        <v>0</v>
      </c>
      <c r="AD6" s="44">
        <v>0</v>
      </c>
      <c r="AE6" s="45">
        <v>0</v>
      </c>
      <c r="AF6" s="50">
        <v>80829</v>
      </c>
      <c r="AG6" s="58">
        <f t="shared" ref="AG6:AG11" si="4">AF6-80826</f>
        <v>3</v>
      </c>
      <c r="AH6" s="59"/>
      <c r="AI6" s="60"/>
      <c r="AJ6" s="61"/>
      <c r="AK6" s="62"/>
      <c r="AL6" s="52"/>
      <c r="AM6" s="52"/>
    </row>
    <row r="7" spans="1:48">
      <c r="A7" s="21">
        <v>45032</v>
      </c>
      <c r="B7" s="22">
        <v>791.80629999999996</v>
      </c>
      <c r="C7" s="6">
        <v>5.2130999999999998</v>
      </c>
      <c r="D7" s="23">
        <f t="shared" si="0"/>
        <v>797.01940000000002</v>
      </c>
      <c r="E7" s="24">
        <f>(D7-D6)*1000</f>
        <v>0.10000000008858501</v>
      </c>
      <c r="F7" s="25">
        <f>F6+E7</f>
        <v>0.10000000008858501</v>
      </c>
      <c r="G7" s="26">
        <f>E7/(A7-A6)</f>
        <v>0.10000000008858501</v>
      </c>
      <c r="H7" s="6">
        <v>6.0145</v>
      </c>
      <c r="I7" s="35">
        <f t="shared" si="1"/>
        <v>797.82079999999996</v>
      </c>
      <c r="J7" s="24">
        <f>(I7-I6)*1000</f>
        <v>-0.199999999949796</v>
      </c>
      <c r="K7" s="25">
        <f>K6+J7</f>
        <v>-0.199999999949796</v>
      </c>
      <c r="L7" s="26">
        <f>J7/(A7-A6)</f>
        <v>-0.199999999949796</v>
      </c>
      <c r="M7" s="6">
        <v>5.0232999999999999</v>
      </c>
      <c r="N7" s="35">
        <f t="shared" si="2"/>
        <v>796.82960000000003</v>
      </c>
      <c r="O7" s="24">
        <f>(N7-N6)*1000</f>
        <v>-0.10000000008858501</v>
      </c>
      <c r="P7" s="25">
        <f>P6+O7</f>
        <v>-0.10000000008858501</v>
      </c>
      <c r="Q7" s="26">
        <f>O7/(A7-A6)</f>
        <v>-0.10000000008858501</v>
      </c>
      <c r="R7" s="41"/>
      <c r="S7" s="21">
        <f t="shared" si="3"/>
        <v>45032</v>
      </c>
      <c r="T7" s="42">
        <v>8.3841000000000001</v>
      </c>
      <c r="U7" s="43">
        <f>(T7-T6)*1000</f>
        <v>9.99999999997669E-2</v>
      </c>
      <c r="V7" s="44">
        <f>V6+U7</f>
        <v>9.99999999997669E-2</v>
      </c>
      <c r="W7" s="45">
        <f>U7/(S6-S7)</f>
        <v>-9.99999999997669E-2</v>
      </c>
      <c r="X7" s="6">
        <v>12.007300000000001</v>
      </c>
      <c r="Y7" s="43">
        <f>(X7-X6)*1000</f>
        <v>0.30000000000107702</v>
      </c>
      <c r="Z7" s="44">
        <f>Z6+Y7</f>
        <v>0.30000000000107702</v>
      </c>
      <c r="AA7" s="45">
        <f>Y7/(S7-S6)</f>
        <v>0.30000000000107702</v>
      </c>
      <c r="AB7" s="49">
        <v>8.4793000000000003</v>
      </c>
      <c r="AC7" s="43">
        <f>(AB7-AB6)*1000</f>
        <v>-0.19999999999953399</v>
      </c>
      <c r="AD7" s="44">
        <f>AD6+AC7</f>
        <v>-0.19999999999953399</v>
      </c>
      <c r="AE7" s="45">
        <f>AC7/(S7-S6)</f>
        <v>-0.19999999999953399</v>
      </c>
      <c r="AF7" s="50">
        <v>80832</v>
      </c>
      <c r="AG7" s="58">
        <f t="shared" si="4"/>
        <v>6</v>
      </c>
      <c r="AH7" s="59"/>
      <c r="AI7" s="60"/>
      <c r="AJ7" s="61"/>
      <c r="AK7" s="62"/>
      <c r="AL7" s="52"/>
      <c r="AM7" s="52"/>
    </row>
    <row r="8" spans="1:48">
      <c r="A8" s="21">
        <v>45033</v>
      </c>
      <c r="B8" s="22">
        <v>791.80629999999996</v>
      </c>
      <c r="C8" s="6">
        <v>5.2127999999999997</v>
      </c>
      <c r="D8" s="23">
        <f t="shared" si="0"/>
        <v>797.01909999999998</v>
      </c>
      <c r="E8" s="24">
        <f>(D8-D7)*1000</f>
        <v>-0.30000000003838101</v>
      </c>
      <c r="F8" s="25">
        <f>F7+E8</f>
        <v>-0.199999999949796</v>
      </c>
      <c r="G8" s="26">
        <f>E8/(A8-A7)</f>
        <v>-0.30000000003838101</v>
      </c>
      <c r="H8" s="6">
        <v>6.0143000000000004</v>
      </c>
      <c r="I8" s="35">
        <f t="shared" si="1"/>
        <v>797.82060000000001</v>
      </c>
      <c r="J8" s="24">
        <f>(I8-I7)*1000</f>
        <v>-0.199999999949796</v>
      </c>
      <c r="K8" s="25">
        <f>K7+J8</f>
        <v>-0.39999999989959201</v>
      </c>
      <c r="L8" s="26">
        <f>J8/(A8-A7)</f>
        <v>-0.199999999949796</v>
      </c>
      <c r="M8" s="6">
        <v>5.0229999999999997</v>
      </c>
      <c r="N8" s="35">
        <f t="shared" si="2"/>
        <v>796.82929999999999</v>
      </c>
      <c r="O8" s="24">
        <f>(N8-N7)*1000</f>
        <v>-0.29999999992469401</v>
      </c>
      <c r="P8" s="25">
        <f>P7+O8</f>
        <v>-0.40000000001327901</v>
      </c>
      <c r="Q8" s="26">
        <f>O8/(A8-A7)</f>
        <v>-0.29999999992469401</v>
      </c>
      <c r="R8" s="41"/>
      <c r="S8" s="21">
        <f t="shared" si="3"/>
        <v>45033</v>
      </c>
      <c r="T8" s="42">
        <v>8.3838000000000008</v>
      </c>
      <c r="U8" s="43">
        <f>(T8-T7)*1000</f>
        <v>-0.29999999999930099</v>
      </c>
      <c r="V8" s="44">
        <f>V7+U8</f>
        <v>-0.19999999999953399</v>
      </c>
      <c r="W8" s="45">
        <f>U8/(S7-S8)</f>
        <v>0.29999999999930099</v>
      </c>
      <c r="X8" s="6">
        <v>12.006500000000001</v>
      </c>
      <c r="Y8" s="43">
        <f>(X8-X7)*1000</f>
        <v>-0.799999999999912</v>
      </c>
      <c r="Z8" s="44">
        <f>Z7+Y8</f>
        <v>-0.49999999999883499</v>
      </c>
      <c r="AA8" s="45">
        <f>Y8/(S8-S7)</f>
        <v>-0.799999999999912</v>
      </c>
      <c r="AB8" s="49">
        <v>8.4789999999999992</v>
      </c>
      <c r="AC8" s="43">
        <f>(AB8-AB7)*1000</f>
        <v>-0.30000000000107702</v>
      </c>
      <c r="AD8" s="44">
        <f>AD7+AC8</f>
        <v>-0.50000000000061096</v>
      </c>
      <c r="AE8" s="45">
        <f>AC8/(S8-S7)</f>
        <v>-0.30000000000107702</v>
      </c>
      <c r="AF8" s="50">
        <v>80835</v>
      </c>
      <c r="AG8" s="58">
        <f t="shared" si="4"/>
        <v>9</v>
      </c>
      <c r="AH8" s="59"/>
      <c r="AI8" s="60"/>
      <c r="AJ8" s="61"/>
      <c r="AK8" s="62"/>
      <c r="AL8" s="52"/>
      <c r="AM8" s="52"/>
    </row>
    <row r="9" spans="1:48">
      <c r="A9" s="21">
        <v>45034</v>
      </c>
      <c r="B9" s="22">
        <v>791.80629999999996</v>
      </c>
      <c r="C9" s="6">
        <v>5.2125000000000004</v>
      </c>
      <c r="D9" s="23">
        <f t="shared" si="0"/>
        <v>797.01880000000006</v>
      </c>
      <c r="E9" s="24">
        <f>(D9-D8)*1000</f>
        <v>-0.30000000003838101</v>
      </c>
      <c r="F9" s="25">
        <f>F8+E9</f>
        <v>-0.49999999998817701</v>
      </c>
      <c r="G9" s="26">
        <f>E9/(A9-A8)</f>
        <v>-0.30000000003838101</v>
      </c>
      <c r="H9" s="6">
        <v>6.0141999999999998</v>
      </c>
      <c r="I9" s="35">
        <f t="shared" si="1"/>
        <v>797.82050000000004</v>
      </c>
      <c r="J9" s="24">
        <f>(I9-I8)*1000</f>
        <v>-0.10000000008858501</v>
      </c>
      <c r="K9" s="25">
        <f>K8+J9</f>
        <v>-0.49999999998817701</v>
      </c>
      <c r="L9" s="26">
        <f>J9/(A9-A8)</f>
        <v>-0.10000000008858501</v>
      </c>
      <c r="M9" s="6">
        <v>5.0228000000000002</v>
      </c>
      <c r="N9" s="35">
        <f t="shared" si="2"/>
        <v>796.82910000000004</v>
      </c>
      <c r="O9" s="24">
        <f>(N9-N8)*1000</f>
        <v>-0.20000000006348301</v>
      </c>
      <c r="P9" s="25">
        <f>P8+O9</f>
        <v>-0.60000000007676102</v>
      </c>
      <c r="Q9" s="26">
        <f>O9/(A9-A8)</f>
        <v>-0.20000000006348301</v>
      </c>
      <c r="R9" s="41"/>
      <c r="S9" s="21">
        <f t="shared" si="3"/>
        <v>45034</v>
      </c>
      <c r="T9" s="42">
        <v>8.3829999999999991</v>
      </c>
      <c r="U9" s="43">
        <f>(T9-T8)*1000</f>
        <v>-0.80000000000168803</v>
      </c>
      <c r="V9" s="44">
        <f>V8+U9</f>
        <v>-1.0000000000012199</v>
      </c>
      <c r="W9" s="45">
        <f>U9/(S8-S9)</f>
        <v>0.80000000000168803</v>
      </c>
      <c r="X9" s="6">
        <v>12.0063</v>
      </c>
      <c r="Y9" s="43">
        <f>(X9-X8)*1000</f>
        <v>-0.20000000000130999</v>
      </c>
      <c r="Z9" s="44">
        <f>Z8+Y9</f>
        <v>-0.70000000000014495</v>
      </c>
      <c r="AA9" s="45">
        <f>Y9/(S9-S8)</f>
        <v>-0.20000000000130999</v>
      </c>
      <c r="AB9" s="49">
        <v>8.4787999999999997</v>
      </c>
      <c r="AC9" s="43">
        <f>(AB9-AB8)*1000</f>
        <v>-0.19999999999953399</v>
      </c>
      <c r="AD9" s="44">
        <f>AD8+AC9</f>
        <v>-0.70000000000014495</v>
      </c>
      <c r="AE9" s="45">
        <f>AC9/(S9-S8)</f>
        <v>-0.19999999999953399</v>
      </c>
      <c r="AF9" s="50">
        <v>80838</v>
      </c>
      <c r="AG9" s="58">
        <f t="shared" si="4"/>
        <v>12</v>
      </c>
      <c r="AH9" s="61"/>
      <c r="AI9" s="60"/>
      <c r="AJ9"/>
      <c r="AK9"/>
      <c r="AL9"/>
      <c r="AM9"/>
    </row>
    <row r="10" spans="1:48">
      <c r="A10" s="21">
        <v>45035</v>
      </c>
      <c r="B10" s="22">
        <v>791.80629999999996</v>
      </c>
      <c r="C10" s="6">
        <v>5.2123999999999997</v>
      </c>
      <c r="D10" s="23">
        <f t="shared" si="0"/>
        <v>797.01869999999997</v>
      </c>
      <c r="E10" s="24">
        <f>(D10-D9)*1000</f>
        <v>-9.9999999974897905E-2</v>
      </c>
      <c r="F10" s="25">
        <f>F9+E10</f>
        <v>-0.59999999996307496</v>
      </c>
      <c r="G10" s="26">
        <f>E10/(A10-A9)</f>
        <v>-9.9999999974897905E-2</v>
      </c>
      <c r="H10" s="6">
        <v>6.0140000000000002</v>
      </c>
      <c r="I10" s="35">
        <f t="shared" si="1"/>
        <v>797.82029999999997</v>
      </c>
      <c r="J10" s="24">
        <f>(I10-I9)*1000</f>
        <v>-0.199999999949796</v>
      </c>
      <c r="K10" s="25">
        <f>K9+J10</f>
        <v>-0.69999999993797202</v>
      </c>
      <c r="L10" s="26">
        <f>J10/(A10-A9)</f>
        <v>-0.199999999949796</v>
      </c>
      <c r="M10" s="6">
        <v>5.0225</v>
      </c>
      <c r="N10" s="35">
        <f t="shared" si="2"/>
        <v>796.8288</v>
      </c>
      <c r="O10" s="24">
        <f>(N10-N9)*1000</f>
        <v>-0.29999999992469401</v>
      </c>
      <c r="P10" s="25">
        <f>P9+O10</f>
        <v>-0.90000000000145497</v>
      </c>
      <c r="Q10" s="26">
        <f>O10/(A10-A9)</f>
        <v>-0.29999999992469401</v>
      </c>
      <c r="R10" s="41"/>
      <c r="S10" s="21">
        <f t="shared" si="3"/>
        <v>45035</v>
      </c>
      <c r="T10" s="42">
        <v>8.3834999999999997</v>
      </c>
      <c r="U10" s="43">
        <f>(T10-T9)*1000</f>
        <v>0.50000000000061096</v>
      </c>
      <c r="V10" s="44">
        <f>V9+U10</f>
        <v>-0.50000000000061096</v>
      </c>
      <c r="W10" s="45">
        <f>U10/(S9-S10)</f>
        <v>-0.50000000000061096</v>
      </c>
      <c r="X10" s="6">
        <v>12.006</v>
      </c>
      <c r="Y10" s="43">
        <f>(X10-X9)*1000</f>
        <v>-0.29999999999930099</v>
      </c>
      <c r="Z10" s="44">
        <f>Z9+Y10</f>
        <v>-0.999999999999446</v>
      </c>
      <c r="AA10" s="45">
        <f>Y10/(S10-S9)</f>
        <v>-0.29999999999930099</v>
      </c>
      <c r="AB10" s="49">
        <v>8.4785000000000004</v>
      </c>
      <c r="AC10" s="43">
        <f>(AB10-AB9)*1000</f>
        <v>-0.29999999999930099</v>
      </c>
      <c r="AD10" s="44">
        <f>AD9+AC10</f>
        <v>-0.999999999999446</v>
      </c>
      <c r="AE10" s="45">
        <f>AC10/(S10-S9)</f>
        <v>-0.29999999999930099</v>
      </c>
      <c r="AF10" s="50">
        <v>80841</v>
      </c>
      <c r="AG10" s="58">
        <f t="shared" si="4"/>
        <v>15</v>
      </c>
      <c r="AH10" s="59"/>
      <c r="AI10" s="60"/>
      <c r="AJ10" s="61"/>
      <c r="AK10" s="62"/>
      <c r="AL10" s="52"/>
      <c r="AM10" s="52"/>
    </row>
    <row r="11" spans="1:48">
      <c r="A11" s="21">
        <v>45036</v>
      </c>
      <c r="B11" s="22">
        <v>791.80629999999996</v>
      </c>
      <c r="C11" s="6">
        <v>5.2122000000000002</v>
      </c>
      <c r="D11" s="23">
        <f t="shared" si="0"/>
        <v>797.01850000000002</v>
      </c>
      <c r="E11" s="24">
        <f>(D11-D10)*1000</f>
        <v>-0.199999999949796</v>
      </c>
      <c r="F11" s="25">
        <f>F10+E11</f>
        <v>-0.79999999991286996</v>
      </c>
      <c r="G11" s="26">
        <f>E11/(A11-A10)</f>
        <v>-0.199999999949796</v>
      </c>
      <c r="H11" s="6">
        <v>6.0137999999999998</v>
      </c>
      <c r="I11" s="35">
        <f t="shared" si="1"/>
        <v>797.82010000000002</v>
      </c>
      <c r="J11" s="24">
        <f>(I11-I10)*1000</f>
        <v>-0.20000000006348301</v>
      </c>
      <c r="K11" s="25">
        <f>K10+J11</f>
        <v>-0.90000000000145497</v>
      </c>
      <c r="L11" s="26">
        <f>J11/(A11-A10)</f>
        <v>-0.20000000006348301</v>
      </c>
      <c r="M11" s="6">
        <v>5.0224000000000002</v>
      </c>
      <c r="N11" s="35">
        <f t="shared" si="2"/>
        <v>796.82870000000003</v>
      </c>
      <c r="O11" s="24">
        <f>(N11-N10)*1000</f>
        <v>-0.10000000008858501</v>
      </c>
      <c r="P11" s="25">
        <f>P10+O11</f>
        <v>-1.00000000009004</v>
      </c>
      <c r="Q11" s="26">
        <f>O11/(A11-A10)</f>
        <v>-0.10000000008858501</v>
      </c>
      <c r="R11" s="41"/>
      <c r="S11" s="21">
        <f t="shared" si="3"/>
        <v>45036</v>
      </c>
      <c r="T11" s="42">
        <v>8.3832000000000004</v>
      </c>
      <c r="U11" s="43">
        <f>(T11-T10)*1000</f>
        <v>-0.29999999999930099</v>
      </c>
      <c r="V11" s="44">
        <f>V10+U11</f>
        <v>-0.799999999999912</v>
      </c>
      <c r="W11" s="45">
        <f>U11/(S10-S11)</f>
        <v>0.29999999999930099</v>
      </c>
      <c r="X11" s="6">
        <v>12.0061</v>
      </c>
      <c r="Y11" s="43">
        <f>(X11-X10)*1000</f>
        <v>9.99999999997669E-2</v>
      </c>
      <c r="Z11" s="44">
        <f>Z10+Y11</f>
        <v>-0.89999999999967895</v>
      </c>
      <c r="AA11" s="45">
        <f>Y11/(S11-S10)</f>
        <v>9.99999999997669E-2</v>
      </c>
      <c r="AB11" s="49">
        <v>8.4779999999999998</v>
      </c>
      <c r="AC11" s="43">
        <f>(AB11-AB10)*1000</f>
        <v>-0.50000000000061096</v>
      </c>
      <c r="AD11" s="44">
        <f>AD10+AC11</f>
        <v>-1.50000000000006</v>
      </c>
      <c r="AE11" s="45">
        <f>AC11/(S11-S10)</f>
        <v>-0.50000000000061096</v>
      </c>
      <c r="AF11" s="50">
        <v>80844</v>
      </c>
      <c r="AG11" s="58">
        <f t="shared" si="4"/>
        <v>18</v>
      </c>
      <c r="AH11" s="61"/>
      <c r="AI11" s="60"/>
      <c r="AJ11"/>
      <c r="AK11"/>
      <c r="AL11"/>
      <c r="AM11"/>
    </row>
    <row r="12" spans="1:48">
      <c r="A12" s="21">
        <v>45037</v>
      </c>
      <c r="B12" s="22">
        <v>791.80629999999996</v>
      </c>
      <c r="C12" s="6">
        <v>5.2119999999999997</v>
      </c>
      <c r="D12" s="23">
        <f t="shared" ref="D12:D20" si="5">C12+B12</f>
        <v>797.01829999999995</v>
      </c>
      <c r="E12" s="24">
        <f t="shared" ref="E12:E20" si="6">(D12-D11)*1000</f>
        <v>-0.20000000006348301</v>
      </c>
      <c r="F12" s="25">
        <f t="shared" ref="F12:F20" si="7">F11+E12</f>
        <v>-0.99999999997635303</v>
      </c>
      <c r="G12" s="26">
        <f t="shared" ref="G12:G20" si="8">E12/(A12-A11)</f>
        <v>-0.20000000006348301</v>
      </c>
      <c r="H12" s="6">
        <v>6.0134999999999996</v>
      </c>
      <c r="I12" s="35">
        <f t="shared" ref="I12:I20" si="9">H12+B12</f>
        <v>797.81979999999999</v>
      </c>
      <c r="J12" s="24">
        <f t="shared" ref="J12:J20" si="10">(I12-I11)*1000</f>
        <v>-0.29999999992469401</v>
      </c>
      <c r="K12" s="25">
        <f t="shared" ref="K12:K20" si="11">K11+J12</f>
        <v>-1.1999999999261499</v>
      </c>
      <c r="L12" s="26">
        <f t="shared" ref="L12:L20" si="12">J12/(A12-A11)</f>
        <v>-0.29999999992469401</v>
      </c>
      <c r="M12" s="6">
        <v>5.0223000000000004</v>
      </c>
      <c r="N12" s="35">
        <f t="shared" ref="N12:N20" si="13">M12+B12</f>
        <v>796.82860000000005</v>
      </c>
      <c r="O12" s="24">
        <f t="shared" ref="O12:O20" si="14">(N12-N11)*1000</f>
        <v>-9.9999999974897905E-2</v>
      </c>
      <c r="P12" s="25">
        <f t="shared" ref="P12:P20" si="15">P11+O12</f>
        <v>-1.1000000000649399</v>
      </c>
      <c r="Q12" s="26">
        <f t="shared" ref="Q12:Q20" si="16">O12/(A12-A11)</f>
        <v>-9.9999999974897905E-2</v>
      </c>
      <c r="R12" s="41"/>
      <c r="S12" s="21">
        <f t="shared" ref="S12:S27" si="17">A12</f>
        <v>45037</v>
      </c>
      <c r="T12" s="42">
        <v>8.3828999999999994</v>
      </c>
      <c r="U12" s="43">
        <f t="shared" ref="U12:U27" si="18">(T12-T11)*1000</f>
        <v>-0.29999999999930099</v>
      </c>
      <c r="V12" s="44">
        <f t="shared" ref="V12:V27" si="19">V11+U12</f>
        <v>-1.0999999999992101</v>
      </c>
      <c r="W12" s="45">
        <f t="shared" ref="W12:W27" si="20">U12/(S11-S12)</f>
        <v>0.29999999999930099</v>
      </c>
      <c r="X12" s="6">
        <v>12.005800000000001</v>
      </c>
      <c r="Y12" s="43">
        <f t="shared" ref="Y12:Y27" si="21">(X12-X11)*1000</f>
        <v>-0.29999999999930099</v>
      </c>
      <c r="Z12" s="44">
        <f t="shared" ref="Z12:Z27" si="22">Z11+Y12</f>
        <v>-1.1999999999989801</v>
      </c>
      <c r="AA12" s="45">
        <f t="shared" ref="AA12:AA27" si="23">Y12/(S12-S11)</f>
        <v>-0.29999999999930099</v>
      </c>
      <c r="AB12" s="49">
        <v>8.4783000000000008</v>
      </c>
      <c r="AC12" s="43">
        <f t="shared" ref="AC12:AC27" si="24">(AB12-AB11)*1000</f>
        <v>0.30000000000107702</v>
      </c>
      <c r="AD12" s="44">
        <f t="shared" ref="AD12:AD27" si="25">AD11+AC12</f>
        <v>-1.1999999999989801</v>
      </c>
      <c r="AE12" s="45">
        <f t="shared" ref="AE12:AE27" si="26">AC12/(S12-S11)</f>
        <v>0.30000000000107702</v>
      </c>
      <c r="AF12" s="50">
        <v>80847</v>
      </c>
      <c r="AG12" s="58">
        <f t="shared" ref="AG12:AG27" si="27">AF12-80826</f>
        <v>21</v>
      </c>
      <c r="AH12" s="61"/>
      <c r="AI12" s="60"/>
      <c r="AJ12"/>
      <c r="AK12"/>
      <c r="AL12"/>
      <c r="AM12"/>
    </row>
    <row r="13" spans="1:48">
      <c r="A13" s="21">
        <v>45038</v>
      </c>
      <c r="B13" s="22">
        <v>791.80629999999996</v>
      </c>
      <c r="C13" s="6">
        <v>5.2121000000000004</v>
      </c>
      <c r="D13" s="23">
        <f t="shared" si="5"/>
        <v>797.01840000000004</v>
      </c>
      <c r="E13" s="24">
        <f t="shared" si="6"/>
        <v>9.9999999974897905E-2</v>
      </c>
      <c r="F13" s="25">
        <f t="shared" si="7"/>
        <v>-0.90000000000145497</v>
      </c>
      <c r="G13" s="26">
        <f t="shared" si="8"/>
        <v>9.9999999974897905E-2</v>
      </c>
      <c r="H13" s="6">
        <v>6.0133999999999999</v>
      </c>
      <c r="I13" s="35">
        <f t="shared" si="9"/>
        <v>797.81970000000001</v>
      </c>
      <c r="J13" s="24">
        <f t="shared" si="10"/>
        <v>-9.9999999974897905E-2</v>
      </c>
      <c r="K13" s="25">
        <f t="shared" si="11"/>
        <v>-1.2999999999010501</v>
      </c>
      <c r="L13" s="26">
        <f t="shared" si="12"/>
        <v>-9.9999999974897905E-2</v>
      </c>
      <c r="M13" s="6">
        <v>5.0221999999999998</v>
      </c>
      <c r="N13" s="35">
        <f t="shared" si="13"/>
        <v>796.82849999999996</v>
      </c>
      <c r="O13" s="24">
        <f t="shared" si="14"/>
        <v>-9.9999999974897905E-2</v>
      </c>
      <c r="P13" s="25">
        <f t="shared" si="15"/>
        <v>-1.2000000000398401</v>
      </c>
      <c r="Q13" s="26">
        <f t="shared" si="16"/>
        <v>-9.9999999974897905E-2</v>
      </c>
      <c r="R13" s="41"/>
      <c r="S13" s="21">
        <f t="shared" si="17"/>
        <v>45038</v>
      </c>
      <c r="T13" s="42">
        <v>8.3827999999999996</v>
      </c>
      <c r="U13" s="43">
        <f t="shared" si="18"/>
        <v>-0.10000000000154299</v>
      </c>
      <c r="V13" s="44">
        <f t="shared" si="19"/>
        <v>-1.20000000000076</v>
      </c>
      <c r="W13" s="45">
        <f t="shared" si="20"/>
        <v>0.10000000000154299</v>
      </c>
      <c r="X13" s="6">
        <v>12.0055</v>
      </c>
      <c r="Y13" s="43">
        <f t="shared" si="21"/>
        <v>-0.29999999999930099</v>
      </c>
      <c r="Z13" s="44">
        <f t="shared" si="22"/>
        <v>-1.49999999999828</v>
      </c>
      <c r="AA13" s="45">
        <f t="shared" si="23"/>
        <v>-0.29999999999930099</v>
      </c>
      <c r="AB13" s="49">
        <v>8.4781999999999993</v>
      </c>
      <c r="AC13" s="43">
        <f t="shared" si="24"/>
        <v>-9.99999999997669E-2</v>
      </c>
      <c r="AD13" s="44">
        <f t="shared" si="25"/>
        <v>-1.2999999999987499</v>
      </c>
      <c r="AE13" s="45">
        <f t="shared" si="26"/>
        <v>-9.99999999997669E-2</v>
      </c>
      <c r="AF13" s="50">
        <v>80850</v>
      </c>
      <c r="AG13" s="58">
        <f t="shared" si="27"/>
        <v>24</v>
      </c>
      <c r="AH13" s="61"/>
      <c r="AI13" s="60"/>
      <c r="AJ13"/>
      <c r="AK13"/>
      <c r="AL13"/>
      <c r="AM13"/>
    </row>
    <row r="14" spans="1:48">
      <c r="A14" s="21">
        <v>45039</v>
      </c>
      <c r="B14" s="22">
        <v>791.80629999999996</v>
      </c>
      <c r="C14" s="6">
        <v>5.2115999999999998</v>
      </c>
      <c r="D14" s="23">
        <f t="shared" si="5"/>
        <v>797.01790000000005</v>
      </c>
      <c r="E14" s="24">
        <f t="shared" si="6"/>
        <v>-0.49999999998817701</v>
      </c>
      <c r="F14" s="25">
        <f t="shared" si="7"/>
        <v>-1.39999999998963</v>
      </c>
      <c r="G14" s="26">
        <f t="shared" si="8"/>
        <v>-0.49999999998817701</v>
      </c>
      <c r="H14" s="6">
        <v>6.0132000000000003</v>
      </c>
      <c r="I14" s="35">
        <f t="shared" si="9"/>
        <v>797.81949999999995</v>
      </c>
      <c r="J14" s="24">
        <f t="shared" si="10"/>
        <v>-0.20000000006348301</v>
      </c>
      <c r="K14" s="25">
        <f t="shared" si="11"/>
        <v>-1.4999999999645299</v>
      </c>
      <c r="L14" s="26">
        <f t="shared" si="12"/>
        <v>-0.20000000006348301</v>
      </c>
      <c r="M14" s="6">
        <v>5.0221</v>
      </c>
      <c r="N14" s="35">
        <f t="shared" si="13"/>
        <v>796.82839999999999</v>
      </c>
      <c r="O14" s="24">
        <f t="shared" si="14"/>
        <v>-9.9999999974897905E-2</v>
      </c>
      <c r="P14" s="25">
        <f t="shared" si="15"/>
        <v>-1.30000000001473</v>
      </c>
      <c r="Q14" s="26">
        <f t="shared" si="16"/>
        <v>-9.9999999974897905E-2</v>
      </c>
      <c r="R14" s="41"/>
      <c r="S14" s="21">
        <f t="shared" si="17"/>
        <v>45039</v>
      </c>
      <c r="T14" s="42">
        <v>8.3823000000000008</v>
      </c>
      <c r="U14" s="43">
        <f t="shared" si="18"/>
        <v>-0.49999999999705802</v>
      </c>
      <c r="V14" s="44">
        <f t="shared" si="19"/>
        <v>-1.6999999999978099</v>
      </c>
      <c r="W14" s="45">
        <f t="shared" si="20"/>
        <v>0.49999999999705802</v>
      </c>
      <c r="X14" s="6">
        <v>12.0052</v>
      </c>
      <c r="Y14" s="43">
        <f t="shared" si="21"/>
        <v>-0.29999999999930099</v>
      </c>
      <c r="Z14" s="44">
        <f t="shared" si="22"/>
        <v>-1.79999999999758</v>
      </c>
      <c r="AA14" s="45">
        <f t="shared" si="23"/>
        <v>-0.29999999999930099</v>
      </c>
      <c r="AB14" s="49">
        <v>8.4780999999999995</v>
      </c>
      <c r="AC14" s="43">
        <f t="shared" si="24"/>
        <v>-9.99999999997669E-2</v>
      </c>
      <c r="AD14" s="44">
        <f t="shared" si="25"/>
        <v>-1.39999999999851</v>
      </c>
      <c r="AE14" s="45">
        <f t="shared" si="26"/>
        <v>-9.99999999997669E-2</v>
      </c>
      <c r="AF14" s="50">
        <v>80853</v>
      </c>
      <c r="AG14" s="58">
        <f t="shared" si="27"/>
        <v>27</v>
      </c>
      <c r="AH14" s="59"/>
      <c r="AI14" s="60"/>
      <c r="AJ14"/>
      <c r="AK14"/>
      <c r="AL14"/>
      <c r="AM14"/>
    </row>
    <row r="15" spans="1:48">
      <c r="A15" s="21">
        <v>45040</v>
      </c>
      <c r="B15" s="22">
        <v>791.80629999999996</v>
      </c>
      <c r="C15" s="6">
        <v>5.2114000000000003</v>
      </c>
      <c r="D15" s="23">
        <f t="shared" si="5"/>
        <v>797.01769999999999</v>
      </c>
      <c r="E15" s="24">
        <f t="shared" si="6"/>
        <v>-0.199999999949796</v>
      </c>
      <c r="F15" s="25">
        <f t="shared" si="7"/>
        <v>-1.5999999999394301</v>
      </c>
      <c r="G15" s="26">
        <f t="shared" si="8"/>
        <v>-0.199999999949796</v>
      </c>
      <c r="H15" s="6">
        <v>6.0125000000000002</v>
      </c>
      <c r="I15" s="35">
        <f t="shared" si="9"/>
        <v>797.81880000000001</v>
      </c>
      <c r="J15" s="24">
        <f t="shared" si="10"/>
        <v>-0.69999999993797202</v>
      </c>
      <c r="K15" s="25">
        <f t="shared" si="11"/>
        <v>-2.1999999999024999</v>
      </c>
      <c r="L15" s="26">
        <f t="shared" si="12"/>
        <v>-0.69999999993797202</v>
      </c>
      <c r="M15" s="6">
        <v>5.0225</v>
      </c>
      <c r="N15" s="35">
        <f t="shared" si="13"/>
        <v>796.8288</v>
      </c>
      <c r="O15" s="24">
        <f t="shared" si="14"/>
        <v>0.40000000001327901</v>
      </c>
      <c r="P15" s="25">
        <f t="shared" si="15"/>
        <v>-0.90000000000145497</v>
      </c>
      <c r="Q15" s="26">
        <f t="shared" si="16"/>
        <v>0.40000000001327901</v>
      </c>
      <c r="R15" s="41"/>
      <c r="S15" s="21">
        <f t="shared" si="17"/>
        <v>45040</v>
      </c>
      <c r="T15" s="42">
        <v>8.3819999999999997</v>
      </c>
      <c r="U15" s="43">
        <f t="shared" si="18"/>
        <v>-0.29999999999930099</v>
      </c>
      <c r="V15" s="44">
        <f t="shared" si="19"/>
        <v>-1.9999999999971201</v>
      </c>
      <c r="W15" s="45">
        <f t="shared" si="20"/>
        <v>0.29999999999930099</v>
      </c>
      <c r="X15" s="6">
        <v>12.005000000000001</v>
      </c>
      <c r="Y15" s="43">
        <f t="shared" si="21"/>
        <v>-0.20000000000130999</v>
      </c>
      <c r="Z15" s="44">
        <f t="shared" si="22"/>
        <v>-1.99999999999889</v>
      </c>
      <c r="AA15" s="45">
        <f t="shared" si="23"/>
        <v>-0.20000000000130999</v>
      </c>
      <c r="AB15" s="49">
        <v>8.4781999999999993</v>
      </c>
      <c r="AC15" s="43">
        <f t="shared" si="24"/>
        <v>9.9999999997990599E-2</v>
      </c>
      <c r="AD15" s="44">
        <f t="shared" si="25"/>
        <v>-1.3000000000005201</v>
      </c>
      <c r="AE15" s="45">
        <f t="shared" si="26"/>
        <v>9.9999999997990599E-2</v>
      </c>
      <c r="AF15" s="50">
        <v>80856</v>
      </c>
      <c r="AG15" s="58">
        <f t="shared" si="27"/>
        <v>30</v>
      </c>
      <c r="AH15" s="61"/>
      <c r="AI15" s="60"/>
      <c r="AJ15"/>
      <c r="AK15"/>
      <c r="AL15"/>
      <c r="AM15"/>
    </row>
    <row r="16" spans="1:48">
      <c r="A16" s="21">
        <v>45041</v>
      </c>
      <c r="B16" s="22">
        <v>791.80629999999996</v>
      </c>
      <c r="C16" s="6">
        <v>5.2112999999999996</v>
      </c>
      <c r="D16" s="23">
        <f t="shared" si="5"/>
        <v>797.01760000000002</v>
      </c>
      <c r="E16" s="24">
        <f t="shared" si="6"/>
        <v>-9.9999999974897905E-2</v>
      </c>
      <c r="F16" s="25">
        <f t="shared" si="7"/>
        <v>-1.69999999991433</v>
      </c>
      <c r="G16" s="26">
        <f t="shared" si="8"/>
        <v>-9.9999999974897905E-2</v>
      </c>
      <c r="H16" s="6">
        <v>6.0128000000000004</v>
      </c>
      <c r="I16" s="35">
        <f t="shared" si="9"/>
        <v>797.81910000000005</v>
      </c>
      <c r="J16" s="24">
        <f t="shared" si="10"/>
        <v>0.29999999992469401</v>
      </c>
      <c r="K16" s="25">
        <f t="shared" si="11"/>
        <v>-1.8999999999778101</v>
      </c>
      <c r="L16" s="26">
        <f t="shared" si="12"/>
        <v>0.29999999992469401</v>
      </c>
      <c r="M16" s="6">
        <v>5.0218999999999996</v>
      </c>
      <c r="N16" s="35">
        <f t="shared" si="13"/>
        <v>796.82820000000004</v>
      </c>
      <c r="O16" s="24">
        <f t="shared" si="14"/>
        <v>-0.60000000007676102</v>
      </c>
      <c r="P16" s="25">
        <f t="shared" si="15"/>
        <v>-1.5000000000782201</v>
      </c>
      <c r="Q16" s="26">
        <f t="shared" si="16"/>
        <v>-0.60000000007676102</v>
      </c>
      <c r="R16" s="41"/>
      <c r="S16" s="21">
        <f t="shared" si="17"/>
        <v>45041</v>
      </c>
      <c r="T16" s="42">
        <v>8.3820999999999994</v>
      </c>
      <c r="U16" s="43">
        <f t="shared" si="18"/>
        <v>9.9999999996214201E-2</v>
      </c>
      <c r="V16" s="44">
        <f t="shared" si="19"/>
        <v>-1.9000000000009001</v>
      </c>
      <c r="W16" s="45">
        <f t="shared" si="20"/>
        <v>-9.9999999996214201E-2</v>
      </c>
      <c r="X16" s="6">
        <v>12.0046</v>
      </c>
      <c r="Y16" s="43">
        <f t="shared" si="21"/>
        <v>-0.39999999999729102</v>
      </c>
      <c r="Z16" s="44">
        <f t="shared" si="22"/>
        <v>-2.3999999999961799</v>
      </c>
      <c r="AA16" s="45">
        <f t="shared" si="23"/>
        <v>-0.39999999999729102</v>
      </c>
      <c r="AB16" s="49">
        <v>8.4779</v>
      </c>
      <c r="AC16" s="43">
        <f t="shared" si="24"/>
        <v>-0.29999999999752403</v>
      </c>
      <c r="AD16" s="44">
        <f t="shared" si="25"/>
        <v>-1.5999999999980501</v>
      </c>
      <c r="AE16" s="45">
        <f t="shared" si="26"/>
        <v>-0.29999999999752403</v>
      </c>
      <c r="AF16" s="50">
        <v>80859</v>
      </c>
      <c r="AG16" s="58">
        <f t="shared" si="27"/>
        <v>33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45042</v>
      </c>
      <c r="B17" s="22">
        <v>791.80629999999996</v>
      </c>
      <c r="C17" s="6">
        <v>5.2110000000000003</v>
      </c>
      <c r="D17" s="23">
        <f t="shared" si="5"/>
        <v>797.01729999999998</v>
      </c>
      <c r="E17" s="24">
        <f t="shared" si="6"/>
        <v>-0.30000000003838101</v>
      </c>
      <c r="F17" s="25">
        <f t="shared" si="7"/>
        <v>-1.9999999999527101</v>
      </c>
      <c r="G17" s="26">
        <f t="shared" si="8"/>
        <v>-0.30000000003838101</v>
      </c>
      <c r="H17" s="6">
        <v>6.0125999999999999</v>
      </c>
      <c r="I17" s="35">
        <f t="shared" si="9"/>
        <v>797.81889999999999</v>
      </c>
      <c r="J17" s="24">
        <f t="shared" si="10"/>
        <v>-0.199999999949796</v>
      </c>
      <c r="K17" s="25">
        <f t="shared" si="11"/>
        <v>-2.0999999999275998</v>
      </c>
      <c r="L17" s="26">
        <f t="shared" si="12"/>
        <v>-0.199999999949796</v>
      </c>
      <c r="M17" s="6">
        <v>5.0217999999999998</v>
      </c>
      <c r="N17" s="35">
        <f t="shared" si="13"/>
        <v>796.82809999999995</v>
      </c>
      <c r="O17" s="24">
        <f t="shared" si="14"/>
        <v>-9.9999999974897905E-2</v>
      </c>
      <c r="P17" s="25">
        <f t="shared" si="15"/>
        <v>-1.60000000005311</v>
      </c>
      <c r="Q17" s="26">
        <f t="shared" si="16"/>
        <v>-9.9999999974897905E-2</v>
      </c>
      <c r="R17" s="41"/>
      <c r="S17" s="21">
        <f t="shared" si="17"/>
        <v>45042</v>
      </c>
      <c r="T17" s="42">
        <v>8.3813999999999993</v>
      </c>
      <c r="U17" s="43">
        <f t="shared" si="18"/>
        <v>-0.69999999999481599</v>
      </c>
      <c r="V17" s="44">
        <f t="shared" si="19"/>
        <v>-2.59999999999572</v>
      </c>
      <c r="W17" s="45">
        <f t="shared" si="20"/>
        <v>0.69999999999481599</v>
      </c>
      <c r="X17" s="6">
        <v>12.004300000000001</v>
      </c>
      <c r="Y17" s="43">
        <f t="shared" si="21"/>
        <v>-0.29999999999930099</v>
      </c>
      <c r="Z17" s="44">
        <f t="shared" si="22"/>
        <v>-2.6999999999954798</v>
      </c>
      <c r="AA17" s="45">
        <f t="shared" si="23"/>
        <v>-0.29999999999930099</v>
      </c>
      <c r="AB17" s="49">
        <v>8.4778000000000002</v>
      </c>
      <c r="AC17" s="43">
        <f t="shared" si="24"/>
        <v>-9.99999999997669E-2</v>
      </c>
      <c r="AD17" s="44">
        <f t="shared" si="25"/>
        <v>-1.6999999999978099</v>
      </c>
      <c r="AE17" s="45">
        <f t="shared" si="26"/>
        <v>-9.99999999997669E-2</v>
      </c>
      <c r="AF17" s="50">
        <v>80862</v>
      </c>
      <c r="AG17" s="58">
        <f t="shared" si="27"/>
        <v>36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45043</v>
      </c>
      <c r="B18" s="22">
        <v>791.80629999999996</v>
      </c>
      <c r="C18" s="6">
        <v>5.2107999999999999</v>
      </c>
      <c r="D18" s="23">
        <f t="shared" si="5"/>
        <v>797.01710000000003</v>
      </c>
      <c r="E18" s="24">
        <f t="shared" si="6"/>
        <v>-0.20000000006348301</v>
      </c>
      <c r="F18" s="25">
        <f t="shared" si="7"/>
        <v>-2.2000000000161899</v>
      </c>
      <c r="G18" s="26">
        <f t="shared" si="8"/>
        <v>-0.20000000006348301</v>
      </c>
      <c r="H18" s="6">
        <v>6.0124000000000004</v>
      </c>
      <c r="I18" s="35">
        <f t="shared" si="9"/>
        <v>797.81870000000004</v>
      </c>
      <c r="J18" s="24">
        <f t="shared" si="10"/>
        <v>-0.20000000006348301</v>
      </c>
      <c r="K18" s="25">
        <f t="shared" si="11"/>
        <v>-2.2999999999910901</v>
      </c>
      <c r="L18" s="26">
        <f t="shared" si="12"/>
        <v>-0.20000000006348301</v>
      </c>
      <c r="M18" s="6">
        <v>5.0214999999999996</v>
      </c>
      <c r="N18" s="35">
        <f t="shared" si="13"/>
        <v>796.82779999999991</v>
      </c>
      <c r="O18" s="24">
        <f t="shared" si="14"/>
        <v>-0.30000000003838068</v>
      </c>
      <c r="P18" s="25">
        <f t="shared" si="15"/>
        <v>-1.9000000000914907</v>
      </c>
      <c r="Q18" s="26">
        <f t="shared" si="16"/>
        <v>-0.30000000003838068</v>
      </c>
      <c r="R18" s="41"/>
      <c r="S18" s="21">
        <f t="shared" si="17"/>
        <v>45043</v>
      </c>
      <c r="T18" s="42">
        <v>8.3811</v>
      </c>
      <c r="U18" s="43">
        <f t="shared" si="18"/>
        <v>-0.29999999999930083</v>
      </c>
      <c r="V18" s="44">
        <f t="shared" si="19"/>
        <v>-2.8999999999950208</v>
      </c>
      <c r="W18" s="45">
        <f t="shared" si="20"/>
        <v>0.29999999999930083</v>
      </c>
      <c r="X18" s="6">
        <v>12.0045</v>
      </c>
      <c r="Y18" s="43">
        <f t="shared" si="21"/>
        <v>0.199999999995981</v>
      </c>
      <c r="Z18" s="44">
        <f t="shared" si="22"/>
        <v>-2.4999999999995</v>
      </c>
      <c r="AA18" s="45">
        <f t="shared" si="23"/>
        <v>0.199999999995981</v>
      </c>
      <c r="AB18" s="49">
        <v>8.4777000000000005</v>
      </c>
      <c r="AC18" s="43">
        <f t="shared" si="24"/>
        <v>-9.99999999997669E-2</v>
      </c>
      <c r="AD18" s="44">
        <f t="shared" si="25"/>
        <v>-1.79999999999758</v>
      </c>
      <c r="AE18" s="45">
        <f t="shared" si="26"/>
        <v>-9.99999999997669E-2</v>
      </c>
      <c r="AF18" s="50">
        <v>80865</v>
      </c>
      <c r="AG18" s="58">
        <f t="shared" si="27"/>
        <v>39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45044</v>
      </c>
      <c r="B19" s="22">
        <v>791.80629999999996</v>
      </c>
      <c r="C19" s="6">
        <v>5.2110000000000003</v>
      </c>
      <c r="D19" s="23">
        <f t="shared" si="5"/>
        <v>797.01729999999998</v>
      </c>
      <c r="E19" s="24">
        <f t="shared" si="6"/>
        <v>0.20000000006348301</v>
      </c>
      <c r="F19" s="25">
        <f t="shared" si="7"/>
        <v>-1.9999999999527101</v>
      </c>
      <c r="G19" s="26">
        <f t="shared" si="8"/>
        <v>0.20000000006348301</v>
      </c>
      <c r="H19" s="6">
        <v>6.0122999999999998</v>
      </c>
      <c r="I19" s="35">
        <f t="shared" si="9"/>
        <v>797.81859999999995</v>
      </c>
      <c r="J19" s="24">
        <f t="shared" si="10"/>
        <v>-9.9999999974897905E-2</v>
      </c>
      <c r="K19" s="25">
        <f t="shared" si="11"/>
        <v>-2.39999999996598</v>
      </c>
      <c r="L19" s="26">
        <f t="shared" si="12"/>
        <v>-9.9999999974897905E-2</v>
      </c>
      <c r="M19" s="6">
        <v>5.0216000000000003</v>
      </c>
      <c r="N19" s="35">
        <f t="shared" si="13"/>
        <v>796.8279</v>
      </c>
      <c r="O19" s="24">
        <f t="shared" si="14"/>
        <v>0.10000000008858478</v>
      </c>
      <c r="P19" s="25">
        <f t="shared" si="15"/>
        <v>-1.8000000000029059</v>
      </c>
      <c r="Q19" s="26">
        <f t="shared" si="16"/>
        <v>0.10000000008858478</v>
      </c>
      <c r="R19" s="41"/>
      <c r="S19" s="21">
        <f t="shared" si="17"/>
        <v>45044</v>
      </c>
      <c r="T19" s="42">
        <v>8.3804999999999996</v>
      </c>
      <c r="U19" s="43">
        <f t="shared" si="18"/>
        <v>-0.60000000000037801</v>
      </c>
      <c r="V19" s="44">
        <f t="shared" si="19"/>
        <v>-3.4999999999953988</v>
      </c>
      <c r="W19" s="45">
        <f t="shared" si="20"/>
        <v>0.60000000000037801</v>
      </c>
      <c r="X19" s="6">
        <v>12.0037</v>
      </c>
      <c r="Y19" s="43">
        <f t="shared" si="21"/>
        <v>-0.79999999999458304</v>
      </c>
      <c r="Z19" s="44">
        <f t="shared" si="22"/>
        <v>-3.2999999999940899</v>
      </c>
      <c r="AA19" s="45">
        <f t="shared" si="23"/>
        <v>-0.79999999999458304</v>
      </c>
      <c r="AB19" s="49">
        <v>8.4774999999999991</v>
      </c>
      <c r="AC19" s="43">
        <f t="shared" si="24"/>
        <v>-0.20000000000308699</v>
      </c>
      <c r="AD19" s="44">
        <f t="shared" si="25"/>
        <v>-2.0000000000006701</v>
      </c>
      <c r="AE19" s="45">
        <f t="shared" si="26"/>
        <v>-0.20000000000308699</v>
      </c>
      <c r="AF19" s="50">
        <v>80868</v>
      </c>
      <c r="AG19" s="58">
        <f t="shared" si="27"/>
        <v>42</v>
      </c>
      <c r="AH19" s="61"/>
      <c r="AI19" s="60"/>
      <c r="AJ19"/>
      <c r="AK19"/>
      <c r="AL19"/>
      <c r="AM19"/>
    </row>
    <row r="20" spans="1:48">
      <c r="A20" s="21">
        <v>45045</v>
      </c>
      <c r="B20" s="22">
        <v>791.80629999999996</v>
      </c>
      <c r="C20" s="6">
        <v>5.2103999999999999</v>
      </c>
      <c r="D20" s="23">
        <f t="shared" si="5"/>
        <v>797.01670000000001</v>
      </c>
      <c r="E20" s="24">
        <f t="shared" si="6"/>
        <v>-0.59999999996307496</v>
      </c>
      <c r="F20" s="25">
        <f t="shared" si="7"/>
        <v>-2.5999999999157799</v>
      </c>
      <c r="G20" s="26">
        <f t="shared" si="8"/>
        <v>-0.59999999996307496</v>
      </c>
      <c r="H20" s="6">
        <v>6.0119999999999996</v>
      </c>
      <c r="I20" s="35">
        <f t="shared" si="9"/>
        <v>797.81830000000002</v>
      </c>
      <c r="J20" s="24">
        <f t="shared" si="10"/>
        <v>-0.30000000003838101</v>
      </c>
      <c r="K20" s="25">
        <f t="shared" si="11"/>
        <v>-2.70000000000437</v>
      </c>
      <c r="L20" s="26">
        <f t="shared" si="12"/>
        <v>-0.30000000003838101</v>
      </c>
      <c r="M20" s="6">
        <v>5.0213000000000001</v>
      </c>
      <c r="N20" s="35">
        <f t="shared" si="13"/>
        <v>796.82759999999996</v>
      </c>
      <c r="O20" s="24">
        <f t="shared" si="14"/>
        <v>-0.30000000003838101</v>
      </c>
      <c r="P20" s="25">
        <f t="shared" si="15"/>
        <v>-2.1000000000412871</v>
      </c>
      <c r="Q20" s="26">
        <f t="shared" si="16"/>
        <v>-0.30000000003838101</v>
      </c>
      <c r="R20" s="41"/>
      <c r="S20" s="21">
        <f t="shared" si="17"/>
        <v>45045</v>
      </c>
      <c r="T20" s="42">
        <v>8.3804999999999996</v>
      </c>
      <c r="U20" s="43">
        <f t="shared" si="18"/>
        <v>0</v>
      </c>
      <c r="V20" s="44">
        <f t="shared" si="19"/>
        <v>-3.4999999999953988</v>
      </c>
      <c r="W20" s="45">
        <f t="shared" si="20"/>
        <v>0</v>
      </c>
      <c r="X20" s="6">
        <v>12.003500000000001</v>
      </c>
      <c r="Y20" s="43">
        <f t="shared" si="21"/>
        <v>-0.20000000000486301</v>
      </c>
      <c r="Z20" s="44">
        <f t="shared" si="22"/>
        <v>-3.4999999999989502</v>
      </c>
      <c r="AA20" s="45">
        <f t="shared" si="23"/>
        <v>-0.20000000000486301</v>
      </c>
      <c r="AB20" s="49">
        <v>8.4774999999999991</v>
      </c>
      <c r="AC20" s="43">
        <f t="shared" si="24"/>
        <v>0</v>
      </c>
      <c r="AD20" s="44">
        <f t="shared" si="25"/>
        <v>-2.0000000000006701</v>
      </c>
      <c r="AE20" s="45">
        <f t="shared" si="26"/>
        <v>0</v>
      </c>
      <c r="AF20" s="50">
        <v>80871</v>
      </c>
      <c r="AG20" s="58">
        <f t="shared" si="27"/>
        <v>45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45047</v>
      </c>
      <c r="B21" s="22">
        <v>791.80629999999996</v>
      </c>
      <c r="C21" s="6">
        <v>5.2102000000000004</v>
      </c>
      <c r="D21" s="23">
        <f t="shared" ref="D21:D27" si="28">C21+B21</f>
        <v>797.01649999999995</v>
      </c>
      <c r="E21" s="24">
        <f t="shared" ref="E21:E27" si="29">(D21-D20)*1000</f>
        <v>-0.20000000006348301</v>
      </c>
      <c r="F21" s="25">
        <f t="shared" ref="F21:F27" si="30">F20+E21</f>
        <v>-2.79999999997926</v>
      </c>
      <c r="G21" s="26">
        <f t="shared" ref="G21:G27" si="31">E21/(A21-A20)</f>
        <v>-0.100000000031741</v>
      </c>
      <c r="H21" s="6">
        <v>6.0118</v>
      </c>
      <c r="I21" s="35">
        <f t="shared" ref="I21:I27" si="32">H21+B21</f>
        <v>797.81809999999996</v>
      </c>
      <c r="J21" s="24">
        <f t="shared" ref="J21:J27" si="33">(I21-I20)*1000</f>
        <v>-0.199999999949796</v>
      </c>
      <c r="K21" s="25">
        <f t="shared" ref="K21:K27" si="34">K20+J21</f>
        <v>-2.8999999999541601</v>
      </c>
      <c r="L21" s="26">
        <f t="shared" ref="L21:L27" si="35">J21/(A21-A20)</f>
        <v>-9.9999999974897905E-2</v>
      </c>
      <c r="M21" s="6">
        <v>5.0213999999999999</v>
      </c>
      <c r="N21" s="35">
        <f t="shared" ref="N21:N27" si="36">M21+B21</f>
        <v>796.82770000000005</v>
      </c>
      <c r="O21" s="24">
        <f t="shared" ref="O21:O27" si="37">(N21-N20)*1000</f>
        <v>9.9999999974897905E-2</v>
      </c>
      <c r="P21" s="25">
        <f t="shared" ref="P21:P27" si="38">P20+O21</f>
        <v>-2.0000000000663891</v>
      </c>
      <c r="Q21" s="26">
        <f t="shared" ref="Q21:Q27" si="39">O21/(A21-A20)</f>
        <v>4.9999999987449001E-2</v>
      </c>
      <c r="R21" s="41"/>
      <c r="S21" s="21">
        <f t="shared" si="17"/>
        <v>45047</v>
      </c>
      <c r="T21" s="42">
        <v>8.3802000000000003</v>
      </c>
      <c r="U21" s="43">
        <f t="shared" si="18"/>
        <v>-0.29999999999930083</v>
      </c>
      <c r="V21" s="44">
        <f t="shared" si="19"/>
        <v>-3.7999999999946996</v>
      </c>
      <c r="W21" s="45">
        <f t="shared" si="20"/>
        <v>0.14999999999965041</v>
      </c>
      <c r="X21" s="6">
        <v>12.0031</v>
      </c>
      <c r="Y21" s="43">
        <f t="shared" si="21"/>
        <v>-0.39999999999373897</v>
      </c>
      <c r="Z21" s="44">
        <f t="shared" si="22"/>
        <v>-3.8999999999926902</v>
      </c>
      <c r="AA21" s="45">
        <f t="shared" si="23"/>
        <v>-0.19999999999686899</v>
      </c>
      <c r="AB21" s="49">
        <v>8.4773999999999994</v>
      </c>
      <c r="AC21" s="43">
        <f t="shared" si="24"/>
        <v>-9.99999999997669E-2</v>
      </c>
      <c r="AD21" s="44">
        <f t="shared" si="25"/>
        <v>-2.10000000000043</v>
      </c>
      <c r="AE21" s="45">
        <f t="shared" si="26"/>
        <v>-4.9999999999883499E-2</v>
      </c>
      <c r="AF21" s="50">
        <v>80874</v>
      </c>
      <c r="AG21" s="58">
        <f t="shared" si="27"/>
        <v>48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45049</v>
      </c>
      <c r="B22" s="22">
        <v>791.80629999999996</v>
      </c>
      <c r="C22" s="6">
        <v>5.2103000000000002</v>
      </c>
      <c r="D22" s="23">
        <f t="shared" si="28"/>
        <v>797.01659999999993</v>
      </c>
      <c r="E22" s="24">
        <f t="shared" si="29"/>
        <v>9.9999999974897946E-2</v>
      </c>
      <c r="F22" s="25">
        <f t="shared" si="30"/>
        <v>-2.700000000004362</v>
      </c>
      <c r="G22" s="26">
        <f t="shared" si="31"/>
        <v>4.9999999987448973E-2</v>
      </c>
      <c r="H22" s="6">
        <v>6.0110000000000001</v>
      </c>
      <c r="I22" s="35">
        <f t="shared" si="32"/>
        <v>797.81730000000005</v>
      </c>
      <c r="J22" s="24">
        <f t="shared" si="33"/>
        <v>-0.80000000002655702</v>
      </c>
      <c r="K22" s="25">
        <f t="shared" si="34"/>
        <v>-3.69999999998072</v>
      </c>
      <c r="L22" s="26">
        <f t="shared" si="35"/>
        <v>-0.40000000001327901</v>
      </c>
      <c r="M22" s="6">
        <v>5.0213000000000001</v>
      </c>
      <c r="N22" s="35">
        <f t="shared" si="36"/>
        <v>796.82759999999996</v>
      </c>
      <c r="O22" s="24">
        <f t="shared" si="37"/>
        <v>-9.9999999974897905E-2</v>
      </c>
      <c r="P22" s="25">
        <f t="shared" si="38"/>
        <v>-2.1000000000412871</v>
      </c>
      <c r="Q22" s="26">
        <f t="shared" si="39"/>
        <v>-4.9999999987449001E-2</v>
      </c>
      <c r="R22" s="41"/>
      <c r="S22" s="21">
        <f t="shared" si="17"/>
        <v>45049</v>
      </c>
      <c r="T22" s="42">
        <v>8.3801000000000005</v>
      </c>
      <c r="U22" s="43">
        <f t="shared" si="18"/>
        <v>-9.9999999999766942E-2</v>
      </c>
      <c r="V22" s="44">
        <f t="shared" si="19"/>
        <v>-3.8999999999944666</v>
      </c>
      <c r="W22" s="45">
        <f t="shared" si="20"/>
        <v>4.9999999999883471E-2</v>
      </c>
      <c r="X22" s="6">
        <v>12.002800000000001</v>
      </c>
      <c r="Y22" s="43">
        <f t="shared" si="21"/>
        <v>-0.29999999999930099</v>
      </c>
      <c r="Z22" s="44">
        <f t="shared" si="22"/>
        <v>-4.1999999999919897</v>
      </c>
      <c r="AA22" s="45">
        <f t="shared" si="23"/>
        <v>-0.14999999999965</v>
      </c>
      <c r="AB22" s="49">
        <v>8.4772999999999996</v>
      </c>
      <c r="AC22" s="43">
        <f t="shared" si="24"/>
        <v>-9.99999999997669E-2</v>
      </c>
      <c r="AD22" s="44">
        <f t="shared" si="25"/>
        <v>-2.2000000000002</v>
      </c>
      <c r="AE22" s="45">
        <f t="shared" si="26"/>
        <v>-4.9999999999883499E-2</v>
      </c>
      <c r="AF22" s="50">
        <v>80877</v>
      </c>
      <c r="AG22" s="58">
        <f t="shared" si="27"/>
        <v>51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45051</v>
      </c>
      <c r="B23" s="22">
        <v>791.80629999999996</v>
      </c>
      <c r="C23" s="6">
        <v>5.2098000000000004</v>
      </c>
      <c r="D23" s="23">
        <f t="shared" si="28"/>
        <v>797.01609999999994</v>
      </c>
      <c r="E23" s="24">
        <f t="shared" si="29"/>
        <v>-0.49999999998817657</v>
      </c>
      <c r="F23" s="25">
        <f t="shared" si="30"/>
        <v>-3.1999999999925386</v>
      </c>
      <c r="G23" s="26">
        <f t="shared" si="31"/>
        <v>-0.24999999999408828</v>
      </c>
      <c r="H23" s="6">
        <v>6.0114000000000001</v>
      </c>
      <c r="I23" s="35">
        <f t="shared" si="32"/>
        <v>797.81769999999995</v>
      </c>
      <c r="J23" s="24">
        <f t="shared" si="33"/>
        <v>0.39999999989959178</v>
      </c>
      <c r="K23" s="25">
        <f t="shared" si="34"/>
        <v>-3.3000000000811283</v>
      </c>
      <c r="L23" s="26">
        <f t="shared" si="35"/>
        <v>0.19999999994979589</v>
      </c>
      <c r="M23" s="6">
        <v>5.0212000000000003</v>
      </c>
      <c r="N23" s="35">
        <f t="shared" si="36"/>
        <v>796.82749999999999</v>
      </c>
      <c r="O23" s="24">
        <f t="shared" si="37"/>
        <v>-9.9999999974897905E-2</v>
      </c>
      <c r="P23" s="25">
        <f t="shared" si="38"/>
        <v>-2.200000000016185</v>
      </c>
      <c r="Q23" s="26">
        <f t="shared" si="39"/>
        <v>-4.9999999987449001E-2</v>
      </c>
      <c r="R23" s="41"/>
      <c r="S23" s="21">
        <f t="shared" si="17"/>
        <v>45051</v>
      </c>
      <c r="T23" s="42">
        <v>8.3795999999999999</v>
      </c>
      <c r="U23" s="43">
        <f t="shared" si="18"/>
        <v>-0.50000000000061107</v>
      </c>
      <c r="V23" s="44">
        <f t="shared" si="19"/>
        <v>-4.3999999999950781</v>
      </c>
      <c r="W23" s="45">
        <f t="shared" si="20"/>
        <v>0.25000000000030553</v>
      </c>
      <c r="X23" s="6">
        <v>12.0025</v>
      </c>
      <c r="Y23" s="43">
        <f t="shared" si="21"/>
        <v>-0.29999999999930099</v>
      </c>
      <c r="Z23" s="44">
        <f t="shared" si="22"/>
        <v>-4.4999999999912896</v>
      </c>
      <c r="AA23" s="45">
        <f t="shared" si="23"/>
        <v>-0.14999999999965</v>
      </c>
      <c r="AB23" s="49">
        <v>8.4773999999999994</v>
      </c>
      <c r="AC23" s="43">
        <f t="shared" si="24"/>
        <v>9.9999999996214201E-2</v>
      </c>
      <c r="AD23" s="44">
        <f t="shared" si="25"/>
        <v>-2.1000000000039898</v>
      </c>
      <c r="AE23" s="45">
        <f t="shared" si="26"/>
        <v>4.99999999981071E-2</v>
      </c>
      <c r="AF23" s="50">
        <v>80880</v>
      </c>
      <c r="AG23" s="58">
        <f t="shared" si="27"/>
        <v>54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45053</v>
      </c>
      <c r="B24" s="22">
        <v>791.80629999999996</v>
      </c>
      <c r="C24" s="6">
        <v>5.2095000000000002</v>
      </c>
      <c r="D24" s="23">
        <f t="shared" si="28"/>
        <v>797.01580000000001</v>
      </c>
      <c r="E24" s="24">
        <f t="shared" si="29"/>
        <v>-0.29999999992469384</v>
      </c>
      <c r="F24" s="25">
        <f t="shared" si="30"/>
        <v>-3.4999999999172324</v>
      </c>
      <c r="G24" s="26">
        <f t="shared" si="31"/>
        <v>-0.14999999996234692</v>
      </c>
      <c r="H24" s="6">
        <v>6.0111999999999997</v>
      </c>
      <c r="I24" s="35">
        <f t="shared" si="32"/>
        <v>797.8175</v>
      </c>
      <c r="J24" s="24">
        <f t="shared" si="33"/>
        <v>-0.19999999994979589</v>
      </c>
      <c r="K24" s="25">
        <f t="shared" si="34"/>
        <v>-3.5000000000309242</v>
      </c>
      <c r="L24" s="26">
        <f t="shared" si="35"/>
        <v>-9.9999999974897946E-2</v>
      </c>
      <c r="M24" s="6">
        <v>5.0210999999999997</v>
      </c>
      <c r="N24" s="35">
        <f t="shared" si="36"/>
        <v>796.82740000000001</v>
      </c>
      <c r="O24" s="24">
        <f t="shared" si="37"/>
        <v>-9.9999999974897905E-2</v>
      </c>
      <c r="P24" s="25">
        <f t="shared" si="38"/>
        <v>-2.299999999991083</v>
      </c>
      <c r="Q24" s="26">
        <f t="shared" si="39"/>
        <v>-4.9999999987449001E-2</v>
      </c>
      <c r="R24" s="41"/>
      <c r="S24" s="21">
        <f t="shared" si="17"/>
        <v>45053</v>
      </c>
      <c r="T24" s="42">
        <v>8.3793000000000006</v>
      </c>
      <c r="U24" s="43">
        <f t="shared" si="18"/>
        <v>-0.29999999999930083</v>
      </c>
      <c r="V24" s="44">
        <f t="shared" si="19"/>
        <v>-4.6999999999943789</v>
      </c>
      <c r="W24" s="45">
        <f t="shared" si="20"/>
        <v>0.14999999999965041</v>
      </c>
      <c r="X24" s="6">
        <v>12.0022</v>
      </c>
      <c r="Y24" s="43">
        <f t="shared" si="21"/>
        <v>-0.29999999999930099</v>
      </c>
      <c r="Z24" s="44">
        <f t="shared" si="22"/>
        <v>-4.7999999999905896</v>
      </c>
      <c r="AA24" s="45">
        <f t="shared" si="23"/>
        <v>-0.14999999999965</v>
      </c>
      <c r="AB24" s="49">
        <v>8.4771000000000001</v>
      </c>
      <c r="AC24" s="43">
        <f t="shared" si="24"/>
        <v>-0.299999999995748</v>
      </c>
      <c r="AD24" s="44">
        <f t="shared" si="25"/>
        <v>-2.3999999999997401</v>
      </c>
      <c r="AE24" s="45">
        <f t="shared" si="26"/>
        <v>-0.149999999997874</v>
      </c>
      <c r="AF24" s="50">
        <v>80883</v>
      </c>
      <c r="AG24" s="58">
        <f t="shared" si="27"/>
        <v>57</v>
      </c>
      <c r="AH24" s="59"/>
      <c r="AI24" s="60"/>
      <c r="AJ24" s="52"/>
      <c r="AK24" s="52"/>
      <c r="AL24" s="52"/>
      <c r="AM24" s="52"/>
    </row>
    <row r="25" spans="1:48">
      <c r="A25" s="21">
        <v>45055</v>
      </c>
      <c r="B25" s="22">
        <v>791.80629999999996</v>
      </c>
      <c r="C25" s="6">
        <v>5.2096</v>
      </c>
      <c r="D25" s="23">
        <f t="shared" si="28"/>
        <v>797.01589999999999</v>
      </c>
      <c r="E25" s="24">
        <f t="shared" si="29"/>
        <v>9.9999999974897946E-2</v>
      </c>
      <c r="F25" s="25">
        <f t="shared" si="30"/>
        <v>-3.3999999999423345</v>
      </c>
      <c r="G25" s="26">
        <f t="shared" si="31"/>
        <v>4.9999999987448973E-2</v>
      </c>
      <c r="H25" s="6">
        <v>6.0111999999999997</v>
      </c>
      <c r="I25" s="35">
        <f t="shared" si="32"/>
        <v>797.8175</v>
      </c>
      <c r="J25" s="24">
        <f t="shared" si="33"/>
        <v>0</v>
      </c>
      <c r="K25" s="25">
        <f t="shared" si="34"/>
        <v>-3.5000000000309242</v>
      </c>
      <c r="L25" s="26">
        <f t="shared" si="35"/>
        <v>0</v>
      </c>
      <c r="M25" s="6">
        <v>5.0205000000000002</v>
      </c>
      <c r="N25" s="35">
        <f t="shared" si="36"/>
        <v>796.82680000000005</v>
      </c>
      <c r="O25" s="24">
        <f t="shared" si="37"/>
        <v>-0.60000000007676102</v>
      </c>
      <c r="P25" s="25">
        <f t="shared" si="38"/>
        <v>-2.9000000000678439</v>
      </c>
      <c r="Q25" s="26">
        <f t="shared" si="39"/>
        <v>-0.30000000003838101</v>
      </c>
      <c r="R25" s="41"/>
      <c r="S25" s="21">
        <f t="shared" si="17"/>
        <v>45055</v>
      </c>
      <c r="T25" s="42">
        <v>8.3789999999999996</v>
      </c>
      <c r="U25" s="43">
        <f t="shared" si="18"/>
        <v>-0.30000000000107718</v>
      </c>
      <c r="V25" s="44">
        <f t="shared" si="19"/>
        <v>-4.9999999999954561</v>
      </c>
      <c r="W25" s="45">
        <f t="shared" si="20"/>
        <v>0.15000000000053859</v>
      </c>
      <c r="X25" s="6">
        <v>12.0025</v>
      </c>
      <c r="Y25" s="43">
        <f t="shared" si="21"/>
        <v>0.29999999999041899</v>
      </c>
      <c r="Z25" s="44">
        <f t="shared" si="22"/>
        <v>-4.5000000000001696</v>
      </c>
      <c r="AA25" s="45">
        <f t="shared" si="23"/>
        <v>0.14999999999520999</v>
      </c>
      <c r="AB25" s="49">
        <v>8.4770000000000003</v>
      </c>
      <c r="AC25" s="43">
        <f t="shared" si="24"/>
        <v>-9.99999999997669E-2</v>
      </c>
      <c r="AD25" s="44">
        <f t="shared" si="25"/>
        <v>-2.4999999999995</v>
      </c>
      <c r="AE25" s="45">
        <f t="shared" si="26"/>
        <v>-4.9999999999883499E-2</v>
      </c>
      <c r="AF25" s="50">
        <v>80886</v>
      </c>
      <c r="AG25" s="58">
        <f t="shared" si="27"/>
        <v>60</v>
      </c>
      <c r="AH25" s="61"/>
      <c r="AI25" s="60"/>
      <c r="AJ25" s="52"/>
      <c r="AK25" s="52"/>
      <c r="AL25" s="52"/>
      <c r="AM25" s="52"/>
    </row>
    <row r="26" spans="1:48">
      <c r="A26" s="21">
        <v>45057</v>
      </c>
      <c r="B26" s="22">
        <v>791.80629999999996</v>
      </c>
      <c r="C26" s="6">
        <v>5.2096999999999998</v>
      </c>
      <c r="D26" s="23">
        <f t="shared" si="28"/>
        <v>797.01599999999996</v>
      </c>
      <c r="E26" s="24">
        <f t="shared" si="29"/>
        <v>9.9999999974897905E-2</v>
      </c>
      <c r="F26" s="25">
        <f t="shared" si="30"/>
        <v>-3.2999999999674365</v>
      </c>
      <c r="G26" s="26">
        <f t="shared" si="31"/>
        <v>4.9999999987449001E-2</v>
      </c>
      <c r="H26" s="6">
        <v>6.0107999999999997</v>
      </c>
      <c r="I26" s="35">
        <f t="shared" si="32"/>
        <v>797.81709999999998</v>
      </c>
      <c r="J26" s="24">
        <f t="shared" si="33"/>
        <v>-0.40000000001327862</v>
      </c>
      <c r="K26" s="25">
        <f t="shared" si="34"/>
        <v>-3.9000000000442028</v>
      </c>
      <c r="L26" s="26">
        <f t="shared" si="35"/>
        <v>-0.20000000000663931</v>
      </c>
      <c r="M26" s="6">
        <v>5.0209000000000001</v>
      </c>
      <c r="N26" s="35">
        <f t="shared" si="36"/>
        <v>796.82719999999995</v>
      </c>
      <c r="O26" s="24">
        <f t="shared" si="37"/>
        <v>0.40000000001327901</v>
      </c>
      <c r="P26" s="25">
        <f t="shared" si="38"/>
        <v>-2.5000000000545648</v>
      </c>
      <c r="Q26" s="26">
        <f t="shared" si="39"/>
        <v>0.20000000000663901</v>
      </c>
      <c r="R26" s="41"/>
      <c r="S26" s="21">
        <f t="shared" si="17"/>
        <v>45057</v>
      </c>
      <c r="T26" s="42">
        <v>8.3797999999999995</v>
      </c>
      <c r="U26" s="43">
        <f t="shared" si="18"/>
        <v>0.79999999999991189</v>
      </c>
      <c r="V26" s="44">
        <f t="shared" si="19"/>
        <v>-4.1999999999955442</v>
      </c>
      <c r="W26" s="45">
        <f t="shared" si="20"/>
        <v>-0.39999999999995595</v>
      </c>
      <c r="X26" s="6">
        <v>12.0016</v>
      </c>
      <c r="Y26" s="43">
        <f t="shared" si="21"/>
        <v>-0.89999999998902103</v>
      </c>
      <c r="Z26" s="44">
        <f t="shared" si="22"/>
        <v>-5.3999999999891903</v>
      </c>
      <c r="AA26" s="45">
        <f t="shared" si="23"/>
        <v>-0.44999999999451001</v>
      </c>
      <c r="AB26" s="49">
        <v>8.4769000000000005</v>
      </c>
      <c r="AC26" s="43">
        <f t="shared" si="24"/>
        <v>-9.99999999997669E-2</v>
      </c>
      <c r="AD26" s="44">
        <f t="shared" si="25"/>
        <v>-2.59999999999927</v>
      </c>
      <c r="AE26" s="45">
        <f t="shared" si="26"/>
        <v>-4.9999999999883499E-2</v>
      </c>
      <c r="AF26" s="50">
        <v>80889</v>
      </c>
      <c r="AG26" s="58">
        <f t="shared" si="27"/>
        <v>63</v>
      </c>
      <c r="AH26" s="59"/>
      <c r="AI26" s="60"/>
      <c r="AJ26" s="61"/>
      <c r="AK26" s="62"/>
      <c r="AL26" s="60"/>
      <c r="AM26" s="64"/>
    </row>
    <row r="27" spans="1:48">
      <c r="A27" s="21">
        <v>45059</v>
      </c>
      <c r="B27" s="22">
        <v>791.80629999999996</v>
      </c>
      <c r="C27" s="6">
        <v>5.2098000000000004</v>
      </c>
      <c r="D27" s="23">
        <f t="shared" si="28"/>
        <v>797.01610000000005</v>
      </c>
      <c r="E27" s="24">
        <f t="shared" si="29"/>
        <v>9.9999999974897905E-2</v>
      </c>
      <c r="F27" s="25">
        <f t="shared" si="30"/>
        <v>-3.1999999999925386</v>
      </c>
      <c r="G27" s="26">
        <f t="shared" si="31"/>
        <v>4.9999999987449001E-2</v>
      </c>
      <c r="H27" s="6">
        <v>6.0106000000000002</v>
      </c>
      <c r="I27" s="35">
        <f t="shared" si="32"/>
        <v>797.81689999999992</v>
      </c>
      <c r="J27" s="24">
        <f t="shared" si="33"/>
        <v>-0.20000000006348273</v>
      </c>
      <c r="K27" s="25">
        <f t="shared" si="34"/>
        <v>-4.1000000001076859</v>
      </c>
      <c r="L27" s="26">
        <f t="shared" si="35"/>
        <v>-0.10000000003174137</v>
      </c>
      <c r="M27" s="6">
        <v>5.0208000000000004</v>
      </c>
      <c r="N27" s="35">
        <f t="shared" si="36"/>
        <v>796.82709999999997</v>
      </c>
      <c r="O27" s="24">
        <f t="shared" si="37"/>
        <v>-9.9999999974897905E-2</v>
      </c>
      <c r="P27" s="25">
        <f t="shared" si="38"/>
        <v>-2.6000000000294627</v>
      </c>
      <c r="Q27" s="26">
        <f t="shared" si="39"/>
        <v>-4.9999999987449001E-2</v>
      </c>
      <c r="R27" s="41"/>
      <c r="S27" s="21">
        <f t="shared" si="17"/>
        <v>45059</v>
      </c>
      <c r="T27" s="42">
        <v>8.3795000000000002</v>
      </c>
      <c r="U27" s="43">
        <f t="shared" si="18"/>
        <v>-0.29999999999930099</v>
      </c>
      <c r="V27" s="44">
        <f t="shared" si="19"/>
        <v>-4.499999999994845</v>
      </c>
      <c r="W27" s="45">
        <f t="shared" si="20"/>
        <v>0.14999999999965</v>
      </c>
      <c r="X27" s="6">
        <v>12.002000000000001</v>
      </c>
      <c r="Y27" s="43">
        <f t="shared" si="21"/>
        <v>0.39999999999018598</v>
      </c>
      <c r="Z27" s="44">
        <f t="shared" si="22"/>
        <v>-4.9999999999990097</v>
      </c>
      <c r="AA27" s="45">
        <f t="shared" si="23"/>
        <v>0.19999999999509299</v>
      </c>
      <c r="AB27" s="49">
        <v>8.4770000000000003</v>
      </c>
      <c r="AC27" s="43">
        <f t="shared" si="24"/>
        <v>9.9999999996214201E-2</v>
      </c>
      <c r="AD27" s="44">
        <f t="shared" si="25"/>
        <v>-2.5000000000030602</v>
      </c>
      <c r="AE27" s="45">
        <f t="shared" si="26"/>
        <v>4.99999999981071E-2</v>
      </c>
      <c r="AF27" s="50">
        <v>80892</v>
      </c>
      <c r="AG27" s="58">
        <f t="shared" si="27"/>
        <v>66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F27-F11</f>
        <v>-2.4000000000796686</v>
      </c>
      <c r="F28" s="33">
        <f>K27-K11</f>
        <v>-3.2000000001062308</v>
      </c>
      <c r="G28" s="33">
        <f>P27-P11</f>
        <v>-1.5999999999394228</v>
      </c>
      <c r="H28" s="33">
        <f>F27</f>
        <v>-3.1999999999925386</v>
      </c>
      <c r="I28" s="66">
        <f>K27</f>
        <v>-4.1000000001076859</v>
      </c>
      <c r="J28" s="65">
        <f>P27</f>
        <v>-2.6000000000294627</v>
      </c>
      <c r="K28" s="33">
        <f>(F27-F11)/24</f>
        <v>-0.10000000000331953</v>
      </c>
      <c r="L28" s="26"/>
      <c r="N28" s="35"/>
      <c r="O28" s="24"/>
      <c r="P28" s="25"/>
      <c r="Q28" s="26"/>
      <c r="R28" s="41"/>
      <c r="S28" s="21"/>
      <c r="T28" s="42"/>
      <c r="U28" s="65">
        <f>V27-V11</f>
        <v>-3.6999999999949331</v>
      </c>
      <c r="V28" s="33">
        <f>Z27-Z11</f>
        <v>-4.0999999999993308</v>
      </c>
      <c r="W28" s="33">
        <f>AD27-AD11</f>
        <v>-1.0000000000030003</v>
      </c>
      <c r="X28" s="33">
        <f>V27</f>
        <v>-4.499999999994845</v>
      </c>
      <c r="Y28" s="65">
        <f>Z27</f>
        <v>-4.9999999999990097</v>
      </c>
      <c r="Z28" s="33">
        <f>AD27</f>
        <v>-2.5000000000030602</v>
      </c>
      <c r="AA28" s="33">
        <f>(Z27-Z11)/24</f>
        <v>-0.17083333333330544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sheetPr>
    <tabColor rgb="FFFFFF00"/>
  </sheetPr>
  <dimension ref="A1:AV53"/>
  <sheetViews>
    <sheetView tabSelected="1" topLeftCell="P25" workbookViewId="0">
      <selection activeCell="E28" sqref="E28:K28"/>
    </sheetView>
  </sheetViews>
  <sheetFormatPr defaultColWidth="9" defaultRowHeight="14.25"/>
  <cols>
    <col min="1" max="1" width="9.25" style="1" customWidth="1"/>
    <col min="2" max="2" width="12" style="1" customWidth="1"/>
    <col min="3" max="3" width="9.25" style="2" customWidth="1"/>
    <col min="4" max="4" width="11" style="2" customWidth="1"/>
    <col min="5" max="5" width="7.75" style="3" customWidth="1"/>
    <col min="6" max="6" width="7.75" style="4" customWidth="1"/>
    <col min="7" max="7" width="8.25" style="5" customWidth="1"/>
    <col min="8" max="8" width="9.25" style="6" customWidth="1"/>
    <col min="9" max="9" width="11" style="6" customWidth="1"/>
    <col min="10" max="10" width="7.75" style="3" customWidth="1"/>
    <col min="11" max="11" width="7.75" style="4" customWidth="1"/>
    <col min="12" max="12" width="7.75" style="5" customWidth="1"/>
    <col min="13" max="13" width="9.875" style="6" customWidth="1"/>
    <col min="14" max="14" width="11.75" style="6" customWidth="1"/>
    <col min="15" max="15" width="7.75" style="3" customWidth="1"/>
    <col min="16" max="16" width="7.75" style="4" customWidth="1"/>
    <col min="17" max="17" width="7.5" style="5" customWidth="1"/>
    <col min="18" max="18" width="5.5" style="7" customWidth="1"/>
    <col min="19" max="19" width="9.875" style="1" customWidth="1"/>
    <col min="20" max="20" width="9.875" style="8" customWidth="1"/>
    <col min="21" max="21" width="7.875" style="3" customWidth="1"/>
    <col min="22" max="22" width="7.875" style="4" customWidth="1"/>
    <col min="23" max="23" width="9.375" style="5" customWidth="1"/>
    <col min="24" max="24" width="10" style="6" customWidth="1"/>
    <col min="25" max="25" width="7.875" style="3" customWidth="1"/>
    <col min="26" max="26" width="9.375" style="4" customWidth="1"/>
    <col min="27" max="27" width="9" style="5" customWidth="1"/>
    <col min="28" max="28" width="10.125" style="6" customWidth="1"/>
    <col min="29" max="29" width="7.875" style="3" customWidth="1"/>
    <col min="30" max="30" width="7.875" style="4" customWidth="1"/>
    <col min="31" max="31" width="7.875" style="5" customWidth="1"/>
    <col min="32" max="32" width="15" style="9" customWidth="1"/>
    <col min="33" max="33" width="8.5" style="9" customWidth="1"/>
    <col min="34" max="39" width="9" style="10"/>
  </cols>
  <sheetData>
    <row r="1" spans="1:48" ht="22.5">
      <c r="A1" s="74" t="s">
        <v>89</v>
      </c>
      <c r="B1" s="74"/>
      <c r="C1" s="75"/>
      <c r="D1" s="75"/>
      <c r="E1" s="76"/>
      <c r="F1" s="76"/>
      <c r="G1" s="76"/>
      <c r="H1" s="77"/>
      <c r="I1" s="77"/>
      <c r="J1" s="76"/>
      <c r="K1" s="76"/>
      <c r="L1" s="76"/>
      <c r="M1" s="77"/>
      <c r="N1" s="77"/>
      <c r="O1" s="76"/>
      <c r="P1" s="76"/>
      <c r="Q1" s="76"/>
      <c r="R1" s="74"/>
      <c r="S1" s="74"/>
      <c r="T1" s="78"/>
      <c r="U1" s="76"/>
      <c r="V1" s="76"/>
      <c r="W1" s="76"/>
      <c r="X1" s="77"/>
      <c r="Y1" s="76"/>
      <c r="Z1" s="76"/>
      <c r="AA1" s="76"/>
      <c r="AB1" s="77"/>
      <c r="AC1" s="76"/>
      <c r="AD1" s="76"/>
      <c r="AE1" s="76"/>
      <c r="AF1" s="11"/>
      <c r="AG1" s="11"/>
      <c r="AH1" s="51"/>
      <c r="AL1" s="52"/>
      <c r="AM1" s="52"/>
    </row>
    <row r="2" spans="1:48">
      <c r="A2" s="12" t="s">
        <v>1</v>
      </c>
      <c r="B2" s="12"/>
      <c r="C2" s="79">
        <v>45037</v>
      </c>
      <c r="D2" s="79"/>
      <c r="E2" s="80"/>
      <c r="F2" s="80"/>
      <c r="G2" s="81" t="s">
        <v>2</v>
      </c>
      <c r="H2" s="82"/>
      <c r="I2" s="82"/>
      <c r="J2" s="81"/>
      <c r="K2" s="81"/>
      <c r="L2" s="81"/>
      <c r="M2" s="82"/>
      <c r="N2" s="82"/>
      <c r="O2" s="81"/>
      <c r="P2" s="81"/>
      <c r="Q2" s="81"/>
      <c r="R2" s="83"/>
      <c r="S2" s="83"/>
      <c r="T2" s="84"/>
      <c r="U2" s="81"/>
      <c r="V2" s="81"/>
      <c r="W2" s="81"/>
      <c r="X2" s="82"/>
      <c r="Y2" s="81"/>
      <c r="Z2" s="81"/>
      <c r="AA2" s="85" t="s">
        <v>3</v>
      </c>
      <c r="AB2" s="86"/>
      <c r="AC2" s="85"/>
      <c r="AD2" s="85"/>
      <c r="AE2" s="85"/>
      <c r="AF2" s="48"/>
      <c r="AG2" s="48"/>
      <c r="AH2" s="53"/>
      <c r="AI2" s="54"/>
      <c r="AJ2" s="54"/>
      <c r="AK2" s="54"/>
      <c r="AL2" s="52"/>
      <c r="AM2" s="52"/>
    </row>
    <row r="3" spans="1:48">
      <c r="A3" s="87" t="s">
        <v>4</v>
      </c>
      <c r="B3" s="87"/>
      <c r="C3" s="88"/>
      <c r="D3" s="88"/>
      <c r="E3" s="89"/>
      <c r="F3" s="89"/>
      <c r="G3" s="89"/>
      <c r="H3" s="90"/>
      <c r="I3" s="90"/>
      <c r="J3" s="89"/>
      <c r="K3" s="89"/>
      <c r="L3" s="89"/>
      <c r="M3" s="90"/>
      <c r="N3" s="90"/>
      <c r="O3" s="89"/>
      <c r="P3" s="89"/>
      <c r="Q3" s="89"/>
      <c r="R3" s="36"/>
      <c r="S3" s="91" t="s">
        <v>5</v>
      </c>
      <c r="T3" s="92"/>
      <c r="U3" s="89"/>
      <c r="V3" s="89"/>
      <c r="W3" s="89"/>
      <c r="X3" s="90"/>
      <c r="Y3" s="89"/>
      <c r="Z3" s="89"/>
      <c r="AA3" s="89"/>
      <c r="AB3" s="90"/>
      <c r="AC3" s="89"/>
      <c r="AD3" s="89"/>
      <c r="AE3" s="89"/>
      <c r="AF3" s="94" t="s">
        <v>6</v>
      </c>
      <c r="AG3" s="95" t="s">
        <v>7</v>
      </c>
      <c r="AH3" s="37"/>
      <c r="AI3" s="55"/>
      <c r="AJ3" s="55"/>
      <c r="AK3" s="55"/>
      <c r="AL3" s="52"/>
      <c r="AM3" s="52"/>
    </row>
    <row r="4" spans="1:48">
      <c r="A4" s="93" t="s">
        <v>8</v>
      </c>
      <c r="B4" s="14"/>
      <c r="C4" s="88" t="s">
        <v>9</v>
      </c>
      <c r="D4" s="88"/>
      <c r="E4" s="89"/>
      <c r="F4" s="89"/>
      <c r="G4" s="89"/>
      <c r="H4" s="90" t="s">
        <v>10</v>
      </c>
      <c r="I4" s="90"/>
      <c r="J4" s="89"/>
      <c r="K4" s="89"/>
      <c r="L4" s="89"/>
      <c r="M4" s="90" t="s">
        <v>11</v>
      </c>
      <c r="N4" s="90"/>
      <c r="O4" s="89"/>
      <c r="P4" s="89"/>
      <c r="Q4" s="89"/>
      <c r="R4" s="36"/>
      <c r="S4" s="93" t="s">
        <v>8</v>
      </c>
      <c r="T4" s="38"/>
      <c r="U4" s="89" t="s">
        <v>12</v>
      </c>
      <c r="V4" s="89"/>
      <c r="W4" s="89"/>
      <c r="X4" s="13"/>
      <c r="Y4" s="89" t="s">
        <v>13</v>
      </c>
      <c r="Z4" s="89"/>
      <c r="AA4" s="89"/>
      <c r="AB4" s="13"/>
      <c r="AC4" s="89" t="s">
        <v>14</v>
      </c>
      <c r="AD4" s="89"/>
      <c r="AE4" s="89"/>
      <c r="AF4" s="94"/>
      <c r="AG4" s="95"/>
      <c r="AH4" s="37"/>
      <c r="AI4" s="55"/>
      <c r="AJ4" s="55"/>
      <c r="AK4" s="55"/>
      <c r="AL4" s="52"/>
      <c r="AM4" s="52"/>
    </row>
    <row r="5" spans="1:48">
      <c r="A5" s="93"/>
      <c r="B5" s="14" t="s">
        <v>15</v>
      </c>
      <c r="C5" s="15" t="s">
        <v>16</v>
      </c>
      <c r="D5" s="16" t="s">
        <v>17</v>
      </c>
      <c r="E5" s="17" t="s">
        <v>18</v>
      </c>
      <c r="F5" s="18" t="s">
        <v>19</v>
      </c>
      <c r="G5" s="19" t="s">
        <v>20</v>
      </c>
      <c r="H5" s="20" t="s">
        <v>16</v>
      </c>
      <c r="I5" s="34" t="s">
        <v>17</v>
      </c>
      <c r="J5" s="17" t="s">
        <v>18</v>
      </c>
      <c r="K5" s="18" t="s">
        <v>19</v>
      </c>
      <c r="L5" s="19" t="s">
        <v>20</v>
      </c>
      <c r="M5" s="20" t="s">
        <v>16</v>
      </c>
      <c r="N5" s="34" t="s">
        <v>17</v>
      </c>
      <c r="O5" s="17" t="s">
        <v>18</v>
      </c>
      <c r="P5" s="18" t="s">
        <v>19</v>
      </c>
      <c r="Q5" s="19" t="s">
        <v>20</v>
      </c>
      <c r="R5" s="39"/>
      <c r="S5" s="93"/>
      <c r="T5" s="40" t="s">
        <v>21</v>
      </c>
      <c r="U5" s="17" t="s">
        <v>22</v>
      </c>
      <c r="V5" s="18" t="s">
        <v>23</v>
      </c>
      <c r="W5" s="19" t="s">
        <v>24</v>
      </c>
      <c r="X5" s="20" t="s">
        <v>21</v>
      </c>
      <c r="Y5" s="17" t="s">
        <v>22</v>
      </c>
      <c r="Z5" s="18" t="s">
        <v>23</v>
      </c>
      <c r="AA5" s="19" t="s">
        <v>24</v>
      </c>
      <c r="AB5" s="20" t="s">
        <v>21</v>
      </c>
      <c r="AC5" s="17" t="s">
        <v>22</v>
      </c>
      <c r="AD5" s="18" t="s">
        <v>23</v>
      </c>
      <c r="AE5" s="19" t="s">
        <v>24</v>
      </c>
      <c r="AF5" s="94"/>
      <c r="AG5" s="95"/>
      <c r="AH5" s="56"/>
      <c r="AI5" s="57"/>
      <c r="AJ5" s="57"/>
      <c r="AK5" s="57"/>
      <c r="AL5" s="52"/>
      <c r="AM5" s="52"/>
    </row>
    <row r="6" spans="1:48">
      <c r="A6" s="21">
        <v>45037</v>
      </c>
      <c r="B6" s="22">
        <v>791.80629999999996</v>
      </c>
      <c r="C6" s="6">
        <v>5.0627000000000004</v>
      </c>
      <c r="D6" s="23">
        <f t="shared" ref="D6:D27" si="0">C6+B6</f>
        <v>796.86900000000003</v>
      </c>
      <c r="E6" s="24">
        <v>0</v>
      </c>
      <c r="F6" s="25">
        <v>0</v>
      </c>
      <c r="G6" s="26">
        <v>0</v>
      </c>
      <c r="H6" s="6">
        <v>6.9227999999999996</v>
      </c>
      <c r="I6" s="35">
        <f t="shared" ref="I6:I27" si="1">H6+B6</f>
        <v>798.72910000000002</v>
      </c>
      <c r="J6" s="24">
        <v>0</v>
      </c>
      <c r="K6" s="25">
        <v>0</v>
      </c>
      <c r="L6" s="26">
        <v>0</v>
      </c>
      <c r="M6" s="6">
        <v>5.6597</v>
      </c>
      <c r="N6" s="35">
        <f t="shared" ref="N6:N27" si="2">M6+B6</f>
        <v>797.46600000000001</v>
      </c>
      <c r="O6" s="24">
        <v>0</v>
      </c>
      <c r="P6" s="25">
        <v>0</v>
      </c>
      <c r="Q6" s="26">
        <v>0</v>
      </c>
      <c r="R6" s="41"/>
      <c r="S6" s="21">
        <f t="shared" ref="S6:S27" si="3">A6</f>
        <v>45037</v>
      </c>
      <c r="T6" s="42">
        <v>8.7415000000000003</v>
      </c>
      <c r="U6" s="43">
        <v>0</v>
      </c>
      <c r="V6" s="44">
        <v>0</v>
      </c>
      <c r="W6" s="45">
        <f>U6/(S6-S11)</f>
        <v>0</v>
      </c>
      <c r="X6" s="6">
        <v>12.1347</v>
      </c>
      <c r="Y6" s="43">
        <v>0</v>
      </c>
      <c r="Z6" s="44">
        <v>0</v>
      </c>
      <c r="AA6" s="45">
        <v>0</v>
      </c>
      <c r="AB6" s="49">
        <v>9.0146999999999995</v>
      </c>
      <c r="AC6" s="43">
        <v>0</v>
      </c>
      <c r="AD6" s="44">
        <v>0</v>
      </c>
      <c r="AE6" s="45">
        <v>0</v>
      </c>
      <c r="AF6" s="50">
        <v>80870</v>
      </c>
      <c r="AG6" s="58">
        <f>AF6-80860</f>
        <v>10</v>
      </c>
      <c r="AH6" s="59"/>
      <c r="AI6" s="60"/>
      <c r="AJ6" s="61"/>
      <c r="AK6" s="62"/>
      <c r="AL6" s="52"/>
      <c r="AM6" s="52"/>
    </row>
    <row r="7" spans="1:48">
      <c r="A7" s="21">
        <v>45038</v>
      </c>
      <c r="B7" s="22">
        <v>791.80629999999996</v>
      </c>
      <c r="C7" s="6">
        <v>5.0624000000000002</v>
      </c>
      <c r="D7" s="23">
        <f t="shared" si="0"/>
        <v>796.86869999999999</v>
      </c>
      <c r="E7" s="24">
        <f t="shared" ref="E7:E27" si="4">(D7-D6)*1000</f>
        <v>-0.29999999992469401</v>
      </c>
      <c r="F7" s="25">
        <f t="shared" ref="F7:F27" si="5">F6+E7</f>
        <v>-0.29999999992469401</v>
      </c>
      <c r="G7" s="26">
        <f t="shared" ref="G7:G27" si="6">E7/(A7-A6)</f>
        <v>-0.29999999992469401</v>
      </c>
      <c r="H7" s="6">
        <v>6.9226000000000001</v>
      </c>
      <c r="I7" s="35">
        <f t="shared" si="1"/>
        <v>798.72889999999995</v>
      </c>
      <c r="J7" s="24">
        <f t="shared" ref="J7:J27" si="7">(I7-I6)*1000</f>
        <v>-0.20000000006348301</v>
      </c>
      <c r="K7" s="25">
        <f t="shared" ref="K7:K27" si="8">K6+J7</f>
        <v>-0.20000000006348301</v>
      </c>
      <c r="L7" s="26">
        <f t="shared" ref="L7:L27" si="9">J7/(A7-A6)</f>
        <v>-0.20000000006348301</v>
      </c>
      <c r="M7" s="6">
        <v>5.6595000000000004</v>
      </c>
      <c r="N7" s="35">
        <f t="shared" si="2"/>
        <v>797.46579999999994</v>
      </c>
      <c r="O7" s="24">
        <f t="shared" ref="O7:O27" si="10">(N7-N6)*1000</f>
        <v>-0.20000000006348301</v>
      </c>
      <c r="P7" s="25">
        <f t="shared" ref="P7:P27" si="11">P6+O7</f>
        <v>-0.20000000006348301</v>
      </c>
      <c r="Q7" s="26">
        <f t="shared" ref="Q7:Q27" si="12">O7/(A7-A6)</f>
        <v>-0.20000000006348301</v>
      </c>
      <c r="R7" s="41"/>
      <c r="S7" s="21">
        <f t="shared" si="3"/>
        <v>45038</v>
      </c>
      <c r="T7" s="42">
        <v>8.7413000000000007</v>
      </c>
      <c r="U7" s="43">
        <f t="shared" ref="U7:U27" si="13">(T7-T6)*1000</f>
        <v>-0.19999999999953399</v>
      </c>
      <c r="V7" s="44">
        <f t="shared" ref="V7:V27" si="14">V6+U7</f>
        <v>-0.19999999999953399</v>
      </c>
      <c r="W7" s="45">
        <f t="shared" ref="W7:W27" si="15">U7/(S6-S7)</f>
        <v>0.19999999999953399</v>
      </c>
      <c r="X7" s="6">
        <v>12.134399999999999</v>
      </c>
      <c r="Y7" s="43">
        <f t="shared" ref="Y7:Y27" si="16">(X7-X6)*1000</f>
        <v>-0.30000000000107702</v>
      </c>
      <c r="Z7" s="44">
        <f t="shared" ref="Z7:Z27" si="17">Z6+Y7</f>
        <v>-0.30000000000107702</v>
      </c>
      <c r="AA7" s="45">
        <f t="shared" ref="AA7:AA27" si="18">Y7/(S7-S6)</f>
        <v>-0.30000000000107702</v>
      </c>
      <c r="AB7" s="49">
        <v>9.0145</v>
      </c>
      <c r="AC7" s="43">
        <f t="shared" ref="AC7:AC27" si="19">(AB7-AB6)*1000</f>
        <v>-0.19999999999953399</v>
      </c>
      <c r="AD7" s="44">
        <f t="shared" ref="AD7:AD27" si="20">AD6+AC7</f>
        <v>-0.19999999999953399</v>
      </c>
      <c r="AE7" s="45">
        <f t="shared" ref="AE7:AE27" si="21">AC7/(S7-S6)</f>
        <v>-0.19999999999953399</v>
      </c>
      <c r="AF7" s="50">
        <v>80873</v>
      </c>
      <c r="AG7" s="58">
        <f t="shared" ref="AG7:AG27" si="22">AF7-80860</f>
        <v>13</v>
      </c>
      <c r="AH7" s="59"/>
      <c r="AI7" s="60"/>
      <c r="AJ7" s="61"/>
      <c r="AK7" s="62"/>
      <c r="AL7" s="52"/>
      <c r="AM7" s="52"/>
    </row>
    <row r="8" spans="1:48">
      <c r="A8" s="21">
        <v>45039</v>
      </c>
      <c r="B8" s="22">
        <v>791.80629999999996</v>
      </c>
      <c r="C8" s="6">
        <v>5.0621</v>
      </c>
      <c r="D8" s="23">
        <f t="shared" si="0"/>
        <v>796.86839999999995</v>
      </c>
      <c r="E8" s="24">
        <f t="shared" si="4"/>
        <v>-0.30000000003838101</v>
      </c>
      <c r="F8" s="25">
        <f t="shared" si="5"/>
        <v>-0.59999999996307496</v>
      </c>
      <c r="G8" s="26">
        <f t="shared" si="6"/>
        <v>-0.30000000003838101</v>
      </c>
      <c r="H8" s="6">
        <v>6.9223999999999997</v>
      </c>
      <c r="I8" s="35">
        <f t="shared" si="1"/>
        <v>798.7287</v>
      </c>
      <c r="J8" s="24">
        <f t="shared" si="7"/>
        <v>-0.199999999949796</v>
      </c>
      <c r="K8" s="25">
        <f t="shared" si="8"/>
        <v>-0.40000000001327901</v>
      </c>
      <c r="L8" s="26">
        <f t="shared" si="9"/>
        <v>-0.199999999949796</v>
      </c>
      <c r="M8" s="6">
        <v>5.6593</v>
      </c>
      <c r="N8" s="35">
        <f t="shared" si="2"/>
        <v>797.46559999999999</v>
      </c>
      <c r="O8" s="24">
        <f t="shared" si="10"/>
        <v>-0.199999999949796</v>
      </c>
      <c r="P8" s="25">
        <f t="shared" si="11"/>
        <v>-0.40000000001327901</v>
      </c>
      <c r="Q8" s="26">
        <f t="shared" si="12"/>
        <v>-0.199999999949796</v>
      </c>
      <c r="R8" s="41"/>
      <c r="S8" s="21">
        <f t="shared" si="3"/>
        <v>45039</v>
      </c>
      <c r="T8" s="42">
        <v>8.7410999999999994</v>
      </c>
      <c r="U8" s="43">
        <f t="shared" si="13"/>
        <v>-0.19999999999953399</v>
      </c>
      <c r="V8" s="44">
        <f t="shared" si="14"/>
        <v>-0.39999999999906799</v>
      </c>
      <c r="W8" s="45">
        <f t="shared" si="15"/>
        <v>0.19999999999953399</v>
      </c>
      <c r="X8" s="6">
        <v>12.1341</v>
      </c>
      <c r="Y8" s="43">
        <f t="shared" si="16"/>
        <v>-0.30000000000107702</v>
      </c>
      <c r="Z8" s="44">
        <f t="shared" si="17"/>
        <v>-0.60000000000215403</v>
      </c>
      <c r="AA8" s="45">
        <f t="shared" si="18"/>
        <v>-0.30000000000107702</v>
      </c>
      <c r="AB8" s="49">
        <v>9.0143000000000004</v>
      </c>
      <c r="AC8" s="43">
        <f t="shared" si="19"/>
        <v>-0.19999999999953399</v>
      </c>
      <c r="AD8" s="44">
        <f t="shared" si="20"/>
        <v>-0.39999999999906799</v>
      </c>
      <c r="AE8" s="45">
        <f t="shared" si="21"/>
        <v>-0.19999999999953399</v>
      </c>
      <c r="AF8" s="50">
        <v>80876</v>
      </c>
      <c r="AG8" s="58">
        <f t="shared" si="22"/>
        <v>16</v>
      </c>
      <c r="AH8" s="59"/>
      <c r="AI8" s="60"/>
      <c r="AJ8" s="61"/>
      <c r="AK8" s="62"/>
      <c r="AL8" s="52"/>
      <c r="AM8" s="52"/>
    </row>
    <row r="9" spans="1:48">
      <c r="A9" s="21">
        <v>45040</v>
      </c>
      <c r="B9" s="22">
        <v>791.80629999999996</v>
      </c>
      <c r="C9" s="6">
        <v>5.0621999999999998</v>
      </c>
      <c r="D9" s="23">
        <f t="shared" si="0"/>
        <v>796.86850000000004</v>
      </c>
      <c r="E9" s="24">
        <f t="shared" si="4"/>
        <v>9.9999999974897905E-2</v>
      </c>
      <c r="F9" s="25">
        <f t="shared" si="5"/>
        <v>-0.49999999998817701</v>
      </c>
      <c r="G9" s="26">
        <f t="shared" si="6"/>
        <v>9.9999999974897905E-2</v>
      </c>
      <c r="H9" s="6">
        <v>6.9225000000000003</v>
      </c>
      <c r="I9" s="35">
        <f t="shared" si="1"/>
        <v>798.72879999999998</v>
      </c>
      <c r="J9" s="24">
        <f t="shared" si="7"/>
        <v>9.9999999974897905E-2</v>
      </c>
      <c r="K9" s="25">
        <f t="shared" si="8"/>
        <v>-0.30000000003838101</v>
      </c>
      <c r="L9" s="26">
        <f t="shared" si="9"/>
        <v>9.9999999974897905E-2</v>
      </c>
      <c r="M9" s="6">
        <v>5.6589999999999998</v>
      </c>
      <c r="N9" s="35">
        <f t="shared" si="2"/>
        <v>797.46529999999996</v>
      </c>
      <c r="O9" s="24">
        <f t="shared" si="10"/>
        <v>-0.30000000003838068</v>
      </c>
      <c r="P9" s="25">
        <f t="shared" si="11"/>
        <v>-0.70000000005165974</v>
      </c>
      <c r="Q9" s="26">
        <f t="shared" si="12"/>
        <v>-0.30000000003838068</v>
      </c>
      <c r="R9" s="41"/>
      <c r="S9" s="21">
        <f t="shared" si="3"/>
        <v>45040</v>
      </c>
      <c r="T9" s="42">
        <v>8.7405000000000008</v>
      </c>
      <c r="U9" s="43">
        <f t="shared" si="13"/>
        <v>-0.60000000000037801</v>
      </c>
      <c r="V9" s="44">
        <f t="shared" si="14"/>
        <v>-0.999999999999446</v>
      </c>
      <c r="W9" s="45">
        <f t="shared" si="15"/>
        <v>0.60000000000037801</v>
      </c>
      <c r="X9" s="6">
        <v>12.1342</v>
      </c>
      <c r="Y9" s="43">
        <f t="shared" si="16"/>
        <v>0.10000000000154299</v>
      </c>
      <c r="Z9" s="44">
        <f t="shared" si="17"/>
        <v>-0.50000000000061096</v>
      </c>
      <c r="AA9" s="45">
        <f t="shared" si="18"/>
        <v>0.10000000000154299</v>
      </c>
      <c r="AB9" s="49">
        <v>9.0140999999999991</v>
      </c>
      <c r="AC9" s="43">
        <f t="shared" si="19"/>
        <v>-0.19999999999953399</v>
      </c>
      <c r="AD9" s="44">
        <f t="shared" si="20"/>
        <v>-0.59999999999860198</v>
      </c>
      <c r="AE9" s="45">
        <f t="shared" si="21"/>
        <v>-0.19999999999953399</v>
      </c>
      <c r="AF9" s="50">
        <v>80879</v>
      </c>
      <c r="AG9" s="58">
        <f t="shared" si="22"/>
        <v>19</v>
      </c>
      <c r="AH9" s="61"/>
      <c r="AI9" s="60"/>
      <c r="AJ9"/>
      <c r="AK9"/>
      <c r="AL9"/>
      <c r="AM9"/>
    </row>
    <row r="10" spans="1:48">
      <c r="A10" s="21">
        <v>45041</v>
      </c>
      <c r="B10" s="22">
        <v>791.80629999999996</v>
      </c>
      <c r="C10" s="6">
        <v>5.0614999999999997</v>
      </c>
      <c r="D10" s="23">
        <f t="shared" si="0"/>
        <v>796.86779999999999</v>
      </c>
      <c r="E10" s="24">
        <f t="shared" si="4"/>
        <v>-0.69999999993797202</v>
      </c>
      <c r="F10" s="25">
        <f t="shared" si="5"/>
        <v>-1.1999999999261499</v>
      </c>
      <c r="G10" s="26">
        <f t="shared" si="6"/>
        <v>-0.69999999993797202</v>
      </c>
      <c r="H10" s="6">
        <v>6.9219999999999997</v>
      </c>
      <c r="I10" s="35">
        <f t="shared" si="1"/>
        <v>798.72829999999999</v>
      </c>
      <c r="J10" s="24">
        <f t="shared" si="7"/>
        <v>-0.49999999998817701</v>
      </c>
      <c r="K10" s="25">
        <f t="shared" si="8"/>
        <v>-0.80000000002655702</v>
      </c>
      <c r="L10" s="26">
        <f t="shared" si="9"/>
        <v>-0.49999999998817701</v>
      </c>
      <c r="M10" s="6">
        <v>5.6589</v>
      </c>
      <c r="N10" s="35">
        <f t="shared" si="2"/>
        <v>797.46519999999998</v>
      </c>
      <c r="O10" s="24">
        <f t="shared" si="10"/>
        <v>-9.9999999974897946E-2</v>
      </c>
      <c r="P10" s="25">
        <f t="shared" si="11"/>
        <v>-0.80000000002655769</v>
      </c>
      <c r="Q10" s="26">
        <f t="shared" si="12"/>
        <v>-9.9999999974897946E-2</v>
      </c>
      <c r="R10" s="41"/>
      <c r="S10" s="21">
        <f t="shared" si="3"/>
        <v>45041</v>
      </c>
      <c r="T10" s="42">
        <v>8.7407000000000004</v>
      </c>
      <c r="U10" s="43">
        <f t="shared" si="13"/>
        <v>0.20000000000130999</v>
      </c>
      <c r="V10" s="44">
        <f t="shared" si="14"/>
        <v>-0.79999999999813598</v>
      </c>
      <c r="W10" s="45">
        <f t="shared" si="15"/>
        <v>-0.20000000000130999</v>
      </c>
      <c r="X10" s="6">
        <v>12.1335</v>
      </c>
      <c r="Y10" s="43">
        <f t="shared" si="16"/>
        <v>-0.700000000003698</v>
      </c>
      <c r="Z10" s="44">
        <f t="shared" si="17"/>
        <v>-1.2000000000043101</v>
      </c>
      <c r="AA10" s="45">
        <f t="shared" si="18"/>
        <v>-0.700000000003698</v>
      </c>
      <c r="AB10" s="49">
        <v>9.0138999999999996</v>
      </c>
      <c r="AC10" s="43">
        <f t="shared" si="19"/>
        <v>-0.19999999999953399</v>
      </c>
      <c r="AD10" s="44">
        <f t="shared" si="20"/>
        <v>-0.79999999999813598</v>
      </c>
      <c r="AE10" s="45">
        <f t="shared" si="21"/>
        <v>-0.19999999999953399</v>
      </c>
      <c r="AF10" s="50">
        <v>80882</v>
      </c>
      <c r="AG10" s="58">
        <f t="shared" si="22"/>
        <v>22</v>
      </c>
      <c r="AH10" s="59"/>
      <c r="AI10" s="60"/>
      <c r="AJ10" s="61"/>
      <c r="AK10" s="62"/>
      <c r="AL10" s="52"/>
      <c r="AM10" s="52"/>
    </row>
    <row r="11" spans="1:48">
      <c r="A11" s="21">
        <v>45042</v>
      </c>
      <c r="B11" s="22">
        <v>791.80629999999996</v>
      </c>
      <c r="C11" s="6">
        <v>5.0612000000000004</v>
      </c>
      <c r="D11" s="23">
        <f t="shared" si="0"/>
        <v>796.86749999999995</v>
      </c>
      <c r="E11" s="24">
        <f t="shared" si="4"/>
        <v>-0.30000000003838101</v>
      </c>
      <c r="F11" s="25">
        <f t="shared" si="5"/>
        <v>-1.4999999999645299</v>
      </c>
      <c r="G11" s="26">
        <f t="shared" si="6"/>
        <v>-0.30000000003838101</v>
      </c>
      <c r="H11" s="6">
        <v>6.9218000000000002</v>
      </c>
      <c r="I11" s="35">
        <f t="shared" si="1"/>
        <v>798.72810000000004</v>
      </c>
      <c r="J11" s="24">
        <f t="shared" si="7"/>
        <v>-0.20000000006348301</v>
      </c>
      <c r="K11" s="25">
        <f t="shared" si="8"/>
        <v>-1.00000000009004</v>
      </c>
      <c r="L11" s="26">
        <f t="shared" si="9"/>
        <v>-0.20000000006348301</v>
      </c>
      <c r="M11" s="6">
        <v>5.6586999999999996</v>
      </c>
      <c r="N11" s="35">
        <f t="shared" si="2"/>
        <v>797.46500000000003</v>
      </c>
      <c r="O11" s="24">
        <f t="shared" si="10"/>
        <v>-0.20000000006348301</v>
      </c>
      <c r="P11" s="25">
        <f t="shared" si="11"/>
        <v>-1.0000000000900406</v>
      </c>
      <c r="Q11" s="26">
        <f t="shared" si="12"/>
        <v>-0.20000000006348301</v>
      </c>
      <c r="R11" s="41"/>
      <c r="S11" s="21">
        <f t="shared" si="3"/>
        <v>45042</v>
      </c>
      <c r="T11" s="42">
        <v>8.7405000000000008</v>
      </c>
      <c r="U11" s="43">
        <f t="shared" si="13"/>
        <v>-0.19999999999953399</v>
      </c>
      <c r="V11" s="44">
        <f t="shared" si="14"/>
        <v>-0.99999999999766898</v>
      </c>
      <c r="W11" s="45">
        <f t="shared" si="15"/>
        <v>0.19999999999953399</v>
      </c>
      <c r="X11" s="6">
        <v>12.1332</v>
      </c>
      <c r="Y11" s="43">
        <f t="shared" si="16"/>
        <v>-0.30000000000107702</v>
      </c>
      <c r="Z11" s="44">
        <f t="shared" si="17"/>
        <v>-1.5000000000053899</v>
      </c>
      <c r="AA11" s="45">
        <f t="shared" si="18"/>
        <v>-0.30000000000107702</v>
      </c>
      <c r="AB11" s="49">
        <v>9.0139999999999993</v>
      </c>
      <c r="AC11" s="43">
        <f t="shared" si="19"/>
        <v>9.9999999997990599E-2</v>
      </c>
      <c r="AD11" s="44">
        <f t="shared" si="20"/>
        <v>-0.70000000000014495</v>
      </c>
      <c r="AE11" s="45">
        <f t="shared" si="21"/>
        <v>9.9999999997990599E-2</v>
      </c>
      <c r="AF11" s="50">
        <v>80885</v>
      </c>
      <c r="AG11" s="58">
        <f t="shared" si="22"/>
        <v>25</v>
      </c>
      <c r="AH11" s="61"/>
      <c r="AI11" s="60"/>
      <c r="AJ11"/>
      <c r="AK11"/>
      <c r="AL11"/>
      <c r="AM11"/>
    </row>
    <row r="12" spans="1:48">
      <c r="A12" s="21">
        <v>45043</v>
      </c>
      <c r="B12" s="22">
        <v>791.80629999999996</v>
      </c>
      <c r="C12" s="6">
        <v>5.0608000000000004</v>
      </c>
      <c r="D12" s="23">
        <f t="shared" si="0"/>
        <v>796.86710000000005</v>
      </c>
      <c r="E12" s="24">
        <f t="shared" si="4"/>
        <v>-0.40000000001327901</v>
      </c>
      <c r="F12" s="25">
        <f t="shared" si="5"/>
        <v>-1.8999999999778101</v>
      </c>
      <c r="G12" s="26">
        <f t="shared" si="6"/>
        <v>-0.40000000001327901</v>
      </c>
      <c r="H12" s="6">
        <v>6.9214000000000002</v>
      </c>
      <c r="I12" s="35">
        <f t="shared" si="1"/>
        <v>798.72770000000003</v>
      </c>
      <c r="J12" s="24">
        <f t="shared" si="7"/>
        <v>-0.40000000001327901</v>
      </c>
      <c r="K12" s="25">
        <f t="shared" si="8"/>
        <v>-1.4000000001033199</v>
      </c>
      <c r="L12" s="26">
        <f t="shared" si="9"/>
        <v>-0.40000000001327901</v>
      </c>
      <c r="M12" s="6">
        <v>5.6585000000000001</v>
      </c>
      <c r="N12" s="35">
        <f t="shared" si="2"/>
        <v>797.46479999999997</v>
      </c>
      <c r="O12" s="24">
        <f t="shared" si="10"/>
        <v>-0.199999999949796</v>
      </c>
      <c r="P12" s="25">
        <f t="shared" si="11"/>
        <v>-1.2000000000398368</v>
      </c>
      <c r="Q12" s="26">
        <f t="shared" si="12"/>
        <v>-0.199999999949796</v>
      </c>
      <c r="R12" s="41"/>
      <c r="S12" s="21">
        <f t="shared" si="3"/>
        <v>45043</v>
      </c>
      <c r="T12" s="42">
        <v>8.7408000000000001</v>
      </c>
      <c r="U12" s="43">
        <f t="shared" si="13"/>
        <v>0.29999999999752403</v>
      </c>
      <c r="V12" s="44">
        <f t="shared" si="14"/>
        <v>-0.70000000000014495</v>
      </c>
      <c r="W12" s="45">
        <f t="shared" si="15"/>
        <v>-0.29999999999752403</v>
      </c>
      <c r="X12" s="6">
        <v>12.1333</v>
      </c>
      <c r="Y12" s="43">
        <f t="shared" si="16"/>
        <v>0.100000000005096</v>
      </c>
      <c r="Z12" s="44">
        <f t="shared" si="17"/>
        <v>-1.4000000000002899</v>
      </c>
      <c r="AA12" s="45">
        <f t="shared" si="18"/>
        <v>0.100000000005096</v>
      </c>
      <c r="AB12" s="49">
        <v>9.0135000000000005</v>
      </c>
      <c r="AC12" s="43">
        <f t="shared" si="19"/>
        <v>-0.49999999999705802</v>
      </c>
      <c r="AD12" s="44">
        <f t="shared" si="20"/>
        <v>-1.1999999999972</v>
      </c>
      <c r="AE12" s="45">
        <f t="shared" si="21"/>
        <v>-0.49999999999705802</v>
      </c>
      <c r="AF12" s="50">
        <v>80888</v>
      </c>
      <c r="AG12" s="58">
        <f t="shared" si="22"/>
        <v>28</v>
      </c>
      <c r="AH12" s="61"/>
      <c r="AI12" s="60"/>
      <c r="AJ12"/>
      <c r="AK12"/>
      <c r="AL12"/>
      <c r="AM12"/>
    </row>
    <row r="13" spans="1:48">
      <c r="A13" s="21">
        <v>45044</v>
      </c>
      <c r="B13" s="22">
        <v>791.80629999999996</v>
      </c>
      <c r="C13" s="6">
        <v>5.0606</v>
      </c>
      <c r="D13" s="23">
        <f t="shared" si="0"/>
        <v>796.86689999999999</v>
      </c>
      <c r="E13" s="24">
        <f t="shared" si="4"/>
        <v>-0.199999999949796</v>
      </c>
      <c r="F13" s="25">
        <f t="shared" si="5"/>
        <v>-2.0999999999275998</v>
      </c>
      <c r="G13" s="26">
        <f t="shared" si="6"/>
        <v>-0.199999999949796</v>
      </c>
      <c r="H13" s="6">
        <v>6.9214000000000002</v>
      </c>
      <c r="I13" s="35">
        <f t="shared" si="1"/>
        <v>798.72770000000003</v>
      </c>
      <c r="J13" s="24">
        <f t="shared" si="7"/>
        <v>0</v>
      </c>
      <c r="K13" s="25">
        <f t="shared" si="8"/>
        <v>-1.4000000001033199</v>
      </c>
      <c r="L13" s="26">
        <f t="shared" si="9"/>
        <v>0</v>
      </c>
      <c r="M13" s="6">
        <v>5.6585999999999999</v>
      </c>
      <c r="N13" s="35">
        <f t="shared" si="2"/>
        <v>797.46489999999994</v>
      </c>
      <c r="O13" s="24">
        <f t="shared" si="10"/>
        <v>9.9999999974897905E-2</v>
      </c>
      <c r="P13" s="25">
        <f t="shared" si="11"/>
        <v>-1.1000000000649388</v>
      </c>
      <c r="Q13" s="26">
        <f t="shared" si="12"/>
        <v>9.9999999974897905E-2</v>
      </c>
      <c r="R13" s="41"/>
      <c r="S13" s="21">
        <f t="shared" si="3"/>
        <v>45044</v>
      </c>
      <c r="T13" s="42">
        <v>8.7401999999999997</v>
      </c>
      <c r="U13" s="43">
        <f t="shared" si="13"/>
        <v>-0.60000000000037801</v>
      </c>
      <c r="V13" s="44">
        <f t="shared" si="14"/>
        <v>-1.3000000000005201</v>
      </c>
      <c r="W13" s="45">
        <f t="shared" si="15"/>
        <v>0.60000000000037801</v>
      </c>
      <c r="X13" s="6">
        <v>12.1326</v>
      </c>
      <c r="Y13" s="43">
        <f t="shared" si="16"/>
        <v>-0.70000000000725005</v>
      </c>
      <c r="Z13" s="44">
        <f t="shared" si="17"/>
        <v>-2.1000000000075398</v>
      </c>
      <c r="AA13" s="45">
        <f t="shared" si="18"/>
        <v>-0.70000000000725005</v>
      </c>
      <c r="AB13" s="49">
        <v>9.0132999999999992</v>
      </c>
      <c r="AC13" s="43">
        <f t="shared" si="19"/>
        <v>-0.19999999999953399</v>
      </c>
      <c r="AD13" s="44">
        <f t="shared" si="20"/>
        <v>-1.3999999999967401</v>
      </c>
      <c r="AE13" s="45">
        <f t="shared" si="21"/>
        <v>-0.19999999999953399</v>
      </c>
      <c r="AF13" s="50">
        <v>80891</v>
      </c>
      <c r="AG13" s="58">
        <f t="shared" si="22"/>
        <v>31</v>
      </c>
      <c r="AH13" s="61"/>
      <c r="AI13" s="60"/>
      <c r="AJ13"/>
      <c r="AK13"/>
      <c r="AL13"/>
      <c r="AM13"/>
    </row>
    <row r="14" spans="1:48">
      <c r="A14" s="21">
        <v>45045</v>
      </c>
      <c r="B14" s="22">
        <v>791.80629999999996</v>
      </c>
      <c r="C14" s="6">
        <v>5.0602999999999998</v>
      </c>
      <c r="D14" s="23">
        <f t="shared" si="0"/>
        <v>796.86659999999995</v>
      </c>
      <c r="E14" s="24">
        <f t="shared" si="4"/>
        <v>-0.30000000003838101</v>
      </c>
      <c r="F14" s="25">
        <f t="shared" si="5"/>
        <v>-2.39999999996598</v>
      </c>
      <c r="G14" s="26">
        <f t="shared" si="6"/>
        <v>-0.30000000003838101</v>
      </c>
      <c r="H14" s="6">
        <v>6.9211999999999998</v>
      </c>
      <c r="I14" s="35">
        <f t="shared" si="1"/>
        <v>798.72749999999996</v>
      </c>
      <c r="J14" s="24">
        <f t="shared" si="7"/>
        <v>-0.199999999949796</v>
      </c>
      <c r="K14" s="25">
        <f t="shared" si="8"/>
        <v>-1.60000000005311</v>
      </c>
      <c r="L14" s="26">
        <f t="shared" si="9"/>
        <v>-0.199999999949796</v>
      </c>
      <c r="M14" s="6">
        <v>5.6581000000000001</v>
      </c>
      <c r="N14" s="35">
        <f t="shared" si="2"/>
        <v>797.46439999999996</v>
      </c>
      <c r="O14" s="24">
        <f t="shared" si="10"/>
        <v>-0.49999999998817701</v>
      </c>
      <c r="P14" s="25">
        <f t="shared" si="11"/>
        <v>-1.6000000000531158</v>
      </c>
      <c r="Q14" s="26">
        <f t="shared" si="12"/>
        <v>-0.49999999998817701</v>
      </c>
      <c r="R14" s="41"/>
      <c r="S14" s="21">
        <f t="shared" si="3"/>
        <v>45045</v>
      </c>
      <c r="T14" s="42">
        <v>8.7399000000000004</v>
      </c>
      <c r="U14" s="43">
        <f t="shared" si="13"/>
        <v>-0.299999999995748</v>
      </c>
      <c r="V14" s="44">
        <f t="shared" si="14"/>
        <v>-1.59999999999627</v>
      </c>
      <c r="W14" s="45">
        <f t="shared" si="15"/>
        <v>0.299999999995748</v>
      </c>
      <c r="X14" s="6">
        <v>12.132300000000001</v>
      </c>
      <c r="Y14" s="43">
        <f t="shared" si="16"/>
        <v>-0.30000000000107702</v>
      </c>
      <c r="Z14" s="44">
        <f t="shared" si="17"/>
        <v>-2.4000000000086201</v>
      </c>
      <c r="AA14" s="45">
        <f t="shared" si="18"/>
        <v>-0.30000000000107702</v>
      </c>
      <c r="AB14" s="49">
        <v>9.0135000000000005</v>
      </c>
      <c r="AC14" s="43">
        <f t="shared" si="19"/>
        <v>0.199999999997758</v>
      </c>
      <c r="AD14" s="44">
        <f t="shared" si="20"/>
        <v>-1.1999999999989801</v>
      </c>
      <c r="AE14" s="45">
        <f t="shared" si="21"/>
        <v>0.199999999997758</v>
      </c>
      <c r="AF14" s="50">
        <v>80894</v>
      </c>
      <c r="AG14" s="58">
        <f t="shared" si="22"/>
        <v>34</v>
      </c>
      <c r="AH14" s="59"/>
      <c r="AI14" s="60"/>
      <c r="AJ14"/>
      <c r="AK14"/>
      <c r="AL14"/>
      <c r="AM14"/>
    </row>
    <row r="15" spans="1:48">
      <c r="A15" s="21">
        <v>45046</v>
      </c>
      <c r="B15" s="22">
        <v>791.80629999999996</v>
      </c>
      <c r="C15" s="6">
        <v>5.0599999999999996</v>
      </c>
      <c r="D15" s="23">
        <f t="shared" si="0"/>
        <v>796.86630000000002</v>
      </c>
      <c r="E15" s="24">
        <f t="shared" si="4"/>
        <v>-0.30000000003838101</v>
      </c>
      <c r="F15" s="25">
        <f t="shared" si="5"/>
        <v>-2.70000000000437</v>
      </c>
      <c r="G15" s="26">
        <f t="shared" si="6"/>
        <v>-0.30000000003838101</v>
      </c>
      <c r="H15" s="6">
        <v>6.9210000000000003</v>
      </c>
      <c r="I15" s="35">
        <f t="shared" si="1"/>
        <v>798.72730000000001</v>
      </c>
      <c r="J15" s="24">
        <f t="shared" si="7"/>
        <v>-0.199999999949796</v>
      </c>
      <c r="K15" s="25">
        <f t="shared" si="8"/>
        <v>-1.8000000000029099</v>
      </c>
      <c r="L15" s="26">
        <f t="shared" si="9"/>
        <v>-0.199999999949796</v>
      </c>
      <c r="M15" s="6">
        <v>5.6578999999999997</v>
      </c>
      <c r="N15" s="35">
        <f t="shared" si="2"/>
        <v>797.46420000000001</v>
      </c>
      <c r="O15" s="24">
        <f t="shared" si="10"/>
        <v>-0.199999999949796</v>
      </c>
      <c r="P15" s="25">
        <f t="shared" si="11"/>
        <v>-1.8000000000029117</v>
      </c>
      <c r="Q15" s="26">
        <f t="shared" si="12"/>
        <v>-0.199999999949796</v>
      </c>
      <c r="R15" s="41"/>
      <c r="S15" s="21">
        <f t="shared" si="3"/>
        <v>45046</v>
      </c>
      <c r="T15" s="42">
        <v>8.7396999999999991</v>
      </c>
      <c r="U15" s="43">
        <f t="shared" si="13"/>
        <v>-0.19999999999953399</v>
      </c>
      <c r="V15" s="44">
        <f t="shared" si="14"/>
        <v>-1.7999999999958001</v>
      </c>
      <c r="W15" s="45">
        <f t="shared" si="15"/>
        <v>0.19999999999953399</v>
      </c>
      <c r="X15" s="6">
        <v>12.132</v>
      </c>
      <c r="Y15" s="43">
        <f t="shared" si="16"/>
        <v>-0.30000000000107702</v>
      </c>
      <c r="Z15" s="44">
        <f t="shared" si="17"/>
        <v>-2.7000000000096902</v>
      </c>
      <c r="AA15" s="45">
        <f t="shared" si="18"/>
        <v>-0.30000000000107702</v>
      </c>
      <c r="AB15" s="49">
        <v>9.0129000000000001</v>
      </c>
      <c r="AC15" s="43">
        <f t="shared" si="19"/>
        <v>-0.59999999999682496</v>
      </c>
      <c r="AD15" s="44">
        <f t="shared" si="20"/>
        <v>-1.7999999999958001</v>
      </c>
      <c r="AE15" s="45">
        <f t="shared" si="21"/>
        <v>-0.59999999999682496</v>
      </c>
      <c r="AF15" s="50">
        <v>80897</v>
      </c>
      <c r="AG15" s="58">
        <f t="shared" si="22"/>
        <v>37</v>
      </c>
      <c r="AH15" s="61"/>
      <c r="AI15" s="60"/>
      <c r="AJ15"/>
      <c r="AK15"/>
      <c r="AL15"/>
      <c r="AM15"/>
    </row>
    <row r="16" spans="1:48">
      <c r="A16" s="21">
        <v>45047</v>
      </c>
      <c r="B16" s="22">
        <v>791.80629999999996</v>
      </c>
      <c r="C16" s="6">
        <v>5.0601000000000003</v>
      </c>
      <c r="D16" s="23">
        <f t="shared" si="0"/>
        <v>796.8664</v>
      </c>
      <c r="E16" s="24">
        <f t="shared" si="4"/>
        <v>0.10000000008858501</v>
      </c>
      <c r="F16" s="25">
        <f t="shared" si="5"/>
        <v>-2.5999999999157799</v>
      </c>
      <c r="G16" s="26">
        <f t="shared" si="6"/>
        <v>0.10000000008858501</v>
      </c>
      <c r="H16" s="6">
        <v>6.9211</v>
      </c>
      <c r="I16" s="35">
        <f t="shared" si="1"/>
        <v>798.72739999999999</v>
      </c>
      <c r="J16" s="24">
        <f t="shared" si="7"/>
        <v>9.9999999974897905E-2</v>
      </c>
      <c r="K16" s="25">
        <f t="shared" si="8"/>
        <v>-1.70000000002801</v>
      </c>
      <c r="L16" s="26">
        <f t="shared" si="9"/>
        <v>9.9999999974897905E-2</v>
      </c>
      <c r="M16" s="6">
        <v>5.6580000000000004</v>
      </c>
      <c r="N16" s="35">
        <f t="shared" si="2"/>
        <v>797.46429999999998</v>
      </c>
      <c r="O16" s="24">
        <f t="shared" si="10"/>
        <v>9.9999999974897905E-2</v>
      </c>
      <c r="P16" s="25">
        <f t="shared" si="11"/>
        <v>-1.7000000000280138</v>
      </c>
      <c r="Q16" s="26">
        <f t="shared" si="12"/>
        <v>9.9999999974897905E-2</v>
      </c>
      <c r="R16" s="41"/>
      <c r="S16" s="21">
        <f t="shared" si="3"/>
        <v>45047</v>
      </c>
      <c r="T16" s="42">
        <v>8.7395999999999994</v>
      </c>
      <c r="U16" s="43">
        <f t="shared" si="13"/>
        <v>-0.100000000005096</v>
      </c>
      <c r="V16" s="44">
        <f t="shared" si="14"/>
        <v>-1.9000000000009001</v>
      </c>
      <c r="W16" s="45">
        <f t="shared" si="15"/>
        <v>0.100000000005096</v>
      </c>
      <c r="X16" s="6">
        <v>12.132099999999999</v>
      </c>
      <c r="Y16" s="43">
        <f t="shared" si="16"/>
        <v>0.100000000008649</v>
      </c>
      <c r="Z16" s="44">
        <f t="shared" si="17"/>
        <v>-2.6000000000010499</v>
      </c>
      <c r="AA16" s="45">
        <f t="shared" si="18"/>
        <v>0.100000000008649</v>
      </c>
      <c r="AB16" s="49">
        <v>9.0127000000000006</v>
      </c>
      <c r="AC16" s="43">
        <f t="shared" si="19"/>
        <v>-0.19999999999953399</v>
      </c>
      <c r="AD16" s="44">
        <f t="shared" si="20"/>
        <v>-1.9999999999953399</v>
      </c>
      <c r="AE16" s="45">
        <f t="shared" si="21"/>
        <v>-0.19999999999953399</v>
      </c>
      <c r="AF16" s="50">
        <v>80900</v>
      </c>
      <c r="AG16" s="58">
        <f t="shared" si="22"/>
        <v>40</v>
      </c>
      <c r="AH16" s="59"/>
      <c r="AI16" s="60"/>
      <c r="AJ16" s="52"/>
      <c r="AK16" s="52"/>
      <c r="AL16" s="52"/>
      <c r="AM16" s="52"/>
      <c r="AN16" s="63"/>
      <c r="AO16" s="63"/>
      <c r="AP16" s="63"/>
      <c r="AQ16" s="63"/>
      <c r="AR16" s="63"/>
      <c r="AS16" s="63"/>
      <c r="AT16" s="63"/>
      <c r="AU16" s="63"/>
      <c r="AV16" s="63"/>
    </row>
    <row r="17" spans="1:48">
      <c r="A17" s="21">
        <v>45048</v>
      </c>
      <c r="B17" s="22">
        <v>791.80629999999996</v>
      </c>
      <c r="C17" s="6">
        <v>5.0594000000000001</v>
      </c>
      <c r="D17" s="23">
        <f t="shared" si="0"/>
        <v>796.86569999999995</v>
      </c>
      <c r="E17" s="24">
        <f t="shared" si="4"/>
        <v>-0.70000000005165897</v>
      </c>
      <c r="F17" s="25">
        <f t="shared" si="5"/>
        <v>-3.2999999999674401</v>
      </c>
      <c r="G17" s="26">
        <f t="shared" si="6"/>
        <v>-0.70000000005165897</v>
      </c>
      <c r="H17" s="6">
        <v>6.9206000000000003</v>
      </c>
      <c r="I17" s="35">
        <f t="shared" si="1"/>
        <v>798.7269</v>
      </c>
      <c r="J17" s="24">
        <f t="shared" si="7"/>
        <v>-0.49999999998817701</v>
      </c>
      <c r="K17" s="25">
        <f t="shared" si="8"/>
        <v>-2.2000000000161899</v>
      </c>
      <c r="L17" s="26">
        <f t="shared" si="9"/>
        <v>-0.49999999998817701</v>
      </c>
      <c r="M17" s="6">
        <v>5.6574999999999998</v>
      </c>
      <c r="N17" s="35">
        <f t="shared" si="2"/>
        <v>797.46379999999999</v>
      </c>
      <c r="O17" s="24">
        <f t="shared" si="10"/>
        <v>-0.49999999998817701</v>
      </c>
      <c r="P17" s="25">
        <f t="shared" si="11"/>
        <v>-2.2000000000161908</v>
      </c>
      <c r="Q17" s="26">
        <f t="shared" si="12"/>
        <v>-0.49999999998817701</v>
      </c>
      <c r="R17" s="41"/>
      <c r="S17" s="21">
        <f t="shared" si="3"/>
        <v>45048</v>
      </c>
      <c r="T17" s="42">
        <v>8.7393000000000107</v>
      </c>
      <c r="U17" s="43">
        <f t="shared" si="13"/>
        <v>-0.29999999999397198</v>
      </c>
      <c r="V17" s="44">
        <f t="shared" si="14"/>
        <v>-2.1999999999948701</v>
      </c>
      <c r="W17" s="45">
        <f t="shared" si="15"/>
        <v>0.29999999999397198</v>
      </c>
      <c r="X17" s="6">
        <v>12.131399999999999</v>
      </c>
      <c r="Y17" s="43">
        <f t="shared" si="16"/>
        <v>-0.70000000001080298</v>
      </c>
      <c r="Z17" s="44">
        <f t="shared" si="17"/>
        <v>-3.3000000000118499</v>
      </c>
      <c r="AA17" s="45">
        <f t="shared" si="18"/>
        <v>-0.70000000001080298</v>
      </c>
      <c r="AB17" s="49">
        <v>9.0124999999999993</v>
      </c>
      <c r="AC17" s="43">
        <f t="shared" si="19"/>
        <v>-0.19999999999953399</v>
      </c>
      <c r="AD17" s="44">
        <f t="shared" si="20"/>
        <v>-2.1999999999948701</v>
      </c>
      <c r="AE17" s="45">
        <f t="shared" si="21"/>
        <v>-0.19999999999953399</v>
      </c>
      <c r="AF17" s="50">
        <v>80903</v>
      </c>
      <c r="AG17" s="58">
        <f t="shared" si="22"/>
        <v>43</v>
      </c>
      <c r="AH17" s="61"/>
      <c r="AI17" s="60"/>
      <c r="AJ17" s="52"/>
      <c r="AK17" s="52"/>
      <c r="AL17" s="52"/>
      <c r="AM17" s="52"/>
      <c r="AN17" s="63"/>
      <c r="AO17" s="63"/>
      <c r="AP17" s="63"/>
      <c r="AQ17" s="63"/>
      <c r="AR17" s="63"/>
      <c r="AS17" s="63"/>
      <c r="AT17" s="63"/>
      <c r="AU17" s="63"/>
      <c r="AV17" s="63"/>
    </row>
    <row r="18" spans="1:48">
      <c r="A18" s="21">
        <v>45049</v>
      </c>
      <c r="B18" s="22">
        <v>791.80629999999996</v>
      </c>
      <c r="C18" s="6">
        <v>5.0590999999999999</v>
      </c>
      <c r="D18" s="23">
        <f t="shared" si="0"/>
        <v>796.86540000000002</v>
      </c>
      <c r="E18" s="24">
        <f t="shared" si="4"/>
        <v>-0.30000000003838101</v>
      </c>
      <c r="F18" s="25">
        <f t="shared" si="5"/>
        <v>-3.6000000000058199</v>
      </c>
      <c r="G18" s="26">
        <f t="shared" si="6"/>
        <v>-0.30000000003838101</v>
      </c>
      <c r="H18" s="6">
        <v>6.9203999999999999</v>
      </c>
      <c r="I18" s="35">
        <f t="shared" si="1"/>
        <v>798.72669999999994</v>
      </c>
      <c r="J18" s="24">
        <f t="shared" si="7"/>
        <v>-0.20000000006348273</v>
      </c>
      <c r="K18" s="25">
        <f t="shared" si="8"/>
        <v>-2.4000000000796726</v>
      </c>
      <c r="L18" s="26">
        <f t="shared" si="9"/>
        <v>-0.20000000006348273</v>
      </c>
      <c r="M18" s="6">
        <v>5.6573000000000002</v>
      </c>
      <c r="N18" s="35">
        <f t="shared" si="2"/>
        <v>797.46360000000004</v>
      </c>
      <c r="O18" s="24">
        <f t="shared" si="10"/>
        <v>-0.20000000006348301</v>
      </c>
      <c r="P18" s="25">
        <f t="shared" si="11"/>
        <v>-2.400000000079674</v>
      </c>
      <c r="Q18" s="26">
        <f t="shared" si="12"/>
        <v>-0.20000000006348301</v>
      </c>
      <c r="R18" s="41"/>
      <c r="S18" s="21">
        <f t="shared" si="3"/>
        <v>45049</v>
      </c>
      <c r="T18" s="42">
        <v>8.7391000000000094</v>
      </c>
      <c r="U18" s="43">
        <f t="shared" si="13"/>
        <v>-0.19999999999953399</v>
      </c>
      <c r="V18" s="44">
        <f t="shared" si="14"/>
        <v>-2.3999999999944102</v>
      </c>
      <c r="W18" s="45">
        <f t="shared" si="15"/>
        <v>0.19999999999953399</v>
      </c>
      <c r="X18" s="6">
        <v>12.1311</v>
      </c>
      <c r="Y18" s="43">
        <f t="shared" si="16"/>
        <v>-0.30000000000107702</v>
      </c>
      <c r="Z18" s="44">
        <f t="shared" si="17"/>
        <v>-3.6000000000129302</v>
      </c>
      <c r="AA18" s="45">
        <f t="shared" si="18"/>
        <v>-0.30000000000107702</v>
      </c>
      <c r="AB18" s="49">
        <v>9.0129999999999999</v>
      </c>
      <c r="AC18" s="43">
        <f t="shared" si="19"/>
        <v>0.499999999995282</v>
      </c>
      <c r="AD18" s="44">
        <f t="shared" si="20"/>
        <v>-1.6999999999995901</v>
      </c>
      <c r="AE18" s="45">
        <f t="shared" si="21"/>
        <v>0.499999999995282</v>
      </c>
      <c r="AF18" s="50">
        <v>80906</v>
      </c>
      <c r="AG18" s="58">
        <f t="shared" si="22"/>
        <v>46</v>
      </c>
      <c r="AH18" s="59"/>
      <c r="AI18" s="60"/>
      <c r="AJ18" s="52"/>
      <c r="AK18" s="52"/>
      <c r="AL18" s="52"/>
      <c r="AM18" s="52"/>
      <c r="AN18" s="63"/>
      <c r="AO18" s="63"/>
      <c r="AP18" s="63"/>
      <c r="AQ18" s="63"/>
      <c r="AR18" s="63"/>
      <c r="AS18" s="63"/>
      <c r="AT18" s="63"/>
      <c r="AU18" s="63"/>
      <c r="AV18" s="63"/>
    </row>
    <row r="19" spans="1:48">
      <c r="A19" s="21">
        <v>45050</v>
      </c>
      <c r="B19" s="22">
        <v>791.80629999999996</v>
      </c>
      <c r="C19" s="6">
        <v>5.0587999999999997</v>
      </c>
      <c r="D19" s="23">
        <f t="shared" si="0"/>
        <v>796.86509999999998</v>
      </c>
      <c r="E19" s="24">
        <f t="shared" si="4"/>
        <v>-0.29999999992469401</v>
      </c>
      <c r="F19" s="25">
        <f t="shared" si="5"/>
        <v>-3.8999999999305102</v>
      </c>
      <c r="G19" s="26">
        <f t="shared" si="6"/>
        <v>-0.29999999992469401</v>
      </c>
      <c r="H19" s="6">
        <v>6.9203000000000001</v>
      </c>
      <c r="I19" s="35">
        <f t="shared" si="1"/>
        <v>798.72659999999996</v>
      </c>
      <c r="J19" s="24">
        <f t="shared" si="7"/>
        <v>-9.9999999974897946E-2</v>
      </c>
      <c r="K19" s="25">
        <f t="shared" si="8"/>
        <v>-2.5000000000545706</v>
      </c>
      <c r="L19" s="26">
        <f t="shared" si="9"/>
        <v>-9.9999999974897946E-2</v>
      </c>
      <c r="M19" s="6">
        <v>5.6570999999999998</v>
      </c>
      <c r="N19" s="35">
        <f t="shared" si="2"/>
        <v>797.46339999999998</v>
      </c>
      <c r="O19" s="24">
        <f t="shared" si="10"/>
        <v>-0.199999999949796</v>
      </c>
      <c r="P19" s="25">
        <f t="shared" si="11"/>
        <v>-2.6000000000294698</v>
      </c>
      <c r="Q19" s="26">
        <f t="shared" si="12"/>
        <v>-0.199999999949796</v>
      </c>
      <c r="R19" s="41"/>
      <c r="S19" s="21">
        <f t="shared" si="3"/>
        <v>45050</v>
      </c>
      <c r="T19" s="42">
        <v>8.7392000000000003</v>
      </c>
      <c r="U19" s="43">
        <f t="shared" si="13"/>
        <v>9.9999999994437899E-2</v>
      </c>
      <c r="V19" s="44">
        <f t="shared" si="14"/>
        <v>-2.2999999999999701</v>
      </c>
      <c r="W19" s="45">
        <f t="shared" si="15"/>
        <v>-9.9999999994437899E-2</v>
      </c>
      <c r="X19" s="6">
        <v>12.1305</v>
      </c>
      <c r="Y19" s="43">
        <f t="shared" si="16"/>
        <v>-0.59999999998794395</v>
      </c>
      <c r="Z19" s="44">
        <f t="shared" si="17"/>
        <v>-4.2000000000008697</v>
      </c>
      <c r="AA19" s="45">
        <f t="shared" si="18"/>
        <v>-0.59999999998794395</v>
      </c>
      <c r="AB19" s="49">
        <v>9.0121000000000109</v>
      </c>
      <c r="AC19" s="43">
        <f t="shared" si="19"/>
        <v>-0.89999999999434999</v>
      </c>
      <c r="AD19" s="44">
        <f t="shared" si="20"/>
        <v>-2.59999999999394</v>
      </c>
      <c r="AE19" s="45">
        <f t="shared" si="21"/>
        <v>-0.89999999999434999</v>
      </c>
      <c r="AF19" s="50">
        <v>80909</v>
      </c>
      <c r="AG19" s="58">
        <f t="shared" si="22"/>
        <v>49</v>
      </c>
      <c r="AH19" s="61"/>
      <c r="AI19" s="60"/>
      <c r="AJ19"/>
      <c r="AK19"/>
      <c r="AL19"/>
      <c r="AM19"/>
    </row>
    <row r="20" spans="1:48">
      <c r="A20" s="21">
        <v>45051</v>
      </c>
      <c r="B20" s="22">
        <v>791.80629999999996</v>
      </c>
      <c r="C20" s="6">
        <v>5.0591999999999997</v>
      </c>
      <c r="D20" s="23">
        <f t="shared" si="0"/>
        <v>796.8655</v>
      </c>
      <c r="E20" s="24">
        <f t="shared" si="4"/>
        <v>0.40000000001327901</v>
      </c>
      <c r="F20" s="25">
        <f t="shared" si="5"/>
        <v>-3.49999999991724</v>
      </c>
      <c r="G20" s="26">
        <f t="shared" si="6"/>
        <v>0.40000000001327901</v>
      </c>
      <c r="H20" s="6">
        <v>6.92</v>
      </c>
      <c r="I20" s="35">
        <f t="shared" si="1"/>
        <v>798.72629999999992</v>
      </c>
      <c r="J20" s="24">
        <f t="shared" si="7"/>
        <v>-0.30000000003838068</v>
      </c>
      <c r="K20" s="25">
        <f t="shared" si="8"/>
        <v>-2.8000000000929512</v>
      </c>
      <c r="L20" s="26">
        <f t="shared" si="9"/>
        <v>-0.30000000003838068</v>
      </c>
      <c r="M20" s="6">
        <v>5.6571999999999996</v>
      </c>
      <c r="N20" s="35">
        <f t="shared" si="2"/>
        <v>797.46349999999995</v>
      </c>
      <c r="O20" s="24">
        <f t="shared" si="10"/>
        <v>9.9999999974897905E-2</v>
      </c>
      <c r="P20" s="25">
        <f t="shared" si="11"/>
        <v>-2.5000000000545719</v>
      </c>
      <c r="Q20" s="26">
        <f t="shared" si="12"/>
        <v>9.9999999974897905E-2</v>
      </c>
      <c r="R20" s="41"/>
      <c r="S20" s="21">
        <f t="shared" si="3"/>
        <v>45051</v>
      </c>
      <c r="T20" s="42">
        <v>8.7387000000000103</v>
      </c>
      <c r="U20" s="43">
        <f t="shared" si="13"/>
        <v>-0.49999999999350597</v>
      </c>
      <c r="V20" s="44">
        <f t="shared" si="14"/>
        <v>-2.7999999999934699</v>
      </c>
      <c r="W20" s="45">
        <f t="shared" si="15"/>
        <v>0.49999999999350597</v>
      </c>
      <c r="X20" s="6">
        <v>12.1305</v>
      </c>
      <c r="Y20" s="43">
        <f t="shared" si="16"/>
        <v>-1.4210854715202E-11</v>
      </c>
      <c r="Z20" s="44">
        <f t="shared" si="17"/>
        <v>-4.2000000000150797</v>
      </c>
      <c r="AA20" s="45">
        <f t="shared" si="18"/>
        <v>-1.4210854715202E-11</v>
      </c>
      <c r="AB20" s="49">
        <v>9.0119000000000096</v>
      </c>
      <c r="AC20" s="43">
        <f t="shared" si="19"/>
        <v>-0.19999999999953399</v>
      </c>
      <c r="AD20" s="44">
        <f t="shared" si="20"/>
        <v>-2.7999999999934699</v>
      </c>
      <c r="AE20" s="45">
        <f t="shared" si="21"/>
        <v>-0.19999999999953399</v>
      </c>
      <c r="AF20" s="50">
        <v>80912</v>
      </c>
      <c r="AG20" s="58">
        <f t="shared" si="22"/>
        <v>52</v>
      </c>
      <c r="AH20" s="59"/>
      <c r="AI20" s="60"/>
      <c r="AJ20" s="52"/>
      <c r="AK20" s="52"/>
      <c r="AL20" s="52"/>
      <c r="AM20" s="52"/>
      <c r="AN20" s="63"/>
      <c r="AO20" s="63"/>
      <c r="AP20" s="63"/>
      <c r="AQ20" s="63"/>
      <c r="AR20" s="63"/>
      <c r="AS20" s="63"/>
      <c r="AT20" s="63"/>
      <c r="AU20" s="63"/>
      <c r="AV20" s="63"/>
    </row>
    <row r="21" spans="1:48">
      <c r="A21" s="21">
        <v>45053</v>
      </c>
      <c r="B21" s="22">
        <v>791.80629999999996</v>
      </c>
      <c r="C21" s="6">
        <v>5.0582000000000003</v>
      </c>
      <c r="D21" s="23">
        <f t="shared" si="0"/>
        <v>796.86450000000002</v>
      </c>
      <c r="E21" s="24">
        <f t="shared" si="4"/>
        <v>-1.00000000009004</v>
      </c>
      <c r="F21" s="25">
        <f t="shared" si="5"/>
        <v>-4.5000000000072804</v>
      </c>
      <c r="G21" s="26">
        <f t="shared" si="6"/>
        <v>-0.50000000004501999</v>
      </c>
      <c r="H21" s="6">
        <v>6.9198000000000004</v>
      </c>
      <c r="I21" s="35">
        <f t="shared" si="1"/>
        <v>798.72609999999997</v>
      </c>
      <c r="J21" s="24">
        <f t="shared" si="7"/>
        <v>-0.19999999994979589</v>
      </c>
      <c r="K21" s="25">
        <f t="shared" si="8"/>
        <v>-3.0000000000427471</v>
      </c>
      <c r="L21" s="26">
        <f t="shared" si="9"/>
        <v>-9.9999999974897946E-2</v>
      </c>
      <c r="M21" s="6">
        <v>5.6566999999999998</v>
      </c>
      <c r="N21" s="35">
        <f t="shared" si="2"/>
        <v>797.46299999999997</v>
      </c>
      <c r="O21" s="24">
        <f t="shared" si="10"/>
        <v>-0.49999999998817657</v>
      </c>
      <c r="P21" s="25">
        <f t="shared" si="11"/>
        <v>-3.0000000000427485</v>
      </c>
      <c r="Q21" s="26">
        <f t="shared" si="12"/>
        <v>-0.24999999999408828</v>
      </c>
      <c r="R21" s="41"/>
      <c r="S21" s="21">
        <f t="shared" si="3"/>
        <v>45053</v>
      </c>
      <c r="T21" s="42">
        <v>8.7385000000000108</v>
      </c>
      <c r="U21" s="43">
        <f t="shared" si="13"/>
        <v>-0.19999999999953399</v>
      </c>
      <c r="V21" s="44">
        <f t="shared" si="14"/>
        <v>-2.99999999999301</v>
      </c>
      <c r="W21" s="45">
        <f t="shared" si="15"/>
        <v>9.99999999997669E-2</v>
      </c>
      <c r="X21" s="6">
        <v>12.1302</v>
      </c>
      <c r="Y21" s="43">
        <f t="shared" si="16"/>
        <v>-0.30000000000107702</v>
      </c>
      <c r="Z21" s="44">
        <f t="shared" si="17"/>
        <v>-4.5000000000161604</v>
      </c>
      <c r="AA21" s="45">
        <f t="shared" si="18"/>
        <v>-0.15000000000053901</v>
      </c>
      <c r="AB21" s="49">
        <v>9.0120000000000005</v>
      </c>
      <c r="AC21" s="43">
        <f t="shared" si="19"/>
        <v>9.9999999994437899E-2</v>
      </c>
      <c r="AD21" s="44">
        <f t="shared" si="20"/>
        <v>-2.6999999999990401</v>
      </c>
      <c r="AE21" s="45">
        <f t="shared" si="21"/>
        <v>4.9999999997218901E-2</v>
      </c>
      <c r="AF21" s="50">
        <v>80915</v>
      </c>
      <c r="AG21" s="58">
        <f t="shared" si="22"/>
        <v>55</v>
      </c>
      <c r="AH21" s="61"/>
      <c r="AI21" s="60"/>
      <c r="AJ21" s="52"/>
      <c r="AK21" s="52"/>
      <c r="AL21" s="52"/>
      <c r="AM21" s="52"/>
      <c r="AN21" s="63"/>
      <c r="AO21" s="63"/>
      <c r="AP21" s="63"/>
      <c r="AQ21" s="63"/>
      <c r="AR21" s="63"/>
      <c r="AS21" s="63"/>
      <c r="AT21" s="63"/>
      <c r="AU21" s="63"/>
      <c r="AV21" s="63"/>
    </row>
    <row r="22" spans="1:48">
      <c r="A22" s="21">
        <v>45055</v>
      </c>
      <c r="B22" s="22">
        <v>791.80629999999996</v>
      </c>
      <c r="C22" s="6">
        <v>5.0579000000000001</v>
      </c>
      <c r="D22" s="23">
        <f t="shared" si="0"/>
        <v>796.86419999999998</v>
      </c>
      <c r="E22" s="24">
        <f t="shared" si="4"/>
        <v>-0.29999999992469401</v>
      </c>
      <c r="F22" s="25">
        <f t="shared" si="5"/>
        <v>-4.7999999999319698</v>
      </c>
      <c r="G22" s="26">
        <f t="shared" si="6"/>
        <v>-0.149999999962347</v>
      </c>
      <c r="H22" s="6">
        <v>6.9195000000000002</v>
      </c>
      <c r="I22" s="35">
        <f t="shared" si="1"/>
        <v>798.72580000000005</v>
      </c>
      <c r="J22" s="24">
        <f t="shared" si="7"/>
        <v>-0.29999999992469384</v>
      </c>
      <c r="K22" s="25">
        <f t="shared" si="8"/>
        <v>-3.299999999967441</v>
      </c>
      <c r="L22" s="26">
        <f t="shared" si="9"/>
        <v>-0.14999999996234692</v>
      </c>
      <c r="M22" s="6">
        <v>5.6565000000000003</v>
      </c>
      <c r="N22" s="35">
        <f t="shared" si="2"/>
        <v>797.46280000000002</v>
      </c>
      <c r="O22" s="24">
        <f t="shared" si="10"/>
        <v>-0.19999999994979589</v>
      </c>
      <c r="P22" s="25">
        <f t="shared" si="11"/>
        <v>-3.1999999999925444</v>
      </c>
      <c r="Q22" s="26">
        <f t="shared" si="12"/>
        <v>-9.9999999974897946E-2</v>
      </c>
      <c r="R22" s="41"/>
      <c r="S22" s="21">
        <f t="shared" si="3"/>
        <v>45055</v>
      </c>
      <c r="T22" s="42">
        <v>8.7383000000000095</v>
      </c>
      <c r="U22" s="43">
        <f t="shared" si="13"/>
        <v>-0.19999999999953399</v>
      </c>
      <c r="V22" s="44">
        <f t="shared" si="14"/>
        <v>-3.1999999999925399</v>
      </c>
      <c r="W22" s="45">
        <f t="shared" si="15"/>
        <v>9.99999999997669E-2</v>
      </c>
      <c r="X22" s="6">
        <v>12.1303</v>
      </c>
      <c r="Y22" s="43">
        <f t="shared" si="16"/>
        <v>0.100000000015754</v>
      </c>
      <c r="Z22" s="44">
        <f t="shared" si="17"/>
        <v>-4.4000000000004</v>
      </c>
      <c r="AA22" s="45">
        <f t="shared" si="18"/>
        <v>5.0000000007877098E-2</v>
      </c>
      <c r="AB22" s="49">
        <v>9.0115000000000105</v>
      </c>
      <c r="AC22" s="43">
        <f t="shared" si="19"/>
        <v>-0.49999999999350597</v>
      </c>
      <c r="AD22" s="44">
        <f t="shared" si="20"/>
        <v>-3.1999999999925399</v>
      </c>
      <c r="AE22" s="45">
        <f t="shared" si="21"/>
        <v>-0.24999999999675299</v>
      </c>
      <c r="AF22" s="50">
        <v>80918</v>
      </c>
      <c r="AG22" s="58">
        <f t="shared" si="22"/>
        <v>58</v>
      </c>
      <c r="AH22" s="59"/>
      <c r="AI22" s="60"/>
      <c r="AJ22" s="52"/>
      <c r="AK22" s="52"/>
      <c r="AL22" s="52"/>
      <c r="AM22" s="52"/>
      <c r="AN22" s="63"/>
      <c r="AO22" s="63"/>
      <c r="AP22" s="63"/>
      <c r="AQ22" s="63"/>
      <c r="AR22" s="63"/>
      <c r="AS22" s="63"/>
      <c r="AT22" s="63"/>
      <c r="AU22" s="63"/>
      <c r="AV22" s="63"/>
    </row>
    <row r="23" spans="1:48">
      <c r="A23" s="21">
        <v>45057</v>
      </c>
      <c r="B23" s="22">
        <v>791.80629999999996</v>
      </c>
      <c r="C23" s="6">
        <v>5.0575999999999999</v>
      </c>
      <c r="D23" s="23">
        <f t="shared" si="0"/>
        <v>796.86389999999994</v>
      </c>
      <c r="E23" s="24">
        <f t="shared" si="4"/>
        <v>-0.30000000003838101</v>
      </c>
      <c r="F23" s="25">
        <f t="shared" si="5"/>
        <v>-5.0999999999703496</v>
      </c>
      <c r="G23" s="26">
        <f t="shared" si="6"/>
        <v>-0.15000000001919001</v>
      </c>
      <c r="H23" s="6">
        <v>6.9194000000000004</v>
      </c>
      <c r="I23" s="35">
        <f t="shared" si="1"/>
        <v>798.72569999999996</v>
      </c>
      <c r="J23" s="24">
        <f t="shared" si="7"/>
        <v>-0.10000000008858478</v>
      </c>
      <c r="K23" s="25">
        <f t="shared" si="8"/>
        <v>-3.4000000000560258</v>
      </c>
      <c r="L23" s="26">
        <f t="shared" si="9"/>
        <v>-5.0000000044292392E-2</v>
      </c>
      <c r="M23" s="6">
        <v>5.6562999999999999</v>
      </c>
      <c r="N23" s="35">
        <f t="shared" si="2"/>
        <v>797.46259999999995</v>
      </c>
      <c r="O23" s="24">
        <f t="shared" si="10"/>
        <v>-0.20000000006348273</v>
      </c>
      <c r="P23" s="25">
        <f t="shared" si="11"/>
        <v>-3.4000000000560271</v>
      </c>
      <c r="Q23" s="26">
        <f t="shared" si="12"/>
        <v>-0.10000000003174137</v>
      </c>
      <c r="R23" s="41"/>
      <c r="S23" s="21">
        <f t="shared" si="3"/>
        <v>45057</v>
      </c>
      <c r="T23" s="42">
        <v>8.7384000000000004</v>
      </c>
      <c r="U23" s="43">
        <f t="shared" si="13"/>
        <v>9.9999999992661501E-2</v>
      </c>
      <c r="V23" s="44">
        <f t="shared" si="14"/>
        <v>-3.0999999999998802</v>
      </c>
      <c r="W23" s="45">
        <f t="shared" si="15"/>
        <v>-4.9999999996330799E-2</v>
      </c>
      <c r="X23" s="6">
        <v>12.1296</v>
      </c>
      <c r="Y23" s="43">
        <f t="shared" si="16"/>
        <v>-0.70000000001790896</v>
      </c>
      <c r="Z23" s="44">
        <f t="shared" si="17"/>
        <v>-5.1000000000183103</v>
      </c>
      <c r="AA23" s="45">
        <f t="shared" si="18"/>
        <v>-0.35000000000895398</v>
      </c>
      <c r="AB23" s="49">
        <v>9.0113000000000092</v>
      </c>
      <c r="AC23" s="43">
        <f t="shared" si="19"/>
        <v>-0.19999999999953399</v>
      </c>
      <c r="AD23" s="44">
        <f t="shared" si="20"/>
        <v>-3.39999999999208</v>
      </c>
      <c r="AE23" s="45">
        <f t="shared" si="21"/>
        <v>-9.99999999997669E-2</v>
      </c>
      <c r="AF23" s="50">
        <v>80921</v>
      </c>
      <c r="AG23" s="58">
        <f t="shared" si="22"/>
        <v>61</v>
      </c>
      <c r="AH23" s="61"/>
      <c r="AI23" s="60"/>
      <c r="AJ23" s="52"/>
      <c r="AK23" s="52"/>
      <c r="AL23" s="52"/>
      <c r="AM23" s="52"/>
      <c r="AN23" s="63"/>
      <c r="AO23" s="63"/>
      <c r="AP23" s="63"/>
      <c r="AQ23" s="63"/>
      <c r="AR23" s="63"/>
      <c r="AS23" s="63"/>
      <c r="AT23" s="63"/>
      <c r="AU23" s="63"/>
      <c r="AV23" s="63"/>
    </row>
    <row r="24" spans="1:48">
      <c r="A24" s="21">
        <v>45059</v>
      </c>
      <c r="B24" s="22">
        <v>791.80629999999996</v>
      </c>
      <c r="C24" s="6">
        <v>5.0575000000000001</v>
      </c>
      <c r="D24" s="23">
        <f t="shared" si="0"/>
        <v>796.86379999999997</v>
      </c>
      <c r="E24" s="24">
        <f t="shared" si="4"/>
        <v>-9.9999999974897905E-2</v>
      </c>
      <c r="F24" s="25">
        <f t="shared" si="5"/>
        <v>-5.1999999999452502</v>
      </c>
      <c r="G24" s="26">
        <f t="shared" si="6"/>
        <v>-4.9999999987449001E-2</v>
      </c>
      <c r="H24" s="6">
        <v>6.9192</v>
      </c>
      <c r="I24" s="35">
        <f t="shared" si="1"/>
        <v>798.72550000000001</v>
      </c>
      <c r="J24" s="24">
        <f t="shared" si="7"/>
        <v>-0.19999999994979589</v>
      </c>
      <c r="K24" s="25">
        <f t="shared" si="8"/>
        <v>-3.6000000000058217</v>
      </c>
      <c r="L24" s="26">
        <f t="shared" si="9"/>
        <v>-9.9999999974897946E-2</v>
      </c>
      <c r="M24" s="6">
        <v>5.6559999999999997</v>
      </c>
      <c r="N24" s="35">
        <f t="shared" si="2"/>
        <v>797.46230000000003</v>
      </c>
      <c r="O24" s="24">
        <f t="shared" si="10"/>
        <v>-0.29999999992469384</v>
      </c>
      <c r="P24" s="25">
        <f t="shared" si="11"/>
        <v>-3.6999999999807209</v>
      </c>
      <c r="Q24" s="26">
        <f t="shared" si="12"/>
        <v>-0.14999999996234692</v>
      </c>
      <c r="R24" s="41"/>
      <c r="S24" s="21">
        <f t="shared" si="3"/>
        <v>45059</v>
      </c>
      <c r="T24" s="42">
        <v>8.7379000000000104</v>
      </c>
      <c r="U24" s="43">
        <f t="shared" si="13"/>
        <v>-0.499999999991729</v>
      </c>
      <c r="V24" s="44">
        <f t="shared" si="14"/>
        <v>-3.5999999999916099</v>
      </c>
      <c r="W24" s="45">
        <f t="shared" si="15"/>
        <v>0.249999999995865</v>
      </c>
      <c r="X24" s="6">
        <v>12.129300000000001</v>
      </c>
      <c r="Y24" s="43">
        <f t="shared" si="16"/>
        <v>-0.30000000000107702</v>
      </c>
      <c r="Z24" s="44">
        <f t="shared" si="17"/>
        <v>-5.4000000000193902</v>
      </c>
      <c r="AA24" s="45">
        <f t="shared" si="18"/>
        <v>-0.15000000000053901</v>
      </c>
      <c r="AB24" s="49">
        <v>9.0111000000000097</v>
      </c>
      <c r="AC24" s="43">
        <f t="shared" si="19"/>
        <v>-0.19999999999953399</v>
      </c>
      <c r="AD24" s="44">
        <f t="shared" si="20"/>
        <v>-3.5999999999916099</v>
      </c>
      <c r="AE24" s="45">
        <f t="shared" si="21"/>
        <v>-9.99999999997669E-2</v>
      </c>
      <c r="AF24" s="50">
        <v>80924</v>
      </c>
      <c r="AG24" s="58">
        <f t="shared" si="22"/>
        <v>64</v>
      </c>
      <c r="AH24" s="59"/>
      <c r="AI24" s="60"/>
      <c r="AJ24" s="52"/>
      <c r="AK24" s="52"/>
      <c r="AL24" s="52"/>
      <c r="AM24" s="52"/>
    </row>
    <row r="25" spans="1:48">
      <c r="A25" s="21">
        <v>45061</v>
      </c>
      <c r="B25" s="22">
        <v>791.80629999999996</v>
      </c>
      <c r="C25" s="6">
        <v>5.0570000000000004</v>
      </c>
      <c r="D25" s="23">
        <f t="shared" si="0"/>
        <v>796.86329999999998</v>
      </c>
      <c r="E25" s="24">
        <f t="shared" si="4"/>
        <v>-0.49999999998817701</v>
      </c>
      <c r="F25" s="25">
        <f t="shared" si="5"/>
        <v>-5.6999999999334197</v>
      </c>
      <c r="G25" s="26">
        <f t="shared" si="6"/>
        <v>-0.24999999999408801</v>
      </c>
      <c r="H25" s="6">
        <v>6.9189999999999996</v>
      </c>
      <c r="I25" s="35">
        <f t="shared" si="1"/>
        <v>798.72529999999995</v>
      </c>
      <c r="J25" s="24">
        <f t="shared" si="7"/>
        <v>-0.20000000006348273</v>
      </c>
      <c r="K25" s="25">
        <f t="shared" si="8"/>
        <v>-3.8000000000693044</v>
      </c>
      <c r="L25" s="26">
        <f t="shared" si="9"/>
        <v>-0.10000000003174137</v>
      </c>
      <c r="M25" s="6">
        <v>5.6558999999999999</v>
      </c>
      <c r="N25" s="35">
        <f t="shared" si="2"/>
        <v>797.46219999999994</v>
      </c>
      <c r="O25" s="24">
        <f t="shared" si="10"/>
        <v>-0.10000000008858478</v>
      </c>
      <c r="P25" s="25">
        <f t="shared" si="11"/>
        <v>-3.8000000000693057</v>
      </c>
      <c r="Q25" s="26">
        <f t="shared" si="12"/>
        <v>-5.0000000044292392E-2</v>
      </c>
      <c r="R25" s="41"/>
      <c r="S25" s="21">
        <f t="shared" si="3"/>
        <v>45061</v>
      </c>
      <c r="T25" s="42">
        <v>8.7377000000000091</v>
      </c>
      <c r="U25" s="43">
        <f t="shared" si="13"/>
        <v>-0.19999999999953399</v>
      </c>
      <c r="V25" s="44">
        <f t="shared" si="14"/>
        <v>-3.7999999999911398</v>
      </c>
      <c r="W25" s="45">
        <f t="shared" si="15"/>
        <v>9.99999999997669E-2</v>
      </c>
      <c r="X25" s="6">
        <v>12.129</v>
      </c>
      <c r="Y25" s="43">
        <f t="shared" si="16"/>
        <v>-0.30000000000107702</v>
      </c>
      <c r="Z25" s="44">
        <f t="shared" si="17"/>
        <v>-5.70000000002047</v>
      </c>
      <c r="AA25" s="45">
        <f t="shared" si="18"/>
        <v>-0.15000000000053901</v>
      </c>
      <c r="AB25" s="49">
        <v>9.0113000000000003</v>
      </c>
      <c r="AC25" s="43">
        <f t="shared" si="19"/>
        <v>0.19999999999242801</v>
      </c>
      <c r="AD25" s="44">
        <f t="shared" si="20"/>
        <v>-3.3999999999991801</v>
      </c>
      <c r="AE25" s="45">
        <f t="shared" si="21"/>
        <v>9.9999999996214201E-2</v>
      </c>
      <c r="AF25" s="50">
        <v>80927</v>
      </c>
      <c r="AG25" s="58">
        <f t="shared" si="22"/>
        <v>67</v>
      </c>
      <c r="AH25" s="61"/>
      <c r="AI25" s="60"/>
      <c r="AJ25" s="52"/>
      <c r="AK25" s="52"/>
      <c r="AL25" s="52"/>
      <c r="AM25" s="52"/>
    </row>
    <row r="26" spans="1:48">
      <c r="A26" s="21">
        <v>45063</v>
      </c>
      <c r="B26" s="22">
        <v>791.80629999999996</v>
      </c>
      <c r="C26" s="6">
        <v>5.0571000000000002</v>
      </c>
      <c r="D26" s="23">
        <f t="shared" si="0"/>
        <v>796.86339999999996</v>
      </c>
      <c r="E26" s="24">
        <f t="shared" si="4"/>
        <v>9.9999999974897905E-2</v>
      </c>
      <c r="F26" s="25">
        <f t="shared" si="5"/>
        <v>-5.5999999999585297</v>
      </c>
      <c r="G26" s="26">
        <f t="shared" si="6"/>
        <v>4.9999999987449001E-2</v>
      </c>
      <c r="H26" s="6">
        <v>6.9188000000000001</v>
      </c>
      <c r="I26" s="35">
        <f t="shared" si="1"/>
        <v>798.7251</v>
      </c>
      <c r="J26" s="24">
        <f t="shared" si="7"/>
        <v>-0.19999999994979589</v>
      </c>
      <c r="K26" s="25">
        <f t="shared" si="8"/>
        <v>-4.0000000000191003</v>
      </c>
      <c r="L26" s="26">
        <f t="shared" si="9"/>
        <v>-9.9999999974897946E-2</v>
      </c>
      <c r="M26" s="6">
        <v>5.6557000000000004</v>
      </c>
      <c r="N26" s="35">
        <f t="shared" si="2"/>
        <v>797.46199999999999</v>
      </c>
      <c r="O26" s="24">
        <f t="shared" si="10"/>
        <v>-0.19999999994979589</v>
      </c>
      <c r="P26" s="25">
        <f t="shared" si="11"/>
        <v>-4.0000000000191012</v>
      </c>
      <c r="Q26" s="26">
        <f t="shared" si="12"/>
        <v>-9.9999999974897946E-2</v>
      </c>
      <c r="R26" s="41"/>
      <c r="S26" s="21">
        <f t="shared" si="3"/>
        <v>45063</v>
      </c>
      <c r="T26" s="42">
        <v>8.7375000000000096</v>
      </c>
      <c r="U26" s="43">
        <f t="shared" si="13"/>
        <v>-0.19999999999953399</v>
      </c>
      <c r="V26" s="44">
        <f t="shared" si="14"/>
        <v>-3.9999999999906799</v>
      </c>
      <c r="W26" s="45">
        <f t="shared" si="15"/>
        <v>9.99999999997669E-2</v>
      </c>
      <c r="X26" s="6">
        <v>12.13</v>
      </c>
      <c r="Y26" s="43">
        <f t="shared" si="16"/>
        <v>1.0000000000207601</v>
      </c>
      <c r="Z26" s="44">
        <f t="shared" si="17"/>
        <v>-4.6999999999997</v>
      </c>
      <c r="AA26" s="45">
        <f t="shared" si="18"/>
        <v>0.50000000001038103</v>
      </c>
      <c r="AB26" s="49">
        <v>9.0107000000000106</v>
      </c>
      <c r="AC26" s="43">
        <f t="shared" si="19"/>
        <v>-0.599999999991496</v>
      </c>
      <c r="AD26" s="44">
        <f t="shared" si="20"/>
        <v>-3.9999999999906799</v>
      </c>
      <c r="AE26" s="45">
        <f t="shared" si="21"/>
        <v>-0.299999999995748</v>
      </c>
      <c r="AF26" s="50">
        <v>80930</v>
      </c>
      <c r="AG26" s="58">
        <f t="shared" si="22"/>
        <v>70</v>
      </c>
      <c r="AH26" s="59"/>
      <c r="AI26" s="60"/>
      <c r="AJ26" s="61"/>
      <c r="AK26" s="62"/>
      <c r="AL26" s="60"/>
      <c r="AM26" s="64"/>
    </row>
    <row r="27" spans="1:48">
      <c r="A27" s="21">
        <v>45065</v>
      </c>
      <c r="B27" s="22">
        <v>791.80629999999996</v>
      </c>
      <c r="C27" s="6">
        <v>5.0575000000000001</v>
      </c>
      <c r="D27" s="23">
        <f t="shared" si="0"/>
        <v>796.86379999999997</v>
      </c>
      <c r="E27" s="24">
        <f t="shared" si="4"/>
        <v>0.40000000001327901</v>
      </c>
      <c r="F27" s="25">
        <f t="shared" si="5"/>
        <v>-5.1999999999452502</v>
      </c>
      <c r="G27" s="26">
        <f t="shared" si="6"/>
        <v>0.20000000000663901</v>
      </c>
      <c r="H27" s="6">
        <v>6.9188999999999998</v>
      </c>
      <c r="I27" s="35">
        <f t="shared" si="1"/>
        <v>798.72519999999997</v>
      </c>
      <c r="J27" s="24">
        <f t="shared" si="7"/>
        <v>9.9999999974897946E-2</v>
      </c>
      <c r="K27" s="25">
        <f t="shared" si="8"/>
        <v>-3.9000000000442023</v>
      </c>
      <c r="L27" s="26">
        <f t="shared" si="9"/>
        <v>4.9999999987448973E-2</v>
      </c>
      <c r="M27" s="6">
        <v>5.6555999999999997</v>
      </c>
      <c r="N27" s="35">
        <f t="shared" si="2"/>
        <v>797.46190000000001</v>
      </c>
      <c r="O27" s="24">
        <f t="shared" si="10"/>
        <v>-9.9999999974897946E-2</v>
      </c>
      <c r="P27" s="25">
        <f t="shared" si="11"/>
        <v>-4.0999999999939991</v>
      </c>
      <c r="Q27" s="26">
        <f t="shared" si="12"/>
        <v>-4.9999999987448973E-2</v>
      </c>
      <c r="R27" s="41"/>
      <c r="S27" s="21">
        <f t="shared" si="3"/>
        <v>45065</v>
      </c>
      <c r="T27" s="42">
        <v>8.7376000000000005</v>
      </c>
      <c r="U27" s="43">
        <f t="shared" si="13"/>
        <v>9.9999999990885199E-2</v>
      </c>
      <c r="V27" s="44">
        <f t="shared" si="14"/>
        <v>-3.8999999999997899</v>
      </c>
      <c r="W27" s="45">
        <f t="shared" si="15"/>
        <v>-4.99999999954426E-2</v>
      </c>
      <c r="X27" s="6">
        <v>12.130100000000001</v>
      </c>
      <c r="Y27" s="43">
        <f t="shared" si="16"/>
        <v>9.99999999997669E-2</v>
      </c>
      <c r="Z27" s="44">
        <f t="shared" si="17"/>
        <v>-4.5999999999999401</v>
      </c>
      <c r="AA27" s="45">
        <f t="shared" si="18"/>
        <v>4.9999999999883499E-2</v>
      </c>
      <c r="AB27" s="49">
        <v>9.0106000000000002</v>
      </c>
      <c r="AC27" s="43">
        <f t="shared" si="19"/>
        <v>-0.100000000008649</v>
      </c>
      <c r="AD27" s="44">
        <f t="shared" si="20"/>
        <v>-4.09999999999933</v>
      </c>
      <c r="AE27" s="45">
        <f t="shared" si="21"/>
        <v>-5.0000000004324398E-2</v>
      </c>
      <c r="AF27" s="50">
        <v>80933</v>
      </c>
      <c r="AG27" s="58">
        <f t="shared" si="22"/>
        <v>73</v>
      </c>
      <c r="AH27" s="59"/>
      <c r="AI27" s="60"/>
      <c r="AJ27" s="61"/>
      <c r="AK27" s="62"/>
      <c r="AL27" s="60"/>
      <c r="AM27" s="64"/>
    </row>
    <row r="28" spans="1:48">
      <c r="A28" s="21"/>
      <c r="B28" s="22"/>
      <c r="C28" s="27"/>
      <c r="D28" s="23"/>
      <c r="E28" s="65">
        <f>F27-F6</f>
        <v>-5.1999999999452502</v>
      </c>
      <c r="F28" s="33">
        <f>K27-K6</f>
        <v>-3.9000000000442023</v>
      </c>
      <c r="G28" s="33">
        <f>P27-P6</f>
        <v>-4.0999999999939991</v>
      </c>
      <c r="H28" s="33">
        <f>F27</f>
        <v>-5.1999999999452502</v>
      </c>
      <c r="I28" s="66">
        <f>K27</f>
        <v>-3.9000000000442023</v>
      </c>
      <c r="J28" s="65">
        <f>P27</f>
        <v>-4.0999999999939991</v>
      </c>
      <c r="K28" s="33">
        <f>(F27-F6)/30</f>
        <v>-0.17333333333150833</v>
      </c>
      <c r="L28" s="26"/>
      <c r="N28" s="35"/>
      <c r="O28" s="24"/>
      <c r="P28" s="25"/>
      <c r="Q28" s="26"/>
      <c r="R28" s="41"/>
      <c r="S28" s="21"/>
      <c r="T28" s="42"/>
      <c r="U28" s="65">
        <f>V27-V11</f>
        <v>-2.9000000000021209</v>
      </c>
      <c r="V28" s="33">
        <f>Z27-Z11</f>
        <v>-3.0999999999945502</v>
      </c>
      <c r="W28" s="33">
        <f>AD27-AD11</f>
        <v>-3.399999999999185</v>
      </c>
      <c r="X28" s="33">
        <f>V27</f>
        <v>-3.8999999999997899</v>
      </c>
      <c r="Y28" s="65">
        <f>Z27</f>
        <v>-4.5999999999999401</v>
      </c>
      <c r="Z28" s="33">
        <f>AD27</f>
        <v>-4.09999999999933</v>
      </c>
      <c r="AA28" s="33">
        <f>(Z27-Z11)/24</f>
        <v>-0.12916666666643958</v>
      </c>
      <c r="AB28" s="49"/>
      <c r="AC28" s="43"/>
      <c r="AD28" s="44"/>
      <c r="AE28" s="45"/>
      <c r="AF28" s="50"/>
      <c r="AG28" s="58"/>
      <c r="AH28" s="61"/>
      <c r="AI28" s="60"/>
      <c r="AJ28"/>
      <c r="AK28"/>
      <c r="AL28"/>
      <c r="AM28"/>
    </row>
    <row r="29" spans="1:48">
      <c r="A29" s="21"/>
      <c r="B29" s="22"/>
      <c r="C29" s="27"/>
      <c r="D29" s="23"/>
      <c r="E29" s="24"/>
      <c r="F29" s="25"/>
      <c r="G29" s="26"/>
      <c r="I29" s="35"/>
      <c r="J29" s="24"/>
      <c r="K29" s="25"/>
      <c r="L29" s="26"/>
      <c r="N29" s="35"/>
      <c r="O29" s="24"/>
      <c r="P29" s="25"/>
      <c r="Q29" s="26"/>
      <c r="R29" s="41"/>
      <c r="S29" s="21"/>
      <c r="T29" s="42"/>
      <c r="U29" s="43"/>
      <c r="V29" s="44"/>
      <c r="W29" s="45"/>
      <c r="X29" s="29"/>
      <c r="Y29" s="43"/>
      <c r="Z29" s="44"/>
      <c r="AA29" s="45"/>
      <c r="AB29" s="49"/>
      <c r="AC29" s="43"/>
      <c r="AD29" s="44"/>
      <c r="AE29" s="45"/>
      <c r="AF29" s="50"/>
      <c r="AG29" s="58"/>
      <c r="AH29" s="61"/>
      <c r="AI29" s="60"/>
      <c r="AJ29" s="61"/>
      <c r="AK29" s="62"/>
      <c r="AL29" s="60"/>
      <c r="AM29" s="64"/>
    </row>
    <row r="30" spans="1:48">
      <c r="A30" s="21"/>
      <c r="B30" s="22"/>
      <c r="C30" s="27"/>
      <c r="D30" s="23"/>
      <c r="E30" s="24"/>
      <c r="F30" s="25"/>
      <c r="G30" s="26"/>
      <c r="I30" s="35"/>
      <c r="J30" s="24"/>
      <c r="K30" s="25"/>
      <c r="L30" s="26"/>
      <c r="N30" s="35"/>
      <c r="O30" s="24"/>
      <c r="P30" s="25"/>
      <c r="Q30" s="26"/>
      <c r="R30" s="41"/>
      <c r="S30" s="21"/>
      <c r="T30" s="42"/>
      <c r="U30" s="43"/>
      <c r="V30" s="44"/>
      <c r="W30" s="45"/>
      <c r="X30" s="29"/>
      <c r="Y30" s="43"/>
      <c r="Z30" s="44"/>
      <c r="AA30" s="45"/>
      <c r="AB30" s="49"/>
      <c r="AC30" s="43"/>
      <c r="AD30" s="44"/>
      <c r="AE30" s="45"/>
      <c r="AF30" s="50"/>
      <c r="AG30" s="58"/>
      <c r="AH30" s="61"/>
      <c r="AI30" s="60"/>
      <c r="AJ30" s="61"/>
      <c r="AK30" s="62"/>
      <c r="AL30" s="60"/>
      <c r="AM30" s="64"/>
    </row>
    <row r="31" spans="1:48">
      <c r="A31" s="21"/>
      <c r="B31" s="22"/>
      <c r="C31" s="27"/>
      <c r="D31" s="23"/>
      <c r="E31" s="24"/>
      <c r="F31" s="25"/>
      <c r="G31" s="26"/>
      <c r="I31" s="35"/>
      <c r="J31" s="24"/>
      <c r="K31" s="25"/>
      <c r="L31" s="26"/>
      <c r="N31" s="35"/>
      <c r="O31" s="24"/>
      <c r="P31" s="25"/>
      <c r="Q31" s="26"/>
      <c r="R31" s="41"/>
      <c r="S31" s="21"/>
      <c r="T31" s="42"/>
      <c r="U31" s="43"/>
      <c r="V31" s="44"/>
      <c r="W31" s="45"/>
      <c r="X31" s="29"/>
      <c r="Y31" s="43"/>
      <c r="Z31" s="44"/>
      <c r="AA31" s="45"/>
      <c r="AB31" s="49"/>
      <c r="AC31" s="43"/>
      <c r="AD31" s="44"/>
      <c r="AE31" s="45"/>
      <c r="AF31" s="50"/>
      <c r="AG31" s="58"/>
      <c r="AH31" s="61"/>
      <c r="AI31" s="60"/>
      <c r="AJ31" s="61"/>
      <c r="AK31" s="62"/>
      <c r="AL31" s="60"/>
      <c r="AM31" s="64"/>
    </row>
    <row r="32" spans="1:48">
      <c r="A32" s="21"/>
      <c r="B32" s="22"/>
      <c r="C32" s="27"/>
      <c r="D32" s="23"/>
      <c r="E32" s="24"/>
      <c r="F32" s="25"/>
      <c r="G32" s="26"/>
      <c r="I32" s="35"/>
      <c r="J32" s="24"/>
      <c r="K32" s="25"/>
      <c r="L32" s="26"/>
      <c r="N32" s="35"/>
      <c r="O32" s="24"/>
      <c r="P32" s="25"/>
      <c r="Q32" s="26"/>
      <c r="R32" s="41"/>
      <c r="S32" s="21"/>
      <c r="T32" s="42"/>
      <c r="U32" s="43"/>
      <c r="V32" s="44"/>
      <c r="W32" s="45"/>
      <c r="X32" s="29"/>
      <c r="Y32" s="43"/>
      <c r="Z32" s="44"/>
      <c r="AA32" s="45"/>
      <c r="AB32" s="49"/>
      <c r="AC32" s="43"/>
      <c r="AD32" s="44"/>
      <c r="AE32" s="45"/>
      <c r="AF32" s="50"/>
      <c r="AG32" s="58"/>
      <c r="AH32" s="61"/>
      <c r="AI32" s="60"/>
      <c r="AJ32" s="61"/>
      <c r="AK32" s="62"/>
      <c r="AL32" s="60"/>
      <c r="AM32" s="64"/>
    </row>
    <row r="33" spans="1:39">
      <c r="A33" s="21"/>
      <c r="B33" s="22"/>
      <c r="C33" s="22"/>
      <c r="D33" s="28"/>
      <c r="E33" s="24"/>
      <c r="F33" s="25"/>
      <c r="G33" s="26"/>
      <c r="H33" s="29"/>
      <c r="I33" s="35"/>
      <c r="J33" s="24"/>
      <c r="K33" s="25"/>
      <c r="L33" s="26"/>
      <c r="M33" s="29"/>
      <c r="N33" s="35"/>
      <c r="O33" s="24"/>
      <c r="P33" s="25"/>
      <c r="Q33" s="26"/>
      <c r="R33" s="41"/>
      <c r="S33" s="30"/>
      <c r="T33" s="46"/>
      <c r="U33" s="24"/>
      <c r="V33" s="25"/>
      <c r="W33" s="26"/>
      <c r="X33" s="29"/>
      <c r="Y33" s="24"/>
      <c r="Z33" s="25"/>
      <c r="AA33" s="26"/>
      <c r="AB33" s="29"/>
      <c r="AC33" s="24"/>
      <c r="AD33" s="25"/>
      <c r="AE33" s="26"/>
      <c r="AF33" s="50"/>
      <c r="AG33" s="58"/>
      <c r="AH33" s="61"/>
      <c r="AI33" s="60"/>
      <c r="AJ33" s="61"/>
      <c r="AK33" s="62"/>
      <c r="AL33" s="60"/>
      <c r="AM33" s="64"/>
    </row>
    <row r="34" spans="1:39">
      <c r="A34" s="30"/>
      <c r="B34" s="22"/>
      <c r="C34" s="22"/>
      <c r="D34" s="28"/>
      <c r="E34" s="24"/>
      <c r="F34" s="25"/>
      <c r="G34" s="26"/>
      <c r="H34" s="29"/>
      <c r="I34" s="35"/>
      <c r="J34" s="24"/>
      <c r="K34" s="25"/>
      <c r="L34" s="26"/>
      <c r="M34" s="29"/>
      <c r="N34" s="35"/>
      <c r="O34" s="24"/>
      <c r="P34" s="25"/>
      <c r="Q34" s="26"/>
      <c r="R34" s="41"/>
      <c r="S34" s="30"/>
      <c r="T34" s="46"/>
      <c r="U34" s="24"/>
      <c r="V34" s="25"/>
      <c r="W34" s="26"/>
      <c r="X34" s="29"/>
      <c r="Y34" s="24"/>
      <c r="Z34" s="25"/>
      <c r="AA34" s="26"/>
      <c r="AB34" s="29"/>
      <c r="AC34" s="24"/>
      <c r="AD34" s="25"/>
      <c r="AE34" s="26"/>
      <c r="AF34" s="50"/>
      <c r="AG34" s="58"/>
      <c r="AH34" s="51"/>
    </row>
    <row r="35" spans="1:39">
      <c r="A35" s="30"/>
      <c r="B35" s="22"/>
      <c r="C35" s="22"/>
      <c r="D35" s="28"/>
      <c r="E35" s="24"/>
      <c r="F35" s="25"/>
      <c r="G35" s="26"/>
      <c r="H35" s="29"/>
      <c r="I35" s="35"/>
      <c r="J35" s="24"/>
      <c r="K35" s="25"/>
      <c r="L35" s="26"/>
      <c r="M35" s="29"/>
      <c r="N35" s="35"/>
      <c r="O35" s="24"/>
      <c r="P35" s="25"/>
      <c r="Q35" s="26"/>
      <c r="R35" s="41"/>
      <c r="S35" s="30"/>
      <c r="T35" s="46"/>
      <c r="U35" s="24"/>
      <c r="V35" s="25"/>
      <c r="W35" s="26"/>
      <c r="X35" s="29"/>
      <c r="Y35" s="24"/>
      <c r="Z35" s="25"/>
      <c r="AA35" s="26"/>
      <c r="AB35" s="29"/>
      <c r="AC35" s="24"/>
      <c r="AD35" s="25"/>
      <c r="AE35" s="26"/>
      <c r="AF35" s="50"/>
      <c r="AG35" s="58"/>
      <c r="AH35" s="51"/>
    </row>
    <row r="36" spans="1:39">
      <c r="A36" s="30"/>
      <c r="B36" s="22"/>
      <c r="C36" s="22"/>
      <c r="D36" s="28"/>
      <c r="E36" s="24"/>
      <c r="F36" s="25"/>
      <c r="G36" s="26"/>
      <c r="H36" s="29"/>
      <c r="I36" s="35"/>
      <c r="J36" s="24"/>
      <c r="K36" s="25"/>
      <c r="L36" s="26"/>
      <c r="M36" s="29"/>
      <c r="N36" s="35"/>
      <c r="O36" s="24"/>
      <c r="P36" s="25"/>
      <c r="Q36" s="26"/>
      <c r="R36" s="41"/>
      <c r="S36" s="30"/>
      <c r="T36" s="46"/>
      <c r="U36" s="24"/>
      <c r="V36" s="25"/>
      <c r="W36" s="26"/>
      <c r="X36" s="29"/>
      <c r="Y36" s="24"/>
      <c r="Z36" s="25"/>
      <c r="AA36" s="26"/>
      <c r="AB36" s="29"/>
      <c r="AC36" s="24"/>
      <c r="AD36" s="25"/>
      <c r="AE36" s="26"/>
      <c r="AF36" s="50"/>
      <c r="AG36" s="58"/>
      <c r="AH36" s="51"/>
    </row>
    <row r="37" spans="1:39">
      <c r="A37" s="30"/>
      <c r="B37" s="22"/>
      <c r="C37" s="22"/>
      <c r="D37" s="28"/>
      <c r="E37" s="24"/>
      <c r="F37" s="25"/>
      <c r="G37" s="26"/>
      <c r="H37" s="29"/>
      <c r="I37" s="35"/>
      <c r="J37" s="24"/>
      <c r="K37" s="25"/>
      <c r="L37" s="26"/>
      <c r="M37" s="29"/>
      <c r="N37" s="35"/>
      <c r="O37" s="24"/>
      <c r="P37" s="25"/>
      <c r="Q37" s="26"/>
      <c r="R37" s="41"/>
      <c r="S37" s="30"/>
      <c r="T37" s="46"/>
      <c r="U37" s="24"/>
      <c r="V37" s="25"/>
      <c r="W37" s="26"/>
      <c r="X37" s="47"/>
      <c r="Y37" s="24"/>
      <c r="Z37" s="25"/>
      <c r="AA37" s="26"/>
      <c r="AB37" s="47"/>
      <c r="AC37" s="24"/>
      <c r="AD37" s="25"/>
      <c r="AE37" s="26"/>
      <c r="AF37" s="50"/>
      <c r="AG37" s="58"/>
      <c r="AH37" s="51"/>
    </row>
    <row r="38" spans="1:39">
      <c r="A38" s="30"/>
      <c r="B38" s="22"/>
      <c r="C38" s="22"/>
      <c r="D38" s="28"/>
      <c r="E38" s="24"/>
      <c r="F38" s="25"/>
      <c r="G38" s="26"/>
      <c r="H38" s="29"/>
      <c r="I38" s="35"/>
      <c r="J38" s="24"/>
      <c r="K38" s="25"/>
      <c r="L38" s="26"/>
      <c r="M38" s="29"/>
      <c r="N38" s="35"/>
      <c r="O38" s="24"/>
      <c r="P38" s="25"/>
      <c r="Q38" s="26"/>
      <c r="R38" s="41"/>
      <c r="S38" s="30"/>
      <c r="T38" s="46"/>
      <c r="U38" s="24"/>
      <c r="V38" s="25"/>
      <c r="W38" s="26"/>
      <c r="X38" s="29"/>
      <c r="Y38" s="24"/>
      <c r="Z38" s="25"/>
      <c r="AA38" s="26"/>
      <c r="AB38" s="29"/>
      <c r="AC38" s="24"/>
      <c r="AD38" s="25"/>
      <c r="AE38" s="26"/>
      <c r="AF38" s="50"/>
      <c r="AG38" s="58"/>
      <c r="AH38" s="51"/>
    </row>
    <row r="39" spans="1:39">
      <c r="A39" s="30"/>
      <c r="B39" s="22"/>
      <c r="C39" s="22"/>
      <c r="D39" s="28"/>
      <c r="E39" s="24"/>
      <c r="F39" s="25"/>
      <c r="G39" s="26"/>
      <c r="H39" s="29"/>
      <c r="I39" s="35"/>
      <c r="J39" s="24"/>
      <c r="K39" s="25"/>
      <c r="L39" s="26"/>
      <c r="M39" s="29"/>
      <c r="N39" s="35"/>
      <c r="O39" s="24"/>
      <c r="P39" s="25"/>
      <c r="Q39" s="26"/>
      <c r="R39" s="41"/>
      <c r="S39" s="30"/>
      <c r="T39" s="42"/>
      <c r="U39" s="24"/>
      <c r="V39" s="25"/>
      <c r="W39" s="26"/>
      <c r="X39" s="29"/>
      <c r="Y39" s="24"/>
      <c r="Z39" s="25"/>
      <c r="AA39" s="26"/>
      <c r="AB39" s="29"/>
      <c r="AC39" s="24"/>
      <c r="AD39" s="25"/>
      <c r="AE39" s="26"/>
      <c r="AF39" s="26"/>
      <c r="AG39" s="26"/>
      <c r="AH39" s="51"/>
    </row>
    <row r="40" spans="1:39">
      <c r="A40" s="31"/>
      <c r="B40" s="30"/>
      <c r="C40" s="32"/>
      <c r="E40" s="24"/>
      <c r="F40" s="25"/>
      <c r="G40" s="26"/>
      <c r="H40" s="29"/>
      <c r="J40" s="24"/>
      <c r="K40" s="25"/>
      <c r="L40" s="26"/>
      <c r="M40" s="29"/>
      <c r="O40" s="24"/>
      <c r="P40" s="25"/>
      <c r="Q40" s="26"/>
      <c r="R40" s="41"/>
      <c r="S40" s="30"/>
      <c r="T40" s="42"/>
      <c r="U40" s="33"/>
      <c r="V40" s="25"/>
      <c r="W40" s="26"/>
      <c r="X40" s="29"/>
      <c r="Y40" s="33"/>
      <c r="Z40" s="25"/>
      <c r="AA40" s="26"/>
      <c r="AB40" s="29"/>
      <c r="AC40" s="33"/>
      <c r="AD40" s="25"/>
      <c r="AE40" s="26"/>
      <c r="AF40" s="26"/>
      <c r="AG40" s="26"/>
      <c r="AH40" s="51"/>
    </row>
    <row r="41" spans="1:39">
      <c r="A41" s="31"/>
      <c r="B41" s="30"/>
      <c r="C41" s="32"/>
      <c r="D41" s="32"/>
      <c r="E41" s="24"/>
      <c r="F41" s="25"/>
      <c r="G41" s="26"/>
      <c r="H41" s="29"/>
      <c r="I41" s="29"/>
      <c r="J41" s="24"/>
      <c r="K41" s="25"/>
      <c r="L41" s="26"/>
      <c r="M41" s="29"/>
      <c r="O41" s="24"/>
      <c r="P41" s="25"/>
      <c r="Q41" s="26"/>
      <c r="R41" s="41"/>
      <c r="S41" s="30"/>
      <c r="T41" s="42"/>
      <c r="U41" s="33"/>
      <c r="V41" s="25"/>
      <c r="W41" s="26"/>
      <c r="X41" s="29"/>
      <c r="Y41" s="33"/>
      <c r="Z41" s="25"/>
      <c r="AA41" s="26"/>
      <c r="AB41" s="29"/>
      <c r="AC41" s="33"/>
      <c r="AD41" s="25"/>
      <c r="AE41" s="26"/>
      <c r="AF41" s="26"/>
      <c r="AG41" s="26"/>
      <c r="AH41" s="51"/>
    </row>
    <row r="42" spans="1:39">
      <c r="A42" s="31"/>
      <c r="B42" s="31"/>
      <c r="C42" s="32"/>
      <c r="D42" s="32"/>
      <c r="E42" s="33"/>
      <c r="F42" s="25"/>
      <c r="G42" s="26"/>
      <c r="H42" s="29"/>
      <c r="I42" s="29"/>
      <c r="J42" s="33"/>
      <c r="K42" s="25"/>
      <c r="L42" s="26"/>
      <c r="M42" s="29"/>
      <c r="N42" s="29"/>
      <c r="O42" s="33"/>
      <c r="P42" s="25"/>
      <c r="Q42" s="26"/>
      <c r="R42" s="41"/>
      <c r="S42" s="30"/>
      <c r="T42" s="42"/>
      <c r="U42" s="33"/>
      <c r="V42" s="25"/>
      <c r="W42" s="26"/>
      <c r="X42" s="29"/>
      <c r="Y42" s="33"/>
      <c r="Z42" s="25"/>
      <c r="AA42" s="26"/>
      <c r="AB42" s="29">
        <v>3</v>
      </c>
      <c r="AC42" s="33"/>
      <c r="AD42" s="25"/>
      <c r="AE42" s="26"/>
      <c r="AF42" s="26"/>
      <c r="AG42" s="26"/>
      <c r="AH42" s="51"/>
    </row>
    <row r="43" spans="1:39">
      <c r="A43" s="31"/>
      <c r="B43" s="31"/>
      <c r="C43" s="32"/>
      <c r="D43" s="32"/>
      <c r="E43" s="33"/>
      <c r="F43" s="25"/>
      <c r="G43" s="26"/>
      <c r="H43" s="29"/>
      <c r="I43" s="29"/>
      <c r="J43" s="33"/>
      <c r="K43" s="25"/>
      <c r="L43" s="26"/>
      <c r="M43" s="29"/>
      <c r="N43" s="29"/>
      <c r="O43" s="33"/>
      <c r="P43" s="25"/>
      <c r="Q43" s="26"/>
      <c r="R43" s="41"/>
      <c r="S43" s="30"/>
      <c r="T43" s="42"/>
      <c r="U43" s="33"/>
      <c r="V43" s="25"/>
      <c r="W43" s="26"/>
      <c r="X43" s="29"/>
      <c r="Y43" s="33"/>
      <c r="Z43" s="25"/>
      <c r="AA43" s="26"/>
      <c r="AB43" s="29"/>
      <c r="AC43" s="33"/>
      <c r="AD43" s="25"/>
      <c r="AE43" s="26"/>
      <c r="AF43" s="26"/>
      <c r="AG43" s="26"/>
      <c r="AH43" s="51"/>
    </row>
    <row r="44" spans="1:39">
      <c r="A44" s="31"/>
      <c r="B44" s="31"/>
      <c r="C44" s="32"/>
      <c r="D44" s="32"/>
      <c r="E44" s="33"/>
      <c r="F44" s="25"/>
      <c r="G44" s="26"/>
      <c r="H44" s="29"/>
      <c r="I44" s="29"/>
      <c r="J44" s="33"/>
      <c r="K44" s="25"/>
      <c r="L44" s="26"/>
      <c r="M44" s="29"/>
      <c r="N44" s="29"/>
      <c r="O44" s="33"/>
      <c r="P44" s="25"/>
      <c r="Q44" s="26"/>
      <c r="R44" s="41"/>
      <c r="S44" s="30"/>
      <c r="T44" s="42"/>
      <c r="U44" s="33"/>
      <c r="V44" s="25"/>
      <c r="W44" s="26"/>
      <c r="X44" s="29"/>
      <c r="Y44" s="33"/>
      <c r="Z44" s="25"/>
      <c r="AA44" s="26"/>
      <c r="AB44" s="29"/>
      <c r="AC44" s="33"/>
      <c r="AD44" s="25"/>
      <c r="AE44" s="26"/>
      <c r="AF44" s="26"/>
      <c r="AG44" s="26"/>
      <c r="AH44" s="51"/>
    </row>
    <row r="45" spans="1:39">
      <c r="A45" s="31"/>
      <c r="B45" s="31"/>
      <c r="C45" s="32"/>
      <c r="D45" s="32"/>
      <c r="E45" s="33"/>
      <c r="F45" s="25"/>
      <c r="G45" s="26"/>
      <c r="H45" s="29"/>
      <c r="I45" s="29"/>
      <c r="J45" s="33"/>
      <c r="K45" s="25"/>
      <c r="L45" s="26"/>
      <c r="M45" s="29"/>
      <c r="N45" s="29"/>
      <c r="O45" s="33"/>
      <c r="P45" s="25"/>
      <c r="Q45" s="26"/>
      <c r="R45" s="41"/>
      <c r="S45" s="30"/>
      <c r="T45" s="42"/>
      <c r="U45" s="33"/>
      <c r="V45" s="25"/>
      <c r="W45" s="26"/>
      <c r="X45" s="29"/>
      <c r="Y45" s="33"/>
      <c r="Z45" s="25"/>
      <c r="AA45" s="26"/>
      <c r="AB45" s="29"/>
      <c r="AC45" s="33"/>
      <c r="AD45" s="25"/>
      <c r="AE45" s="26"/>
      <c r="AF45" s="26"/>
      <c r="AG45" s="26"/>
      <c r="AH45" s="51"/>
    </row>
    <row r="46" spans="1:39">
      <c r="A46" s="31"/>
      <c r="B46" s="31"/>
      <c r="C46" s="32"/>
      <c r="D46" s="32"/>
      <c r="E46" s="33"/>
      <c r="F46" s="25"/>
      <c r="G46" s="26"/>
      <c r="H46" s="29"/>
      <c r="I46" s="29"/>
      <c r="J46" s="33"/>
      <c r="K46" s="25"/>
      <c r="L46" s="26"/>
      <c r="M46" s="29"/>
      <c r="N46" s="29"/>
      <c r="O46" s="33"/>
      <c r="P46" s="25"/>
      <c r="Q46" s="26"/>
      <c r="R46" s="41"/>
      <c r="S46" s="30"/>
      <c r="T46" s="42"/>
      <c r="U46" s="33"/>
      <c r="V46" s="25"/>
      <c r="W46" s="26"/>
      <c r="X46" s="29"/>
      <c r="Y46" s="33"/>
      <c r="Z46" s="25"/>
      <c r="AA46" s="26"/>
      <c r="AB46" s="29"/>
      <c r="AC46" s="33"/>
      <c r="AD46" s="25"/>
      <c r="AE46" s="26"/>
      <c r="AF46" s="26"/>
      <c r="AG46" s="26"/>
      <c r="AH46" s="51"/>
    </row>
    <row r="47" spans="1:39">
      <c r="A47" s="31"/>
      <c r="B47" s="31"/>
      <c r="C47" s="32"/>
      <c r="D47" s="32"/>
      <c r="E47" s="33"/>
      <c r="F47" s="25"/>
      <c r="G47" s="26"/>
      <c r="H47" s="29"/>
      <c r="I47" s="29"/>
      <c r="J47" s="33"/>
      <c r="K47" s="25"/>
      <c r="L47" s="26"/>
      <c r="M47" s="29"/>
      <c r="N47" s="29"/>
      <c r="O47" s="33"/>
      <c r="P47" s="25"/>
      <c r="Q47" s="26"/>
      <c r="R47" s="41"/>
      <c r="S47" s="30"/>
      <c r="T47" s="42"/>
      <c r="U47" s="33"/>
      <c r="V47" s="25"/>
      <c r="W47" s="26"/>
      <c r="X47" s="29"/>
      <c r="Y47" s="33"/>
      <c r="Z47" s="25"/>
      <c r="AA47" s="26"/>
      <c r="AB47" s="29"/>
      <c r="AC47" s="33"/>
      <c r="AD47" s="25"/>
      <c r="AE47" s="26"/>
      <c r="AF47" s="26"/>
      <c r="AG47" s="26"/>
      <c r="AH47" s="51"/>
    </row>
    <row r="48" spans="1:39">
      <c r="A48" s="31"/>
      <c r="B48" s="31"/>
      <c r="C48" s="32"/>
      <c r="D48" s="32"/>
      <c r="E48" s="33"/>
      <c r="F48" s="25"/>
      <c r="G48" s="26"/>
      <c r="H48" s="29"/>
      <c r="I48" s="29"/>
      <c r="J48" s="33"/>
      <c r="K48" s="25"/>
      <c r="L48" s="26"/>
      <c r="M48" s="29"/>
      <c r="N48" s="29"/>
      <c r="O48" s="33"/>
      <c r="P48" s="25"/>
      <c r="Q48" s="26"/>
      <c r="R48" s="41"/>
      <c r="S48" s="30"/>
      <c r="T48" s="42"/>
      <c r="U48" s="33"/>
      <c r="V48" s="25"/>
      <c r="W48" s="26"/>
      <c r="X48" s="29"/>
      <c r="Y48" s="33"/>
      <c r="Z48" s="25"/>
      <c r="AA48" s="26"/>
      <c r="AB48" s="29"/>
      <c r="AC48" s="33"/>
      <c r="AD48" s="25"/>
      <c r="AE48" s="26"/>
      <c r="AF48" s="26"/>
      <c r="AG48" s="26"/>
      <c r="AH48" s="51"/>
    </row>
    <row r="49" spans="1:34">
      <c r="A49" s="31"/>
      <c r="B49" s="31"/>
      <c r="C49" s="32"/>
      <c r="D49" s="32"/>
      <c r="E49" s="33"/>
      <c r="F49" s="25"/>
      <c r="G49" s="26"/>
      <c r="H49" s="29"/>
      <c r="I49" s="29"/>
      <c r="J49" s="33"/>
      <c r="K49" s="25"/>
      <c r="L49" s="26"/>
      <c r="M49" s="29"/>
      <c r="N49" s="29"/>
      <c r="O49" s="33"/>
      <c r="P49" s="25"/>
      <c r="Q49" s="26"/>
      <c r="R49" s="41"/>
      <c r="S49" s="30"/>
      <c r="T49" s="42"/>
      <c r="U49" s="33"/>
      <c r="V49" s="25"/>
      <c r="W49" s="26"/>
      <c r="X49" s="29"/>
      <c r="Y49" s="33"/>
      <c r="Z49" s="25"/>
      <c r="AA49" s="26"/>
      <c r="AB49" s="29"/>
      <c r="AC49" s="33"/>
      <c r="AD49" s="25"/>
      <c r="AE49" s="26"/>
      <c r="AF49" s="26"/>
      <c r="AG49" s="26"/>
      <c r="AH49" s="51"/>
    </row>
    <row r="50" spans="1:34">
      <c r="A50" s="31"/>
      <c r="C50" s="32"/>
      <c r="H50" s="29"/>
      <c r="M50" s="29"/>
      <c r="R50" s="41"/>
      <c r="S50" s="30"/>
      <c r="T50" s="42"/>
      <c r="U50" s="33"/>
      <c r="V50" s="25"/>
      <c r="W50" s="26"/>
      <c r="X50" s="29"/>
      <c r="Y50" s="33"/>
      <c r="Z50" s="25"/>
      <c r="AA50" s="26"/>
      <c r="AB50" s="29"/>
      <c r="AC50" s="33"/>
      <c r="AD50" s="25"/>
      <c r="AE50" s="26"/>
      <c r="AF50" s="26"/>
      <c r="AG50" s="26"/>
      <c r="AH50" s="51"/>
    </row>
    <row r="51" spans="1:34">
      <c r="A51" s="31"/>
      <c r="C51" s="32"/>
      <c r="H51" s="29"/>
      <c r="M51" s="29"/>
      <c r="R51" s="41"/>
      <c r="AH51" s="51"/>
    </row>
    <row r="52" spans="1:34">
      <c r="A52" s="31"/>
      <c r="C52" s="32"/>
      <c r="H52" s="29"/>
      <c r="M52" s="29"/>
      <c r="R52" s="41"/>
      <c r="AH52" s="51"/>
    </row>
    <row r="53" spans="1:34">
      <c r="A53" s="31"/>
      <c r="C53" s="32"/>
      <c r="H53" s="29"/>
      <c r="M53" s="29"/>
      <c r="R53" s="41"/>
      <c r="AH53" s="51"/>
    </row>
  </sheetData>
  <mergeCells count="16">
    <mergeCell ref="AC4:AE4"/>
    <mergeCell ref="A4:A5"/>
    <mergeCell ref="S4:S5"/>
    <mergeCell ref="AF3:AF5"/>
    <mergeCell ref="AG3:AG5"/>
    <mergeCell ref="C4:G4"/>
    <mergeCell ref="H4:L4"/>
    <mergeCell ref="M4:Q4"/>
    <mergeCell ref="U4:W4"/>
    <mergeCell ref="Y4:AA4"/>
    <mergeCell ref="A1:AE1"/>
    <mergeCell ref="C2:F2"/>
    <mergeCell ref="G2:Z2"/>
    <mergeCell ref="AA2:AE2"/>
    <mergeCell ref="A3:Q3"/>
    <mergeCell ref="S3:AE3"/>
  </mergeCells>
  <phoneticPr fontId="21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zk79+045</vt:lpstr>
      <vt:lpstr>zk79+079</vt:lpstr>
      <vt:lpstr>zk79+110</vt:lpstr>
      <vt:lpstr>zk79+140</vt:lpstr>
      <vt:lpstr>zk79+148</vt:lpstr>
      <vt:lpstr>zk79+160</vt:lpstr>
      <vt:lpstr>zk79+174</vt:lpstr>
      <vt:lpstr>zk79+187</vt:lpstr>
      <vt:lpstr>zk79+202</vt:lpstr>
      <vt:lpstr>zk79+215</vt:lpstr>
      <vt:lpstr>zk79+225</vt:lpstr>
      <vt:lpstr>zk79+238</vt:lpstr>
      <vt:lpstr>zk79+251</vt:lpstr>
      <vt:lpstr>zk79+277</vt:lpstr>
      <vt:lpstr>zk79+300</vt:lpstr>
      <vt:lpstr>zk79+325</vt:lpstr>
      <vt:lpstr>zk79+360</vt:lpstr>
      <vt:lpstr>zk79+378</vt:lpstr>
      <vt:lpstr>zk79+406</vt:lpstr>
      <vt:lpstr>zk79+433</vt:lpstr>
      <vt:lpstr>zk79+466</vt:lpstr>
      <vt:lpstr>zk79+500</vt:lpstr>
      <vt:lpstr>zk79+540</vt:lpstr>
      <vt:lpstr>zk79+565</vt:lpstr>
      <vt:lpstr>zk79+593</vt:lpstr>
      <vt:lpstr>zk79+631</vt:lpstr>
      <vt:lpstr>zk79+657</vt:lpstr>
      <vt:lpstr>zk79+679</vt:lpstr>
      <vt:lpstr>zk79+719</vt:lpstr>
      <vt:lpstr>zk79+762</vt:lpstr>
      <vt:lpstr>zk79+785</vt:lpstr>
      <vt:lpstr>zk79+819</vt:lpstr>
      <vt:lpstr>zk79+839</vt:lpstr>
      <vt:lpstr>zk79+870</vt:lpstr>
      <vt:lpstr>zk79+896</vt:lpstr>
      <vt:lpstr>zk79+926</vt:lpstr>
      <vt:lpstr>zk79+954</vt:lpstr>
      <vt:lpstr>zk79+991</vt:lpstr>
      <vt:lpstr>zk80+029</vt:lpstr>
      <vt:lpstr>zk80+060</vt:lpstr>
      <vt:lpstr>zk80+096</vt:lpstr>
      <vt:lpstr>zk80+134</vt:lpstr>
      <vt:lpstr>zk80+162</vt:lpstr>
      <vt:lpstr>zk80+200</vt:lpstr>
      <vt:lpstr>zk80+235</vt:lpstr>
      <vt:lpstr>zk80+275</vt:lpstr>
      <vt:lpstr>zk80+313</vt:lpstr>
      <vt:lpstr>zk80+347</vt:lpstr>
      <vt:lpstr>zk80+371</vt:lpstr>
      <vt:lpstr>zk80+406</vt:lpstr>
      <vt:lpstr>zk80+422</vt:lpstr>
      <vt:lpstr>zk80+451</vt:lpstr>
      <vt:lpstr>zk80+481</vt:lpstr>
      <vt:lpstr>zk80+516</vt:lpstr>
      <vt:lpstr>zk80+538</vt:lpstr>
      <vt:lpstr>zk80+565</vt:lpstr>
      <vt:lpstr>zk80+592</vt:lpstr>
      <vt:lpstr>zk80+620</vt:lpstr>
      <vt:lpstr>zk80+635</vt:lpstr>
      <vt:lpstr>zk80+651</vt:lpstr>
      <vt:lpstr>zk80+690</vt:lpstr>
      <vt:lpstr>zk80+720</vt:lpstr>
      <vt:lpstr>zk80+764</vt:lpstr>
      <vt:lpstr>zk80+793</vt:lpstr>
      <vt:lpstr>zk80+826</vt:lpstr>
      <vt:lpstr>zk80+860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2021-10-26T04:23:00Z</dcterms:created>
  <dcterms:modified xsi:type="dcterms:W3CDTF">2023-05-20T17:21:17Z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F704BCFED255449E8E9A1C2A6082BF2C</vt:lpwstr>
  </property>
  <property fmtid="{D5CDD505-2E9C-101B-9397-08002B2CF9AE}" pid="3" name="KSOProductBuildVer">
    <vt:lpwstr>2052-11.1.0.14036</vt:lpwstr>
  </property>
</Properties>
</file>