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_PC\Desktop\"/>
    </mc:Choice>
  </mc:AlternateContent>
  <xr:revisionPtr revIDLastSave="0" documentId="13_ncr:1_{B5667DAA-C1B6-476B-BCE1-7213EB56837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ókuskerék" sheetId="1" r:id="rId1"/>
    <sheet name="Gyorsító sáv" sheetId="2" r:id="rId2"/>
    <sheet name="Adatok" sheetId="3" state="hidden" r:id="rId3"/>
  </sheets>
  <definedNames>
    <definedName name="_xlnm._FilterDatabase" localSheetId="2" hidden="1">Adatok!$G$26:$G$62</definedName>
    <definedName name="Fastlanecashflow">Adatok!$B$91:$B$106</definedName>
    <definedName name="Fastlaneshops">Adatok!$A$91:$A$106</definedName>
    <definedName name="MyDataFastLane">'Gyorsító sáv'!$A$33,'Gyorsító sáv'!$A$53,'Gyorsító sáv'!$A$34:$D$54,'Gyorsító sáv'!$J$33:$L$54</definedName>
    <definedName name="MyDataRatRace">Mókuskerék!$B$7,Mókuskerék!$B$1,Mókuskerék!$I$1,Mókuskerék!$I$4,Mókuskerék!$D$7:$E$9,Mókuskerék!$B$8,Mókuskerék!$B$9,Mókuskerék!$A$11:$B$20,Mókuskerék!$D$11:$E$20,Mókuskerék!$J$18,Mókuskerék!$R$8,Mókuskerék!$Q$12,Mókuskerék!$Q$13,Mókuskerék!$A$36:$A$41,Mókuskerék!$C$36:$C$41,Mókuskerék!$E$36:$E$41,Mókuskerék!$C$43:$C$52,Mókuskerék!$E$43:$E$52,Mókuskerék!$I$53</definedName>
    <definedName name="Részvényárdb">Adatok!$K$16:$K$22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7" i="3" l="1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3" i="2"/>
  <c r="D91" i="3"/>
  <c r="H80" i="3"/>
  <c r="H57" i="3"/>
  <c r="G57" i="3" s="1"/>
  <c r="G49" i="1"/>
  <c r="G50" i="1"/>
  <c r="A43" i="1"/>
  <c r="A44" i="1"/>
  <c r="G44" i="1" s="1"/>
  <c r="A45" i="1"/>
  <c r="G45" i="1" s="1"/>
  <c r="A46" i="1"/>
  <c r="G46" i="1" s="1"/>
  <c r="A47" i="1"/>
  <c r="G47" i="1" s="1"/>
  <c r="A48" i="1"/>
  <c r="G48" i="1" s="1"/>
  <c r="A49" i="1"/>
  <c r="A50" i="1"/>
  <c r="A51" i="1"/>
  <c r="G51" i="1" s="1"/>
  <c r="A52" i="1"/>
  <c r="G52" i="1" s="1"/>
  <c r="I45" i="3"/>
  <c r="J45" i="3"/>
  <c r="K45" i="3"/>
  <c r="L45" i="3"/>
  <c r="M45" i="3"/>
  <c r="N45" i="3"/>
  <c r="O45" i="3"/>
  <c r="P45" i="3"/>
  <c r="H26" i="3"/>
  <c r="E34" i="1"/>
  <c r="J20" i="1"/>
  <c r="D6" i="1"/>
  <c r="K38" i="1"/>
  <c r="K37" i="1"/>
  <c r="K36" i="1"/>
  <c r="K35" i="1"/>
  <c r="K34" i="1"/>
  <c r="K44" i="1"/>
  <c r="K49" i="1"/>
  <c r="K52" i="1"/>
  <c r="K51" i="1"/>
  <c r="K50" i="1"/>
  <c r="K48" i="1"/>
  <c r="K47" i="1"/>
  <c r="K46" i="1"/>
  <c r="K45" i="1"/>
  <c r="K43" i="1"/>
  <c r="D28" i="1"/>
  <c r="D27" i="1"/>
  <c r="D26" i="1"/>
  <c r="D25" i="1"/>
  <c r="D24" i="1"/>
  <c r="D23" i="1"/>
  <c r="D22" i="1"/>
  <c r="D30" i="1"/>
  <c r="H58" i="3" l="1"/>
  <c r="H27" i="3"/>
  <c r="G27" i="3" s="1"/>
  <c r="H81" i="3"/>
  <c r="H82" i="3" s="1"/>
  <c r="G80" i="3"/>
  <c r="G26" i="3"/>
  <c r="H28" i="3"/>
  <c r="K8" i="1"/>
  <c r="J10" i="2" s="1"/>
  <c r="H4" i="2"/>
  <c r="H1" i="2"/>
  <c r="G43" i="1"/>
  <c r="D31" i="1"/>
  <c r="D29" i="1"/>
  <c r="S13" i="1"/>
  <c r="R13" i="1"/>
  <c r="S12" i="1"/>
  <c r="R12" i="1"/>
  <c r="K39" i="1" s="1"/>
  <c r="K14" i="1"/>
  <c r="G81" i="3" l="1"/>
  <c r="H83" i="3"/>
  <c r="H84" i="3" s="1"/>
  <c r="I26" i="3"/>
  <c r="I57" i="3"/>
  <c r="I80" i="3"/>
  <c r="H59" i="3"/>
  <c r="G58" i="3"/>
  <c r="H29" i="3"/>
  <c r="G29" i="3" s="1"/>
  <c r="G28" i="3"/>
  <c r="K23" i="1"/>
  <c r="K26" i="1" s="1"/>
  <c r="J12" i="2"/>
  <c r="G59" i="3" l="1"/>
  <c r="H60" i="3"/>
  <c r="G60" i="3" s="1"/>
  <c r="H85" i="3"/>
  <c r="G83" i="3"/>
  <c r="G82" i="3"/>
  <c r="H30" i="3"/>
  <c r="J17" i="2"/>
  <c r="H61" i="3" l="1"/>
  <c r="H86" i="3"/>
  <c r="H87" i="3" s="1"/>
  <c r="H31" i="3"/>
  <c r="G31" i="3" s="1"/>
  <c r="G30" i="3"/>
  <c r="J23" i="2"/>
  <c r="J29" i="2"/>
  <c r="H62" i="3" l="1"/>
  <c r="G62" i="3" s="1"/>
  <c r="G61" i="3"/>
  <c r="H88" i="3"/>
  <c r="H89" i="3" s="1"/>
  <c r="G85" i="3"/>
  <c r="G86" i="3"/>
  <c r="G84" i="3"/>
  <c r="H32" i="3"/>
  <c r="H90" i="3" l="1"/>
  <c r="H91" i="3" s="1"/>
  <c r="H92" i="3" s="1"/>
  <c r="H93" i="3" s="1"/>
  <c r="H94" i="3" s="1"/>
  <c r="H63" i="3"/>
  <c r="G63" i="3" s="1"/>
  <c r="G87" i="3"/>
  <c r="H33" i="3"/>
  <c r="G33" i="3" s="1"/>
  <c r="G32" i="3"/>
  <c r="H95" i="3" l="1"/>
  <c r="H96" i="3" s="1"/>
  <c r="H64" i="3"/>
  <c r="G64" i="3" s="1"/>
  <c r="H97" i="3"/>
  <c r="I78" i="3" s="1"/>
  <c r="G88" i="3"/>
  <c r="H34" i="3"/>
  <c r="G34" i="3" s="1"/>
  <c r="H65" i="3" l="1"/>
  <c r="G65" i="3" s="1"/>
  <c r="G89" i="3"/>
  <c r="H35" i="3"/>
  <c r="H66" i="3" l="1"/>
  <c r="G90" i="3"/>
  <c r="H36" i="3"/>
  <c r="G36" i="3" s="1"/>
  <c r="G35" i="3"/>
  <c r="H67" i="3" l="1"/>
  <c r="G66" i="3"/>
  <c r="G91" i="3"/>
  <c r="H37" i="3"/>
  <c r="H68" i="3" l="1"/>
  <c r="G67" i="3"/>
  <c r="G92" i="3"/>
  <c r="H38" i="3"/>
  <c r="G38" i="3" s="1"/>
  <c r="G37" i="3"/>
  <c r="H69" i="3" l="1"/>
  <c r="G68" i="3"/>
  <c r="G93" i="3"/>
  <c r="H39" i="3"/>
  <c r="H40" i="3" s="1"/>
  <c r="H70" i="3" l="1"/>
  <c r="G69" i="3"/>
  <c r="G94" i="3"/>
  <c r="G40" i="3"/>
  <c r="H41" i="3"/>
  <c r="G39" i="3"/>
  <c r="H71" i="3" l="1"/>
  <c r="G70" i="3"/>
  <c r="G95" i="3"/>
  <c r="G41" i="3"/>
  <c r="H42" i="3"/>
  <c r="H72" i="3" l="1"/>
  <c r="G71" i="3"/>
  <c r="G96" i="3"/>
  <c r="G42" i="3"/>
  <c r="H43" i="3"/>
  <c r="I24" i="3" s="1"/>
  <c r="H73" i="3" l="1"/>
  <c r="G72" i="3"/>
  <c r="G97" i="3"/>
  <c r="G43" i="3"/>
  <c r="H74" i="3" l="1"/>
  <c r="G73" i="3"/>
  <c r="G74" i="3" l="1"/>
  <c r="I55" i="3"/>
  <c r="E91" i="3"/>
</calcChain>
</file>

<file path=xl/sharedStrings.xml><?xml version="1.0" encoding="utf-8"?>
<sst xmlns="http://schemas.openxmlformats.org/spreadsheetml/2006/main" count="266" uniqueCount="165">
  <si>
    <t>Foglalkozás</t>
  </si>
  <si>
    <t>A játékos neve</t>
  </si>
  <si>
    <t>Eredménykimutatás</t>
  </si>
  <si>
    <t>(A tőled jobbra ülő személy)</t>
  </si>
  <si>
    <t>Cash Flow összege:</t>
  </si>
  <si>
    <t>Forrása:</t>
  </si>
  <si>
    <t>Fizetés</t>
  </si>
  <si>
    <t>Kamat/Osztalék</t>
  </si>
  <si>
    <t>Ingatlan/Üzlet</t>
  </si>
  <si>
    <t>Bevételek ($/hó)</t>
  </si>
  <si>
    <t>Kiadások ($/hó)</t>
  </si>
  <si>
    <t>Adók:</t>
  </si>
  <si>
    <t>Saját lakás jelzálog törlesztése:</t>
  </si>
  <si>
    <t>Tandíjhitel törlesztése</t>
  </si>
  <si>
    <t>Autóhitel törlesztése</t>
  </si>
  <si>
    <t>Hitelkártya tartozás törlesztése</t>
  </si>
  <si>
    <t>Áruhitel törlesztése</t>
  </si>
  <si>
    <t>Egyéb költségek:</t>
  </si>
  <si>
    <t>Kiadás gyermekekre:</t>
  </si>
  <si>
    <t>Bakkölcsön kamata:</t>
  </si>
  <si>
    <t>Források ($)</t>
  </si>
  <si>
    <t>Ingatlan/Üzlet:</t>
  </si>
  <si>
    <t>(A Kamat/Osztalék + Ingatlan/Üzlet sorokbol származó készpénzáramlások)</t>
  </si>
  <si>
    <t xml:space="preserve">Gyermekek száma: </t>
  </si>
  <si>
    <t>(Kezdéskor 0, később max. 3)</t>
  </si>
  <si>
    <t>Kiadás gyermekenként:</t>
  </si>
  <si>
    <t>$/hó</t>
  </si>
  <si>
    <t>(Összes bevétel - Összes kiadás=Cashflow)</t>
  </si>
  <si>
    <t>Jelzálog/Tartozás:</t>
  </si>
  <si>
    <t>Bankkölcsön:</t>
  </si>
  <si>
    <t>Könyvvizsgáló</t>
  </si>
  <si>
    <t>Hitelkártya tartozás:</t>
  </si>
  <si>
    <t>Áruhitel:</t>
  </si>
  <si>
    <t>Autóhitel:</t>
  </si>
  <si>
    <t>Tandíjhitel:</t>
  </si>
  <si>
    <t>Saját lakás jelzálog:</t>
  </si>
  <si>
    <t>Összes Passzív Jövedelem =</t>
  </si>
  <si>
    <t>Összes kiadás =</t>
  </si>
  <si>
    <t>Havi készpénzáramlás =</t>
  </si>
  <si>
    <r>
      <rPr>
        <b/>
        <sz val="12"/>
        <color theme="1"/>
        <rFont val="Times New Roman"/>
        <family val="1"/>
        <charset val="238"/>
      </rPr>
      <t>Cél</t>
    </r>
    <r>
      <rPr>
        <sz val="12"/>
        <color theme="1"/>
        <rFont val="Times New Roman"/>
        <family val="1"/>
        <charset val="238"/>
      </rPr>
      <t>: átjutni a Mókuskerékből a gyorsító Sávra Passzív Jövedelmeidnek az Összes Kiadásod fölé növelésével</t>
    </r>
  </si>
  <si>
    <t>Fogadd elismerésünket!</t>
  </si>
  <si>
    <t>Sikerült kiszabadulnod a Mókuskerékből!</t>
  </si>
  <si>
    <t>Új céljaid:</t>
  </si>
  <si>
    <t>Akkor nyered meg a játékot,</t>
  </si>
  <si>
    <t>VAGY</t>
  </si>
  <si>
    <t>Azért kapod a passzív jövedelmed 100x-osát, mert bizonyságát adtad a pénzügyi intelligenciádnak! A Mókuskerékben történt befektetéseid sikeresek voltak. Ott szerzett bevételeidet újra befektetted kiváló eredménnyel, így passzív jövedelmed a százszorosára növekedett!</t>
  </si>
  <si>
    <t>Induló havi CF számítása</t>
  </si>
  <si>
    <t>Jutalom szorzó:</t>
  </si>
  <si>
    <t>Induló havi CASHFLOW DAY bevételed: =</t>
  </si>
  <si>
    <t>(1000-re kerekítve): =</t>
  </si>
  <si>
    <t>Mennyi pénz kell a győzelemhez?</t>
  </si>
  <si>
    <t>A mókuskerékben elért passzív jövedelmed</t>
  </si>
  <si>
    <t>A győzelemhez szükséges új havi CASHFLOW DAY bevételi célod: =</t>
  </si>
  <si>
    <t>Kimutatás havi CASHFLOW bevételeid alakulásáról:</t>
  </si>
  <si>
    <t>Új havi CASHFLOW Day bevétel = az induló havi Cashflow Day bevétel + a Gyorsító Sávon vásárolt újabb és újabb üzletekből származó havi többlet készpénzáramlások.</t>
  </si>
  <si>
    <t>Üzleti lehetőség:</t>
  </si>
  <si>
    <t>Havi többlet készpénzáramlás:</t>
  </si>
  <si>
    <r>
      <t xml:space="preserve">1. </t>
    </r>
    <r>
      <rPr>
        <b/>
        <sz val="12"/>
        <color theme="1"/>
        <rFont val="Times New Roman"/>
        <family val="1"/>
        <charset val="238"/>
      </rPr>
      <t>Álmod</t>
    </r>
    <r>
      <rPr>
        <sz val="12"/>
        <color theme="1"/>
        <rFont val="Times New Roman"/>
        <family val="1"/>
        <charset val="238"/>
      </rPr>
      <t xml:space="preserve"> megvalósítása azáltal, hogy a Gyorsító Sávnak a játék kezdetekor megjelölt álommezőjén landolva megvásárolod azt.</t>
    </r>
  </si>
  <si>
    <r>
      <t xml:space="preserve">2. Induló Havi </t>
    </r>
    <r>
      <rPr>
        <b/>
        <sz val="12"/>
        <color theme="1"/>
        <rFont val="Times New Roman"/>
        <family val="1"/>
        <charset val="238"/>
      </rPr>
      <t>Készpénzáramlásod</t>
    </r>
    <r>
      <rPr>
        <sz val="12"/>
        <color theme="1"/>
        <rFont val="Times New Roman"/>
        <family val="1"/>
        <charset val="238"/>
      </rPr>
      <t xml:space="preserve"> növelése a Gyorsító Sávon adodó üzleti lehetőségek kihasználásával.</t>
    </r>
  </si>
  <si>
    <r>
      <t xml:space="preserve">1. ha te vásárolod meg először az </t>
    </r>
    <r>
      <rPr>
        <b/>
        <sz val="12"/>
        <color theme="1"/>
        <rFont val="Times New Roman"/>
        <family val="1"/>
        <charset val="238"/>
      </rPr>
      <t>álmodat</t>
    </r>
    <r>
      <rPr>
        <sz val="12"/>
        <color theme="1"/>
        <rFont val="Times New Roman"/>
        <family val="1"/>
        <charset val="238"/>
      </rPr>
      <t>,</t>
    </r>
  </si>
  <si>
    <r>
      <t xml:space="preserve">2. ha te éred el először a </t>
    </r>
    <r>
      <rPr>
        <b/>
        <sz val="12"/>
        <color theme="1"/>
        <rFont val="Times New Roman"/>
        <family val="1"/>
        <charset val="238"/>
      </rPr>
      <t>plusz</t>
    </r>
    <r>
      <rPr>
        <sz val="12"/>
        <color theme="1"/>
        <rFont val="Times New Roman"/>
        <family val="1"/>
        <charset val="238"/>
      </rPr>
      <t xml:space="preserve"> </t>
    </r>
    <r>
      <rPr>
        <b/>
        <sz val="12"/>
        <color theme="1"/>
        <rFont val="Times New Roman"/>
        <family val="1"/>
        <charset val="238"/>
      </rPr>
      <t>50 000$</t>
    </r>
    <r>
      <rPr>
        <sz val="12"/>
        <color theme="1"/>
        <rFont val="Times New Roman"/>
        <family val="1"/>
        <charset val="238"/>
      </rPr>
      <t xml:space="preserve"> havi többlet készpénzáramlást a Gyorsító sáv üzleteinek megvárlása révén.</t>
    </r>
  </si>
  <si>
    <t>Összes Bevétel =</t>
  </si>
  <si>
    <t>Mókuskerék</t>
  </si>
  <si>
    <t>Adatok</t>
  </si>
  <si>
    <t>1.</t>
  </si>
  <si>
    <t>2.</t>
  </si>
  <si>
    <t>3.</t>
  </si>
  <si>
    <t>Adók</t>
  </si>
  <si>
    <t>Lakás jelzálog törlesztése</t>
  </si>
  <si>
    <t>Autóhitel</t>
  </si>
  <si>
    <t>Kiadás gyermekenként</t>
  </si>
  <si>
    <t>Havi készpénzáramlás</t>
  </si>
  <si>
    <t>Megtakarítás</t>
  </si>
  <si>
    <t>Lakás jelzálog:</t>
  </si>
  <si>
    <t>Tandíjhitel</t>
  </si>
  <si>
    <t>Hitelkártya tartozás</t>
  </si>
  <si>
    <t>Áruhitel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</si>
  <si>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</si>
  <si>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</si>
  <si>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</si>
  <si>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</si>
  <si>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</si>
  <si>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</si>
  <si>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</si>
  <si>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</si>
  <si>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</si>
  <si>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Üzleti menedzser</t>
  </si>
  <si>
    <t>Mérnök</t>
  </si>
  <si>
    <t>Ügyvéd</t>
  </si>
  <si>
    <t>Ápoló</t>
  </si>
  <si>
    <t>Titkár</t>
  </si>
  <si>
    <t>Tanár</t>
  </si>
  <si>
    <t>Részvények</t>
  </si>
  <si>
    <t>GRO4US</t>
  </si>
  <si>
    <t xml:space="preserve">MYT4U </t>
  </si>
  <si>
    <t xml:space="preserve">OK4U </t>
  </si>
  <si>
    <t xml:space="preserve">ON2U </t>
  </si>
  <si>
    <t xml:space="preserve">2BIG </t>
  </si>
  <si>
    <t>Havi CASHFLOW Day bevétel =</t>
  </si>
  <si>
    <t>x</t>
  </si>
  <si>
    <t>A gyorsító sávon összegyűjtendő készpénzáramlás:                                    +</t>
  </si>
  <si>
    <t>Számok</t>
  </si>
  <si>
    <t xml:space="preserve"> </t>
  </si>
  <si>
    <t>Kézben tartott összeg</t>
  </si>
  <si>
    <t>Hajóhitel törlesztése</t>
  </si>
  <si>
    <t>Különleges esetek/kacatok</t>
  </si>
  <si>
    <t>Különleges esetek</t>
  </si>
  <si>
    <t>Hajó</t>
  </si>
  <si>
    <t>Nagy TV</t>
  </si>
  <si>
    <t>Tartozás</t>
  </si>
  <si>
    <t>Ingatlanok</t>
  </si>
  <si>
    <t>Ár</t>
  </si>
  <si>
    <t>Letét, jelzálog</t>
  </si>
  <si>
    <t>Előleg</t>
  </si>
  <si>
    <t>Cashflow</t>
  </si>
  <si>
    <t>Eszközök ($)</t>
  </si>
  <si>
    <t>Megtakarítás:</t>
  </si>
  <si>
    <t>Részvények:</t>
  </si>
  <si>
    <t>Részvények száma</t>
  </si>
  <si>
    <t>Ár/db:</t>
  </si>
  <si>
    <t>Előleg:</t>
  </si>
  <si>
    <t>Vételár:</t>
  </si>
  <si>
    <t>Számláló</t>
  </si>
  <si>
    <t>NÉGYLAKÁSOS HÁZ</t>
  </si>
  <si>
    <t xml:space="preserve">NYOLCLAKÁSOS HÁZ </t>
  </si>
  <si>
    <t xml:space="preserve">KÉTLAKÁSOS HÁZ </t>
  </si>
  <si>
    <t>AUTOMATA ÜZLET</t>
  </si>
  <si>
    <t>CSENDESTÁRS</t>
  </si>
  <si>
    <t>8 HA FÖLDTERÜLET</t>
  </si>
  <si>
    <t>APARTMAN KOMPLEXUM</t>
  </si>
  <si>
    <t>AUTÓMOSÓ</t>
  </si>
  <si>
    <t>PIZZA FRANCHISE</t>
  </si>
  <si>
    <t>4 HEKTÁROS MEGMŰVELETLEN TERÜLET</t>
  </si>
  <si>
    <t>RITKA ARANY ÉRME</t>
  </si>
  <si>
    <t>KIS PANZIÓ</t>
  </si>
  <si>
    <t>KIS BEVÁSÁRLÓ CSARNOK</t>
  </si>
  <si>
    <t>CSALÁDI HÁZ 3H/2F</t>
  </si>
  <si>
    <t>APARTMAN HÁZ</t>
  </si>
  <si>
    <t>NAGYSZERŰ LEHETŐSÉG 3H/2F</t>
  </si>
  <si>
    <t>GARZONLAKÁS 2H/1F</t>
  </si>
  <si>
    <t>INDíTS EL EGY RÉSZIDŐS SAJÁT KISVÁLLALKOZÁST</t>
  </si>
  <si>
    <t>Ár/db</t>
  </si>
  <si>
    <t>Gyorsítósáv</t>
  </si>
  <si>
    <t>Csirke franchise</t>
  </si>
  <si>
    <t>Szépségszalonok</t>
  </si>
  <si>
    <t>Autójavító műhely</t>
  </si>
  <si>
    <t>Orosz olajüzlet</t>
  </si>
  <si>
    <t>Pólóüzletek</t>
  </si>
  <si>
    <t>Apartmanház</t>
  </si>
  <si>
    <t>Pizza franchise</t>
  </si>
  <si>
    <t>Mini raktár</t>
  </si>
  <si>
    <t>Ruhatisztító szalon</t>
  </si>
  <si>
    <t>TV shop</t>
  </si>
  <si>
    <t>Családi vendéglő-lánc</t>
  </si>
  <si>
    <t>Burger franchise</t>
  </si>
  <si>
    <t>Gyorsétkeztető központok</t>
  </si>
  <si>
    <t>Fűtés és légkondicionálás szolgáltatás</t>
  </si>
  <si>
    <t>Teherautó alkatrészgyár</t>
  </si>
  <si>
    <t>Aranybánya</t>
  </si>
  <si>
    <t>Portás</t>
  </si>
  <si>
    <t>Teherautó vezető</t>
  </si>
  <si>
    <t>Rendőrtiszt</t>
  </si>
  <si>
    <t>Műszerész</t>
  </si>
  <si>
    <t>Pilóta</t>
  </si>
  <si>
    <t>Orvos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</si>
</sst>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Ft&quot;_-;\-* #,##0.00\ &quot;Ft&quot;_-;_-* &quot;-&quot;??\ &quot;Ft&quot;_-;_-@_-"/>
    <numFmt numFmtId="164" formatCode="_-[$$-409]* #,##0_ ;_-[$$-409]* \-#,##0\ ;_-[$$-409]* &quot;-&quot;??_ ;_-@_ "/>
    <numFmt numFmtId="165" formatCode="_ * #,##0_ \ [$$-C0C]_ ;_ * \-#,##0\ \ [$$-C0C]_ ;_ * &quot;-&quot;??_ \ [$$-C0C]_ ;_ @_ "/>
    <numFmt numFmtId="166" formatCode="_ * #,##0_ \ [$$-C0C]_ ;_ * \-#,##0\ \ [$$-C0C]_ ;_ * &quot;-&quot;_ \ [$$-C0C]_ ;_ @_ 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0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4"/>
      <color theme="0"/>
      <name val="Times New Roman"/>
      <family val="1"/>
      <charset val="238"/>
    </font>
    <font>
      <sz val="16"/>
      <color theme="0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2" xfId="0" applyFont="1" applyBorder="1"/>
    <xf numFmtId="0" fontId="4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7" fillId="0" borderId="0" xfId="0" applyFont="1"/>
    <xf numFmtId="0" fontId="5" fillId="2" borderId="0" xfId="0" applyFont="1" applyFill="1" applyAlignment="1">
      <alignment horizontal="center"/>
    </xf>
    <xf numFmtId="0" fontId="3" fillId="2" borderId="6" xfId="0" applyFont="1" applyFill="1" applyBorder="1"/>
    <xf numFmtId="0" fontId="5" fillId="2" borderId="6" xfId="0" applyFont="1" applyFill="1" applyBorder="1"/>
    <xf numFmtId="0" fontId="3" fillId="2" borderId="9" xfId="0" applyFont="1" applyFill="1" applyBorder="1"/>
    <xf numFmtId="0" fontId="1" fillId="0" borderId="0" xfId="0" applyFont="1" applyAlignment="1">
      <alignment horizontal="right"/>
    </xf>
    <xf numFmtId="0" fontId="1" fillId="5" borderId="2" xfId="0" applyFont="1" applyFill="1" applyBorder="1"/>
    <xf numFmtId="0" fontId="1" fillId="0" borderId="4" xfId="0" applyFont="1" applyBorder="1" applyAlignment="1">
      <alignment horizontal="left"/>
    </xf>
    <xf numFmtId="0" fontId="1" fillId="5" borderId="11" xfId="0" applyFont="1" applyFill="1" applyBorder="1"/>
    <xf numFmtId="0" fontId="1" fillId="3" borderId="2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" fillId="3" borderId="12" xfId="0" applyFont="1" applyFill="1" applyBorder="1" applyAlignment="1" applyProtection="1">
      <alignment horizontal="center"/>
      <protection locked="0"/>
    </xf>
    <xf numFmtId="165" fontId="1" fillId="3" borderId="0" xfId="0" applyNumberFormat="1" applyFont="1" applyFill="1" applyProtection="1">
      <protection locked="0"/>
    </xf>
    <xf numFmtId="0" fontId="1" fillId="5" borderId="2" xfId="0" applyFont="1" applyFill="1" applyBorder="1" applyAlignment="1">
      <alignment horizontal="center"/>
    </xf>
    <xf numFmtId="165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7" borderId="13" xfId="0" applyFill="1" applyBorder="1"/>
    <xf numFmtId="0" fontId="0" fillId="7" borderId="14" xfId="0" applyFill="1" applyBorder="1"/>
    <xf numFmtId="0" fontId="0" fillId="6" borderId="14" xfId="0" applyFill="1" applyBorder="1"/>
    <xf numFmtId="0" fontId="0" fillId="7" borderId="0" xfId="0" applyFill="1"/>
    <xf numFmtId="0" fontId="2" fillId="0" borderId="0" xfId="0" applyFont="1" applyAlignment="1">
      <alignment horizontal="center"/>
    </xf>
    <xf numFmtId="0" fontId="5" fillId="2" borderId="8" xfId="0" applyFont="1" applyFill="1" applyBorder="1"/>
    <xf numFmtId="165" fontId="1" fillId="0" borderId="7" xfId="0" applyNumberFormat="1" applyFont="1" applyBorder="1"/>
    <xf numFmtId="165" fontId="1" fillId="3" borderId="7" xfId="1" applyNumberFormat="1" applyFont="1" applyFill="1" applyBorder="1" applyProtection="1">
      <protection locked="0"/>
    </xf>
    <xf numFmtId="166" fontId="0" fillId="0" borderId="0" xfId="0" applyNumberFormat="1"/>
    <xf numFmtId="165" fontId="1" fillId="0" borderId="0" xfId="0" applyNumberFormat="1" applyFont="1"/>
    <xf numFmtId="0" fontId="0" fillId="7" borderId="15" xfId="0" applyFill="1" applyBorder="1"/>
    <xf numFmtId="0" fontId="0" fillId="8" borderId="0" xfId="0" applyFill="1"/>
    <xf numFmtId="0" fontId="0" fillId="9" borderId="0" xfId="0" applyFill="1"/>
    <xf numFmtId="0" fontId="0" fillId="6" borderId="13" xfId="0" applyFill="1" applyBorder="1"/>
    <xf numFmtId="0" fontId="0" fillId="6" borderId="0" xfId="0" applyFill="1"/>
    <xf numFmtId="0" fontId="0" fillId="0" borderId="15" xfId="0" applyBorder="1"/>
    <xf numFmtId="0" fontId="0" fillId="6" borderId="15" xfId="0" applyFill="1" applyBorder="1"/>
    <xf numFmtId="165" fontId="1" fillId="0" borderId="2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5" fontId="1" fillId="3" borderId="2" xfId="0" applyNumberFormat="1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165" fontId="1" fillId="3" borderId="1" xfId="0" applyNumberFormat="1" applyFont="1" applyFill="1" applyBorder="1" applyAlignment="1" applyProtection="1">
      <alignment horizontal="center"/>
      <protection locked="0"/>
    </xf>
    <xf numFmtId="165" fontId="1" fillId="3" borderId="7" xfId="0" applyNumberFormat="1" applyFont="1" applyFill="1" applyBorder="1" applyAlignment="1" applyProtection="1">
      <alignment horizontal="center"/>
      <protection locked="0"/>
    </xf>
    <xf numFmtId="165" fontId="1" fillId="0" borderId="1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0" fontId="1" fillId="0" borderId="8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5" fillId="2" borderId="8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5" fontId="1" fillId="0" borderId="7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10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2" borderId="8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indent="1"/>
    </xf>
    <xf numFmtId="0" fontId="1" fillId="0" borderId="3" xfId="0" applyFont="1" applyBorder="1" applyAlignment="1">
      <alignment horizontal="center" wrapText="1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left" vertical="center" wrapText="1"/>
    </xf>
  </cellXfs>
  <cellStyles count="2">
    <cellStyle name="Normál" xfId="0" builtinId="0"/>
    <cellStyle name="Pénznem" xfId="1" builtinId="4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</dxf>
    <dxf>
      <numFmt numFmtId="0" formatCode="General"/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28F83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  <fill>
        <patternFill>
          <bgColor rgb="FF00CC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28F832"/>
      <color rgb="FF00CC00"/>
      <color rgb="FFFF00FF"/>
      <color rgb="FFC0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408F2-EE3B-48F9-AE0F-01A1A0422C25}" name="Adatok" displayName="Adatok" ref="A25:E81" totalsRowShown="0" headerRowDxfId="7" dataDxfId="6" tableBorderDxfId="5">
  <autoFilter ref="A25:E81" xr:uid="{7CF52C0D-9BF4-4C75-B1ED-7D38947321FD}"/>
  <sortState xmlns:xlrd2="http://schemas.microsoft.com/office/spreadsheetml/2017/richdata2" ref="A26:E79">
    <sortCondition ref="B25:B79"/>
  </sortState>
  <tableColumns count="5">
    <tableColumn id="1" xr3:uid="{2EC5621D-F63C-4456-91CC-83DA42C41101}" name="Ingatlanok" dataDxfId="4"/>
    <tableColumn id="2" xr3:uid="{2CF554E5-E7B3-4B48-BA7C-7E4B1176A4FB}" name="Ár" dataDxfId="3"/>
    <tableColumn id="3" xr3:uid="{F235504C-E45E-4B36-B108-763CC03E469E}" name="Letét, jelzálog" dataDxfId="2"/>
    <tableColumn id="4" xr3:uid="{721C26CE-89E3-4A08-9FF1-EF2B5BA0EAF4}" name="Előleg" dataDxfId="1"/>
    <tableColumn id="5" xr3:uid="{1200ACB0-83A1-4C96-A358-01DACACB59E8}" name="Cashflow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3"/>
  <sheetViews>
    <sheetView showGridLines="0" tabSelected="1" zoomScale="90" zoomScaleNormal="90" workbookViewId="0">
      <selection activeCell="B1" sqref="B1:D1"/>
    </sheetView>
  </sheetViews>
  <sheetFormatPr defaultRowHeight="15.75" x14ac:dyDescent="0.25"/>
  <cols>
    <col min="1" max="1" width="15.28515625" style="1" customWidth="1"/>
    <col min="2" max="2" width="12.140625" style="1" customWidth="1"/>
    <col min="3" max="3" width="13.42578125" style="1" customWidth="1"/>
    <col min="4" max="4" width="12.85546875" style="1" customWidth="1"/>
    <col min="5" max="5" width="15.85546875" style="1" customWidth="1"/>
    <col min="6" max="6" width="4.42578125" style="1" customWidth="1"/>
    <col min="7" max="8" width="9.140625" style="1"/>
    <col min="9" max="9" width="9.28515625" style="1" customWidth="1"/>
    <col min="10" max="12" width="9.140625" style="1"/>
    <col min="13" max="13" width="8.7109375" style="1" customWidth="1"/>
    <col min="14" max="15" width="9.140625" style="1"/>
    <col min="16" max="16" width="9.140625" style="1" customWidth="1"/>
    <col min="17" max="17" width="27.7109375" style="1" customWidth="1"/>
    <col min="18" max="18" width="14" style="1" customWidth="1"/>
    <col min="19" max="19" width="12.42578125" style="1" customWidth="1"/>
    <col min="20" max="16384" width="9.140625" style="1"/>
  </cols>
  <sheetData>
    <row r="1" spans="1:19" ht="18.75" x14ac:dyDescent="0.3">
      <c r="A1" s="23" t="s">
        <v>0</v>
      </c>
      <c r="B1" s="96" t="s">
        <v>102</v>
      </c>
      <c r="C1" s="96"/>
      <c r="D1" s="96"/>
      <c r="G1" s="94" t="s">
        <v>1</v>
      </c>
      <c r="H1" s="94"/>
      <c r="I1" s="96" t="s">
        <v>102</v>
      </c>
      <c r="J1" s="96"/>
      <c r="K1" s="96"/>
    </row>
    <row r="2" spans="1:19" x14ac:dyDescent="0.25">
      <c r="A2" s="99" t="s">
        <v>39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9" ht="20.25" x14ac:dyDescent="0.3">
      <c r="A3" s="22" t="s">
        <v>2</v>
      </c>
      <c r="B3" s="2"/>
    </row>
    <row r="4" spans="1:19" ht="18.75" x14ac:dyDescent="0.3">
      <c r="A4" s="88" t="s">
        <v>9</v>
      </c>
      <c r="B4" s="89"/>
      <c r="C4" s="89"/>
      <c r="D4" s="89"/>
      <c r="E4" s="90"/>
      <c r="G4" s="94" t="s">
        <v>30</v>
      </c>
      <c r="H4" s="94"/>
      <c r="I4" s="96" t="s">
        <v>102</v>
      </c>
      <c r="J4" s="96"/>
      <c r="K4" s="96"/>
    </row>
    <row r="5" spans="1:19" x14ac:dyDescent="0.25">
      <c r="A5" s="10"/>
      <c r="B5" s="5" t="s">
        <v>5</v>
      </c>
      <c r="C5" s="5"/>
      <c r="D5" s="5" t="s">
        <v>4</v>
      </c>
      <c r="E5" s="12"/>
      <c r="I5" s="1" t="s">
        <v>3</v>
      </c>
    </row>
    <row r="6" spans="1:19" x14ac:dyDescent="0.25">
      <c r="A6" s="10" t="s">
        <v>6</v>
      </c>
      <c r="B6" s="5"/>
      <c r="C6" s="6"/>
      <c r="D6" s="71">
        <f>IFERROR(VLOOKUP(B1,Adatok!B1:C13,2,FALSE), 0)</f>
        <v>0</v>
      </c>
      <c r="E6" s="72"/>
    </row>
    <row r="7" spans="1:19" x14ac:dyDescent="0.25">
      <c r="A7" s="18" t="s">
        <v>7</v>
      </c>
      <c r="B7" s="31" t="s">
        <v>102</v>
      </c>
      <c r="C7" s="6"/>
      <c r="D7" s="79" t="s">
        <v>102</v>
      </c>
      <c r="E7" s="80"/>
    </row>
    <row r="8" spans="1:19" ht="18.75" x14ac:dyDescent="0.3">
      <c r="A8" s="18"/>
      <c r="B8" s="31" t="s">
        <v>102</v>
      </c>
      <c r="C8" s="6"/>
      <c r="D8" s="79" t="s">
        <v>102</v>
      </c>
      <c r="E8" s="80"/>
      <c r="G8" s="98" t="s">
        <v>36</v>
      </c>
      <c r="H8" s="98"/>
      <c r="I8" s="98"/>
      <c r="J8" s="98"/>
      <c r="K8" s="68">
        <f>SUM(D7:E20)</f>
        <v>0</v>
      </c>
      <c r="L8" s="68"/>
      <c r="M8" s="68"/>
      <c r="Q8" s="2" t="s">
        <v>103</v>
      </c>
      <c r="R8" s="40"/>
    </row>
    <row r="9" spans="1:19" ht="15" customHeight="1" x14ac:dyDescent="0.25">
      <c r="A9" s="18"/>
      <c r="B9" s="31" t="s">
        <v>102</v>
      </c>
      <c r="C9" s="6"/>
      <c r="D9" s="79" t="s">
        <v>102</v>
      </c>
      <c r="E9" s="80"/>
      <c r="G9" s="97" t="s">
        <v>22</v>
      </c>
      <c r="H9" s="97"/>
      <c r="I9" s="97"/>
      <c r="J9" s="97"/>
    </row>
    <row r="10" spans="1:19" x14ac:dyDescent="0.25">
      <c r="A10" s="18" t="s">
        <v>8</v>
      </c>
      <c r="B10" s="6"/>
      <c r="C10" s="6"/>
      <c r="D10" s="92"/>
      <c r="E10" s="93"/>
      <c r="G10" s="97"/>
      <c r="H10" s="97"/>
      <c r="I10" s="97"/>
      <c r="J10" s="97"/>
    </row>
    <row r="11" spans="1:19" x14ac:dyDescent="0.25">
      <c r="A11" s="77"/>
      <c r="B11" s="78"/>
      <c r="C11" s="6"/>
      <c r="D11" s="79"/>
      <c r="E11" s="80"/>
      <c r="Q11" s="38" t="s">
        <v>105</v>
      </c>
      <c r="R11" s="36" t="s">
        <v>109</v>
      </c>
      <c r="S11" s="36" t="s">
        <v>26</v>
      </c>
    </row>
    <row r="12" spans="1:19" x14ac:dyDescent="0.25">
      <c r="A12" s="77"/>
      <c r="B12" s="78"/>
      <c r="C12" s="6"/>
      <c r="D12" s="79"/>
      <c r="E12" s="80"/>
      <c r="Q12" s="39" t="s">
        <v>102</v>
      </c>
      <c r="R12" s="37">
        <f>_xlfn.IFNA(VLOOKUP(Q12,Adatok!G18:I20,2,FALSE),0)</f>
        <v>0</v>
      </c>
      <c r="S12" s="37">
        <f>_xlfn.IFNA(VLOOKUP(Q12,Adatok!G18:I20,3,FALSE),0)</f>
        <v>0</v>
      </c>
    </row>
    <row r="13" spans="1:19" x14ac:dyDescent="0.25">
      <c r="A13" s="77"/>
      <c r="B13" s="78"/>
      <c r="C13" s="6"/>
      <c r="D13" s="79"/>
      <c r="E13" s="80"/>
      <c r="Q13" s="39" t="s">
        <v>102</v>
      </c>
      <c r="R13" s="37">
        <f>_xlfn.IFNA(VLOOKUP(Q13,Adatok!G19:I21,2,FALSE),0)</f>
        <v>0</v>
      </c>
      <c r="S13" s="37">
        <f>_xlfn.IFNA(VLOOKUP(Q13,Adatok!G19:I21,3,FALSE),0)</f>
        <v>0</v>
      </c>
    </row>
    <row r="14" spans="1:19" x14ac:dyDescent="0.25">
      <c r="A14" s="77"/>
      <c r="B14" s="78"/>
      <c r="C14" s="6"/>
      <c r="D14" s="79"/>
      <c r="E14" s="80"/>
      <c r="G14" s="95" t="s">
        <v>61</v>
      </c>
      <c r="H14" s="95"/>
      <c r="I14" s="95"/>
      <c r="J14" s="95"/>
      <c r="K14" s="68">
        <f>SUM(D6:E20)</f>
        <v>0</v>
      </c>
      <c r="L14" s="68"/>
      <c r="M14" s="68"/>
    </row>
    <row r="15" spans="1:19" x14ac:dyDescent="0.25">
      <c r="A15" s="77"/>
      <c r="B15" s="78"/>
      <c r="C15" s="6"/>
      <c r="D15" s="79"/>
      <c r="E15" s="80"/>
    </row>
    <row r="16" spans="1:19" x14ac:dyDescent="0.25">
      <c r="A16" s="77"/>
      <c r="B16" s="78"/>
      <c r="C16" s="6"/>
      <c r="D16" s="79"/>
      <c r="E16" s="80"/>
      <c r="G16" s="5"/>
      <c r="H16" s="5"/>
      <c r="I16" s="5"/>
      <c r="J16" s="5"/>
      <c r="K16" s="5"/>
      <c r="L16" s="5"/>
      <c r="M16" s="5"/>
    </row>
    <row r="17" spans="1:13" x14ac:dyDescent="0.25">
      <c r="A17" s="77"/>
      <c r="B17" s="78"/>
      <c r="C17" s="6"/>
      <c r="D17" s="79"/>
      <c r="E17" s="80"/>
    </row>
    <row r="18" spans="1:13" ht="15" customHeight="1" x14ac:dyDescent="0.25">
      <c r="A18" s="77"/>
      <c r="B18" s="78"/>
      <c r="C18" s="6"/>
      <c r="D18" s="79"/>
      <c r="E18" s="80"/>
      <c r="G18" s="83" t="s">
        <v>23</v>
      </c>
      <c r="H18" s="84"/>
      <c r="I18" s="84"/>
      <c r="J18" s="87" t="s">
        <v>102</v>
      </c>
      <c r="K18" s="87"/>
      <c r="L18" s="14"/>
    </row>
    <row r="19" spans="1:13" x14ac:dyDescent="0.25">
      <c r="A19" s="77"/>
      <c r="B19" s="78"/>
      <c r="C19" s="6"/>
      <c r="D19" s="79"/>
      <c r="E19" s="80"/>
      <c r="G19" s="8"/>
      <c r="H19" s="20" t="s">
        <v>24</v>
      </c>
      <c r="I19" s="19"/>
      <c r="J19" s="3"/>
      <c r="L19" s="9"/>
    </row>
    <row r="20" spans="1:13" x14ac:dyDescent="0.25">
      <c r="A20" s="77"/>
      <c r="B20" s="78"/>
      <c r="C20" s="6"/>
      <c r="D20" s="79"/>
      <c r="E20" s="80"/>
      <c r="G20" s="85" t="s">
        <v>25</v>
      </c>
      <c r="H20" s="86"/>
      <c r="I20" s="86"/>
      <c r="J20" s="3">
        <f>IFERROR(VLOOKUP(B1,Adatok!B1:U13,13,FALSE), 0)</f>
        <v>0</v>
      </c>
      <c r="K20" s="1" t="s">
        <v>26</v>
      </c>
      <c r="L20" s="9"/>
    </row>
    <row r="21" spans="1:13" ht="18.75" x14ac:dyDescent="0.3">
      <c r="A21" s="88" t="s">
        <v>10</v>
      </c>
      <c r="B21" s="89"/>
      <c r="C21" s="89"/>
      <c r="D21" s="89"/>
      <c r="E21" s="90"/>
      <c r="G21" s="21"/>
      <c r="H21" s="4"/>
      <c r="I21" s="4"/>
      <c r="J21" s="4"/>
      <c r="K21" s="5"/>
      <c r="L21" s="12"/>
    </row>
    <row r="22" spans="1:13" x14ac:dyDescent="0.25">
      <c r="A22" s="10" t="s">
        <v>11</v>
      </c>
      <c r="B22" s="5"/>
      <c r="C22" s="5"/>
      <c r="D22" s="81">
        <f>IFERROR(VLOOKUP(B1,Adatok!B1:U13,5,FALSE), 0)</f>
        <v>0</v>
      </c>
      <c r="E22" s="82"/>
      <c r="G22" s="3"/>
      <c r="H22" s="3"/>
      <c r="I22" s="3"/>
      <c r="J22" s="3"/>
    </row>
    <row r="23" spans="1:13" x14ac:dyDescent="0.25">
      <c r="A23" s="18" t="s">
        <v>12</v>
      </c>
      <c r="B23" s="6"/>
      <c r="C23" s="6"/>
      <c r="D23" s="81">
        <f>IFERROR(VLOOKUP(B1,Adatok!B1:U13,6,FALSE), 0)</f>
        <v>0</v>
      </c>
      <c r="E23" s="82"/>
      <c r="H23" s="50" t="s">
        <v>37</v>
      </c>
      <c r="I23" s="50"/>
      <c r="J23" s="50"/>
      <c r="K23" s="68">
        <f>SUM(D22:E31)</f>
        <v>0</v>
      </c>
      <c r="L23" s="68"/>
      <c r="M23" s="68"/>
    </row>
    <row r="24" spans="1:13" x14ac:dyDescent="0.25">
      <c r="A24" s="18" t="s">
        <v>13</v>
      </c>
      <c r="B24" s="6"/>
      <c r="C24" s="6"/>
      <c r="D24" s="81">
        <f>IFERROR(VLOOKUP(B1,Adatok!B1:U13,7,FALSE), 0)</f>
        <v>0</v>
      </c>
      <c r="E24" s="82"/>
      <c r="G24" s="5"/>
      <c r="H24" s="5"/>
      <c r="I24" s="5"/>
      <c r="J24" s="5"/>
      <c r="K24" s="5"/>
      <c r="L24" s="5"/>
      <c r="M24" s="5"/>
    </row>
    <row r="25" spans="1:13" x14ac:dyDescent="0.25">
      <c r="A25" s="18" t="s">
        <v>14</v>
      </c>
      <c r="B25" s="6"/>
      <c r="C25" s="6"/>
      <c r="D25" s="81">
        <f>IFERROR(VLOOKUP(B1,Adatok!B1:U13,8,FALSE), 0)</f>
        <v>0</v>
      </c>
      <c r="E25" s="82"/>
    </row>
    <row r="26" spans="1:13" x14ac:dyDescent="0.25">
      <c r="A26" s="18" t="s">
        <v>15</v>
      </c>
      <c r="B26" s="6"/>
      <c r="C26" s="6"/>
      <c r="D26" s="81">
        <f>IFERROR(VLOOKUP(B1,Adatok!B1:U13,9,FALSE)+IF(Q13="Nagy TV",S13,0), 0)</f>
        <v>0</v>
      </c>
      <c r="E26" s="82"/>
      <c r="H26" s="65" t="s">
        <v>38</v>
      </c>
      <c r="I26" s="65"/>
      <c r="J26" s="65"/>
      <c r="K26" s="68">
        <f>K14-K23</f>
        <v>0</v>
      </c>
      <c r="L26" s="68"/>
      <c r="M26" s="68"/>
    </row>
    <row r="27" spans="1:13" x14ac:dyDescent="0.25">
      <c r="A27" s="10" t="s">
        <v>16</v>
      </c>
      <c r="B27" s="5"/>
      <c r="C27" s="6"/>
      <c r="D27" s="81">
        <f>IFERROR(VLOOKUP(B1,Adatok!B1:U13,10,FALSE), 0)</f>
        <v>0</v>
      </c>
      <c r="E27" s="82"/>
      <c r="H27" s="43" t="s">
        <v>27</v>
      </c>
      <c r="I27" s="43"/>
      <c r="J27" s="43"/>
      <c r="K27" s="43"/>
      <c r="L27" s="43"/>
    </row>
    <row r="28" spans="1:13" x14ac:dyDescent="0.25">
      <c r="A28" s="18" t="s">
        <v>17</v>
      </c>
      <c r="B28" s="6"/>
      <c r="C28" s="6"/>
      <c r="D28" s="81">
        <f>IFERROR(VLOOKUP(B1,Adatok!B1:U13,11,FALSE), 0)</f>
        <v>0</v>
      </c>
      <c r="E28" s="82"/>
    </row>
    <row r="29" spans="1:13" x14ac:dyDescent="0.25">
      <c r="A29" s="18" t="s">
        <v>18</v>
      </c>
      <c r="B29" s="6"/>
      <c r="C29" s="6"/>
      <c r="D29" s="81">
        <f>IFERROR(J18*J20,0)</f>
        <v>0</v>
      </c>
      <c r="E29" s="82"/>
    </row>
    <row r="30" spans="1:13" x14ac:dyDescent="0.25">
      <c r="A30" s="18" t="s">
        <v>19</v>
      </c>
      <c r="B30" s="6"/>
      <c r="C30" s="6"/>
      <c r="D30" s="68">
        <f>IFERROR(I53/10, 0)</f>
        <v>0</v>
      </c>
      <c r="E30" s="91"/>
    </row>
    <row r="31" spans="1:13" x14ac:dyDescent="0.25">
      <c r="A31" s="44" t="s">
        <v>104</v>
      </c>
      <c r="B31" s="44"/>
      <c r="C31" s="5"/>
      <c r="D31" s="68">
        <f>IF(Q12="Hajó",S12,0)</f>
        <v>0</v>
      </c>
      <c r="E31" s="91"/>
    </row>
    <row r="32" spans="1:13" ht="20.25" x14ac:dyDescent="0.3">
      <c r="A32" s="22" t="s">
        <v>102</v>
      </c>
      <c r="C32" s="1" t="s">
        <v>102</v>
      </c>
    </row>
    <row r="33" spans="1:13" ht="18.75" x14ac:dyDescent="0.3">
      <c r="A33" s="51" t="s">
        <v>115</v>
      </c>
      <c r="B33" s="24"/>
      <c r="C33" s="24"/>
      <c r="D33" s="24"/>
      <c r="E33" s="24"/>
      <c r="F33" s="24"/>
      <c r="G33" s="25" t="s">
        <v>20</v>
      </c>
      <c r="H33" s="24"/>
      <c r="I33" s="24"/>
      <c r="J33" s="24"/>
      <c r="K33" s="24"/>
      <c r="L33" s="24"/>
      <c r="M33" s="26"/>
    </row>
    <row r="34" spans="1:13" x14ac:dyDescent="0.25">
      <c r="A34" s="10" t="s">
        <v>116</v>
      </c>
      <c r="B34" s="5"/>
      <c r="C34" s="5"/>
      <c r="D34" s="5"/>
      <c r="E34" s="52">
        <f>IFERROR(VLOOKUP(B1,Adatok!B1:U13,15,FALSE), 0)</f>
        <v>0</v>
      </c>
      <c r="F34" s="9"/>
      <c r="G34" s="45" t="s">
        <v>35</v>
      </c>
      <c r="H34" s="45"/>
      <c r="I34" s="5"/>
      <c r="J34" s="5"/>
      <c r="K34" s="71">
        <f>IFERROR(VLOOKUP(B1,Adatok!B1:U13,16,FALSE), 0)</f>
        <v>0</v>
      </c>
      <c r="L34" s="71"/>
      <c r="M34" s="72"/>
    </row>
    <row r="35" spans="1:13" x14ac:dyDescent="0.25">
      <c r="A35" s="18" t="s">
        <v>117</v>
      </c>
      <c r="B35" s="6"/>
      <c r="C35" s="6" t="s">
        <v>118</v>
      </c>
      <c r="D35" s="6"/>
      <c r="E35" s="17" t="s">
        <v>119</v>
      </c>
      <c r="F35" s="9"/>
      <c r="G35" s="6" t="s">
        <v>34</v>
      </c>
      <c r="H35" s="6"/>
      <c r="I35" s="6"/>
      <c r="J35" s="6"/>
      <c r="K35" s="63">
        <f>IFERROR(VLOOKUP(B1,Adatok!B1:U13,17,FALSE), 0)</f>
        <v>0</v>
      </c>
      <c r="L35" s="63"/>
      <c r="M35" s="64"/>
    </row>
    <row r="36" spans="1:13" x14ac:dyDescent="0.25">
      <c r="A36" s="32" t="s">
        <v>102</v>
      </c>
      <c r="B36" s="5"/>
      <c r="C36" s="31" t="s">
        <v>102</v>
      </c>
      <c r="D36" s="28"/>
      <c r="E36" s="53"/>
      <c r="F36" s="9"/>
      <c r="G36" s="6" t="s">
        <v>33</v>
      </c>
      <c r="H36" s="6"/>
      <c r="I36" s="6"/>
      <c r="J36" s="6"/>
      <c r="K36" s="63">
        <f>IFERROR(VLOOKUP(B1,Adatok!B1:U13,18,FALSE), 0)</f>
        <v>0</v>
      </c>
      <c r="L36" s="63"/>
      <c r="M36" s="64"/>
    </row>
    <row r="37" spans="1:13" x14ac:dyDescent="0.25">
      <c r="A37" s="32" t="s">
        <v>102</v>
      </c>
      <c r="B37" s="5"/>
      <c r="C37" s="31" t="s">
        <v>102</v>
      </c>
      <c r="D37" s="28"/>
      <c r="E37" s="53"/>
      <c r="F37" s="9"/>
      <c r="G37" s="45" t="s">
        <v>31</v>
      </c>
      <c r="H37" s="45"/>
      <c r="I37" s="5"/>
      <c r="J37" s="5"/>
      <c r="K37" s="63">
        <f>IFERROR(VLOOKUP(B1,Adatok!B1:U13,19,FALSE)+IF(Q13="Nagy TV",R13,0), 0)</f>
        <v>0</v>
      </c>
      <c r="L37" s="63"/>
      <c r="M37" s="64"/>
    </row>
    <row r="38" spans="1:13" x14ac:dyDescent="0.25">
      <c r="A38" s="32" t="s">
        <v>102</v>
      </c>
      <c r="B38" s="5"/>
      <c r="C38" s="31" t="s">
        <v>102</v>
      </c>
      <c r="D38" s="28"/>
      <c r="E38" s="53"/>
      <c r="F38" s="9"/>
      <c r="G38" s="6" t="s">
        <v>32</v>
      </c>
      <c r="H38" s="6"/>
      <c r="I38" s="6"/>
      <c r="J38" s="6"/>
      <c r="K38" s="63">
        <f>IFERROR(VLOOKUP(B1,Adatok!B1:U13,20,FALSE), 0)</f>
        <v>0</v>
      </c>
      <c r="L38" s="63"/>
      <c r="M38" s="64"/>
    </row>
    <row r="39" spans="1:13" x14ac:dyDescent="0.25">
      <c r="A39" s="32" t="s">
        <v>102</v>
      </c>
      <c r="B39" s="5"/>
      <c r="C39" s="31" t="s">
        <v>102</v>
      </c>
      <c r="D39" s="28"/>
      <c r="E39" s="53"/>
      <c r="G39" s="66" t="s">
        <v>104</v>
      </c>
      <c r="H39" s="67"/>
      <c r="I39" s="67"/>
      <c r="J39" s="67"/>
      <c r="K39" s="63">
        <f>IF(Q12="Hajó",R12,0)</f>
        <v>0</v>
      </c>
      <c r="L39" s="63"/>
      <c r="M39" s="64"/>
    </row>
    <row r="40" spans="1:13" x14ac:dyDescent="0.25">
      <c r="A40" s="32" t="s">
        <v>102</v>
      </c>
      <c r="B40" s="5"/>
      <c r="C40" s="31" t="s">
        <v>102</v>
      </c>
      <c r="D40" s="28"/>
      <c r="E40" s="53"/>
    </row>
    <row r="41" spans="1:13" x14ac:dyDescent="0.25">
      <c r="A41" s="32" t="s">
        <v>102</v>
      </c>
      <c r="B41" s="5"/>
      <c r="C41" s="31" t="s">
        <v>102</v>
      </c>
      <c r="D41" s="28"/>
      <c r="E41" s="53"/>
    </row>
    <row r="42" spans="1:13" x14ac:dyDescent="0.25">
      <c r="A42" s="18" t="s">
        <v>21</v>
      </c>
      <c r="B42" s="6"/>
      <c r="C42" s="6" t="s">
        <v>120</v>
      </c>
      <c r="D42" s="6"/>
      <c r="E42" s="17" t="s">
        <v>121</v>
      </c>
      <c r="F42" s="9"/>
      <c r="G42" s="44" t="s">
        <v>21</v>
      </c>
      <c r="H42" s="44"/>
      <c r="I42" s="6"/>
      <c r="J42" s="6"/>
      <c r="K42" s="69" t="s">
        <v>28</v>
      </c>
      <c r="L42" s="69"/>
      <c r="M42" s="70"/>
    </row>
    <row r="43" spans="1:13" x14ac:dyDescent="0.25">
      <c r="A43" s="30">
        <f t="shared" ref="A43:A52" si="0">A11</f>
        <v>0</v>
      </c>
      <c r="B43" s="28"/>
      <c r="C43" s="42"/>
      <c r="D43" s="5"/>
      <c r="E43" s="53"/>
      <c r="G43" s="74">
        <f t="shared" ref="G43" si="1">A43</f>
        <v>0</v>
      </c>
      <c r="H43" s="75"/>
      <c r="I43" s="75"/>
      <c r="J43" s="41"/>
      <c r="K43" s="63">
        <f t="shared" ref="K43:K52" si="2">IFERROR(E43-C43, 0)</f>
        <v>0</v>
      </c>
      <c r="L43" s="63"/>
      <c r="M43" s="64"/>
    </row>
    <row r="44" spans="1:13" x14ac:dyDescent="0.25">
      <c r="A44" s="30">
        <f t="shared" si="0"/>
        <v>0</v>
      </c>
      <c r="B44" s="28"/>
      <c r="C44" s="42"/>
      <c r="D44" s="5"/>
      <c r="E44" s="53"/>
      <c r="G44" s="74">
        <f t="shared" ref="G44:G52" si="3">A44</f>
        <v>0</v>
      </c>
      <c r="H44" s="75"/>
      <c r="I44" s="75"/>
      <c r="J44" s="41"/>
      <c r="K44" s="63">
        <f t="shared" si="2"/>
        <v>0</v>
      </c>
      <c r="L44" s="63"/>
      <c r="M44" s="64"/>
    </row>
    <row r="45" spans="1:13" x14ac:dyDescent="0.25">
      <c r="A45" s="30">
        <f t="shared" si="0"/>
        <v>0</v>
      </c>
      <c r="B45" s="28"/>
      <c r="C45" s="42"/>
      <c r="D45" s="5"/>
      <c r="E45" s="53"/>
      <c r="G45" s="74">
        <f t="shared" si="3"/>
        <v>0</v>
      </c>
      <c r="H45" s="75"/>
      <c r="I45" s="75"/>
      <c r="J45" s="41"/>
      <c r="K45" s="63">
        <f t="shared" si="2"/>
        <v>0</v>
      </c>
      <c r="L45" s="63"/>
      <c r="M45" s="64"/>
    </row>
    <row r="46" spans="1:13" x14ac:dyDescent="0.25">
      <c r="A46" s="30">
        <f t="shared" si="0"/>
        <v>0</v>
      </c>
      <c r="B46" s="28"/>
      <c r="C46" s="42"/>
      <c r="D46" s="5"/>
      <c r="E46" s="53"/>
      <c r="G46" s="74">
        <f t="shared" si="3"/>
        <v>0</v>
      </c>
      <c r="H46" s="75"/>
      <c r="I46" s="75"/>
      <c r="J46" s="41"/>
      <c r="K46" s="63">
        <f t="shared" si="2"/>
        <v>0</v>
      </c>
      <c r="L46" s="63"/>
      <c r="M46" s="64"/>
    </row>
    <row r="47" spans="1:13" x14ac:dyDescent="0.25">
      <c r="A47" s="30">
        <f t="shared" si="0"/>
        <v>0</v>
      </c>
      <c r="B47" s="28"/>
      <c r="C47" s="42"/>
      <c r="D47" s="5"/>
      <c r="E47" s="53"/>
      <c r="G47" s="74">
        <f t="shared" si="3"/>
        <v>0</v>
      </c>
      <c r="H47" s="75"/>
      <c r="I47" s="75"/>
      <c r="J47" s="41"/>
      <c r="K47" s="63">
        <f t="shared" si="2"/>
        <v>0</v>
      </c>
      <c r="L47" s="63"/>
      <c r="M47" s="64"/>
    </row>
    <row r="48" spans="1:13" x14ac:dyDescent="0.25">
      <c r="A48" s="30">
        <f t="shared" si="0"/>
        <v>0</v>
      </c>
      <c r="B48" s="28"/>
      <c r="C48" s="42"/>
      <c r="D48" s="5"/>
      <c r="E48" s="53"/>
      <c r="G48" s="74">
        <f t="shared" si="3"/>
        <v>0</v>
      </c>
      <c r="H48" s="75"/>
      <c r="I48" s="75"/>
      <c r="J48" s="41"/>
      <c r="K48" s="63">
        <f t="shared" si="2"/>
        <v>0</v>
      </c>
      <c r="L48" s="63"/>
      <c r="M48" s="64"/>
    </row>
    <row r="49" spans="1:13" x14ac:dyDescent="0.25">
      <c r="A49" s="30">
        <f t="shared" si="0"/>
        <v>0</v>
      </c>
      <c r="B49" s="28"/>
      <c r="C49" s="42"/>
      <c r="D49" s="5"/>
      <c r="E49" s="53"/>
      <c r="F49" s="9"/>
      <c r="G49" s="74">
        <f t="shared" si="3"/>
        <v>0</v>
      </c>
      <c r="H49" s="75"/>
      <c r="I49" s="75"/>
      <c r="J49" s="41"/>
      <c r="K49" s="63">
        <f t="shared" si="2"/>
        <v>0</v>
      </c>
      <c r="L49" s="63"/>
      <c r="M49" s="64"/>
    </row>
    <row r="50" spans="1:13" x14ac:dyDescent="0.25">
      <c r="A50" s="30">
        <f t="shared" si="0"/>
        <v>0</v>
      </c>
      <c r="B50" s="28"/>
      <c r="C50" s="42"/>
      <c r="D50" s="5"/>
      <c r="E50" s="53"/>
      <c r="G50" s="74">
        <f t="shared" si="3"/>
        <v>0</v>
      </c>
      <c r="H50" s="75"/>
      <c r="I50" s="75"/>
      <c r="J50" s="41"/>
      <c r="K50" s="63">
        <f t="shared" si="2"/>
        <v>0</v>
      </c>
      <c r="L50" s="63"/>
      <c r="M50" s="64"/>
    </row>
    <row r="51" spans="1:13" x14ac:dyDescent="0.25">
      <c r="A51" s="30">
        <f t="shared" si="0"/>
        <v>0</v>
      </c>
      <c r="B51" s="28"/>
      <c r="C51" s="42"/>
      <c r="D51" s="5"/>
      <c r="E51" s="53"/>
      <c r="G51" s="74">
        <f t="shared" si="3"/>
        <v>0</v>
      </c>
      <c r="H51" s="75"/>
      <c r="I51" s="75"/>
      <c r="J51" s="41"/>
      <c r="K51" s="63">
        <f t="shared" si="2"/>
        <v>0</v>
      </c>
      <c r="L51" s="63"/>
      <c r="M51" s="64"/>
    </row>
    <row r="52" spans="1:13" x14ac:dyDescent="0.25">
      <c r="A52" s="30">
        <f t="shared" si="0"/>
        <v>0</v>
      </c>
      <c r="B52" s="28"/>
      <c r="C52" s="42"/>
      <c r="D52" s="5"/>
      <c r="E52" s="53"/>
      <c r="G52" s="74">
        <f t="shared" si="3"/>
        <v>0</v>
      </c>
      <c r="H52" s="75"/>
      <c r="I52" s="75"/>
      <c r="J52" s="41"/>
      <c r="K52" s="63">
        <f t="shared" si="2"/>
        <v>0</v>
      </c>
      <c r="L52" s="63"/>
      <c r="M52" s="64"/>
    </row>
    <row r="53" spans="1:13" x14ac:dyDescent="0.25">
      <c r="G53" s="73" t="s">
        <v>29</v>
      </c>
      <c r="H53" s="69"/>
      <c r="I53" s="76" t="s">
        <v>102</v>
      </c>
      <c r="J53" s="76"/>
      <c r="K53" s="76"/>
      <c r="L53" s="76"/>
      <c r="M53" s="76"/>
    </row>
  </sheetData>
  <sheetProtection algorithmName="SHA-512" hashValue="1j/tO7WSGjoymMDj4/iYNN/ROf/p3LHogn6bugLgWwjwbJcInf1aosUW5QsGFuHkRw+IUpFH3QuFgicQypyI1A==" saltValue="bZ+iHVYKhhMhZtDJZeqPQg==" spinCount="100000" sheet="1" selectLockedCells="1"/>
  <protectedRanges>
    <protectedRange sqref="B1 I1 I4 B7:B9 D7:E9 R8 Q12:Q13 J18 A36:A41 C36:C41 J53 A11:B20 D11:E20 E43:E52 C43:C52 E36:E41" name="data"/>
  </protectedRanges>
  <mergeCells count="84">
    <mergeCell ref="D15:E15"/>
    <mergeCell ref="A11:B11"/>
    <mergeCell ref="A12:B12"/>
    <mergeCell ref="A13:B13"/>
    <mergeCell ref="A14:B14"/>
    <mergeCell ref="A15:B15"/>
    <mergeCell ref="G1:H1"/>
    <mergeCell ref="G14:J14"/>
    <mergeCell ref="D20:E20"/>
    <mergeCell ref="D18:E18"/>
    <mergeCell ref="D19:E19"/>
    <mergeCell ref="B1:D1"/>
    <mergeCell ref="I1:K1"/>
    <mergeCell ref="G4:H4"/>
    <mergeCell ref="I4:K4"/>
    <mergeCell ref="G9:J10"/>
    <mergeCell ref="K8:M8"/>
    <mergeCell ref="G8:J8"/>
    <mergeCell ref="A2:K2"/>
    <mergeCell ref="A4:E4"/>
    <mergeCell ref="D12:E12"/>
    <mergeCell ref="D13:E13"/>
    <mergeCell ref="K14:M14"/>
    <mergeCell ref="D6:E6"/>
    <mergeCell ref="D7:E7"/>
    <mergeCell ref="D8:E8"/>
    <mergeCell ref="D9:E9"/>
    <mergeCell ref="D10:E10"/>
    <mergeCell ref="D11:E11"/>
    <mergeCell ref="D14:E14"/>
    <mergeCell ref="D27:E27"/>
    <mergeCell ref="K35:M35"/>
    <mergeCell ref="G18:I18"/>
    <mergeCell ref="G20:I20"/>
    <mergeCell ref="J18:K18"/>
    <mergeCell ref="K23:M23"/>
    <mergeCell ref="D22:E22"/>
    <mergeCell ref="D23:E23"/>
    <mergeCell ref="A21:E21"/>
    <mergeCell ref="A20:B20"/>
    <mergeCell ref="A18:B18"/>
    <mergeCell ref="A19:B19"/>
    <mergeCell ref="D28:E28"/>
    <mergeCell ref="D29:E29"/>
    <mergeCell ref="D30:E30"/>
    <mergeCell ref="D31:E31"/>
    <mergeCell ref="A16:B16"/>
    <mergeCell ref="D16:E16"/>
    <mergeCell ref="D24:E24"/>
    <mergeCell ref="D25:E25"/>
    <mergeCell ref="D26:E26"/>
    <mergeCell ref="A17:B17"/>
    <mergeCell ref="D17:E17"/>
    <mergeCell ref="G53:H53"/>
    <mergeCell ref="K36:M36"/>
    <mergeCell ref="K37:M37"/>
    <mergeCell ref="K39:M39"/>
    <mergeCell ref="G43:I43"/>
    <mergeCell ref="G44:I44"/>
    <mergeCell ref="G45:I45"/>
    <mergeCell ref="G46:I46"/>
    <mergeCell ref="G47:I47"/>
    <mergeCell ref="G48:I48"/>
    <mergeCell ref="G49:I49"/>
    <mergeCell ref="G50:I50"/>
    <mergeCell ref="G51:I51"/>
    <mergeCell ref="G52:I52"/>
    <mergeCell ref="I53:M53"/>
    <mergeCell ref="K47:M47"/>
    <mergeCell ref="K48:M48"/>
    <mergeCell ref="K49:M49"/>
    <mergeCell ref="K50:M50"/>
    <mergeCell ref="K51:M51"/>
    <mergeCell ref="K52:M52"/>
    <mergeCell ref="K45:M45"/>
    <mergeCell ref="K46:M46"/>
    <mergeCell ref="H26:J26"/>
    <mergeCell ref="G39:J39"/>
    <mergeCell ref="K26:M26"/>
    <mergeCell ref="K42:M42"/>
    <mergeCell ref="K38:M38"/>
    <mergeCell ref="K34:M34"/>
    <mergeCell ref="K43:M43"/>
    <mergeCell ref="K44:M44"/>
  </mergeCells>
  <phoneticPr fontId="11" type="noConversion"/>
  <conditionalFormatting sqref="K8:M8">
    <cfRule type="expression" dxfId="55" priority="39">
      <formula>$K$8=0</formula>
    </cfRule>
    <cfRule type="cellIs" dxfId="54" priority="87" operator="greaterThanOrEqual">
      <formula>$K$23</formula>
    </cfRule>
  </conditionalFormatting>
  <conditionalFormatting sqref="D6:E6">
    <cfRule type="expression" dxfId="53" priority="40">
      <formula>$D$6=0</formula>
    </cfRule>
  </conditionalFormatting>
  <conditionalFormatting sqref="K14:M14">
    <cfRule type="expression" dxfId="52" priority="38">
      <formula>$K$14=0</formula>
    </cfRule>
  </conditionalFormatting>
  <conditionalFormatting sqref="J20">
    <cfRule type="expression" dxfId="51" priority="37">
      <formula>$J$20=0</formula>
    </cfRule>
  </conditionalFormatting>
  <conditionalFormatting sqref="D22:E22">
    <cfRule type="expression" dxfId="50" priority="36">
      <formula>$D$22=0</formula>
    </cfRule>
  </conditionalFormatting>
  <conditionalFormatting sqref="D23:E23">
    <cfRule type="expression" dxfId="49" priority="35">
      <formula>$D$23=0</formula>
    </cfRule>
  </conditionalFormatting>
  <conditionalFormatting sqref="D24:E24">
    <cfRule type="expression" dxfId="48" priority="34">
      <formula>$D$24=0</formula>
    </cfRule>
  </conditionalFormatting>
  <conditionalFormatting sqref="D25:E25">
    <cfRule type="expression" dxfId="47" priority="33">
      <formula>$D$25=0</formula>
    </cfRule>
  </conditionalFormatting>
  <conditionalFormatting sqref="D26:E26">
    <cfRule type="expression" dxfId="46" priority="32">
      <formula>$D$26=0</formula>
    </cfRule>
  </conditionalFormatting>
  <conditionalFormatting sqref="D27:E27">
    <cfRule type="expression" dxfId="45" priority="31">
      <formula>$D$27=0</formula>
    </cfRule>
  </conditionalFormatting>
  <conditionalFormatting sqref="D28:E28">
    <cfRule type="expression" dxfId="44" priority="30">
      <formula>$D$28=0</formula>
    </cfRule>
  </conditionalFormatting>
  <conditionalFormatting sqref="D29:E29">
    <cfRule type="expression" dxfId="43" priority="29">
      <formula>$D$29=0</formula>
    </cfRule>
  </conditionalFormatting>
  <conditionalFormatting sqref="D30:E30">
    <cfRule type="expression" dxfId="42" priority="28">
      <formula>$D$30=0</formula>
    </cfRule>
  </conditionalFormatting>
  <conditionalFormatting sqref="D31:E31">
    <cfRule type="expression" dxfId="41" priority="27">
      <formula>$D$31=0</formula>
    </cfRule>
  </conditionalFormatting>
  <conditionalFormatting sqref="K23:M23">
    <cfRule type="expression" dxfId="40" priority="26">
      <formula>$K$23=0</formula>
    </cfRule>
  </conditionalFormatting>
  <conditionalFormatting sqref="K26:M26">
    <cfRule type="expression" dxfId="39" priority="25">
      <formula>$K$26=0</formula>
    </cfRule>
  </conditionalFormatting>
  <conditionalFormatting sqref="K34:M34">
    <cfRule type="expression" dxfId="38" priority="24">
      <formula>$K$34=0</formula>
    </cfRule>
  </conditionalFormatting>
  <conditionalFormatting sqref="K35:M35">
    <cfRule type="expression" dxfId="37" priority="23">
      <formula>$K$35=0</formula>
    </cfRule>
  </conditionalFormatting>
  <conditionalFormatting sqref="K36:M36">
    <cfRule type="expression" dxfId="36" priority="22">
      <formula>$K$36=0</formula>
    </cfRule>
  </conditionalFormatting>
  <conditionalFormatting sqref="K37:M37">
    <cfRule type="expression" dxfId="35" priority="21">
      <formula>$K$37=0</formula>
    </cfRule>
  </conditionalFormatting>
  <conditionalFormatting sqref="K38:M38">
    <cfRule type="expression" dxfId="34" priority="20">
      <formula>$K$38=0</formula>
    </cfRule>
  </conditionalFormatting>
  <conditionalFormatting sqref="K39:M39">
    <cfRule type="expression" dxfId="33" priority="19">
      <formula>$K$39=0</formula>
    </cfRule>
  </conditionalFormatting>
  <conditionalFormatting sqref="K43:M43">
    <cfRule type="expression" dxfId="32" priority="18">
      <formula>$K$43=0</formula>
    </cfRule>
  </conditionalFormatting>
  <conditionalFormatting sqref="K44:M44">
    <cfRule type="expression" dxfId="31" priority="17">
      <formula>$K$44=0</formula>
    </cfRule>
  </conditionalFormatting>
  <conditionalFormatting sqref="K45:M45">
    <cfRule type="expression" dxfId="30" priority="16">
      <formula>$K$45=0</formula>
    </cfRule>
  </conditionalFormatting>
  <conditionalFormatting sqref="K46:M46">
    <cfRule type="expression" dxfId="29" priority="15">
      <formula>$K$46=0</formula>
    </cfRule>
  </conditionalFormatting>
  <conditionalFormatting sqref="K47:M47">
    <cfRule type="expression" dxfId="28" priority="14">
      <formula>$K$47=0</formula>
    </cfRule>
  </conditionalFormatting>
  <conditionalFormatting sqref="K48:M48">
    <cfRule type="expression" dxfId="27" priority="13">
      <formula>$K$48=0</formula>
    </cfRule>
  </conditionalFormatting>
  <conditionalFormatting sqref="K49:M49">
    <cfRule type="expression" dxfId="26" priority="12">
      <formula>$K$49=0</formula>
    </cfRule>
  </conditionalFormatting>
  <conditionalFormatting sqref="K50:M50">
    <cfRule type="expression" dxfId="25" priority="11">
      <formula>$K$50=0</formula>
    </cfRule>
  </conditionalFormatting>
  <conditionalFormatting sqref="K51:M51">
    <cfRule type="expression" dxfId="24" priority="10">
      <formula>$K$51=0</formula>
    </cfRule>
  </conditionalFormatting>
  <conditionalFormatting sqref="K52:M52">
    <cfRule type="expression" dxfId="23" priority="9">
      <formula>$K$52=0</formula>
    </cfRule>
  </conditionalFormatting>
  <conditionalFormatting sqref="R12">
    <cfRule type="expression" dxfId="22" priority="8">
      <formula>$R$12:$S$12=0</formula>
    </cfRule>
  </conditionalFormatting>
  <conditionalFormatting sqref="S12">
    <cfRule type="expression" dxfId="21" priority="7">
      <formula>$S$12=0</formula>
    </cfRule>
  </conditionalFormatting>
  <conditionalFormatting sqref="R13">
    <cfRule type="expression" dxfId="20" priority="6">
      <formula>$R$13=0</formula>
    </cfRule>
  </conditionalFormatting>
  <conditionalFormatting sqref="S13">
    <cfRule type="expression" dxfId="19" priority="5">
      <formula>$S$13=0</formula>
    </cfRule>
  </conditionalFormatting>
  <conditionalFormatting sqref="E34">
    <cfRule type="expression" dxfId="18" priority="4">
      <formula>$E$34=0</formula>
    </cfRule>
  </conditionalFormatting>
  <conditionalFormatting sqref="A43:A52">
    <cfRule type="expression" dxfId="17" priority="3">
      <formula>A43=0</formula>
    </cfRule>
  </conditionalFormatting>
  <conditionalFormatting sqref="G43:I52">
    <cfRule type="expression" dxfId="16" priority="1">
      <formula>$G$43=0</formula>
    </cfRule>
  </conditionalFormatting>
  <dataValidations count="1">
    <dataValidation type="list" allowBlank="1" showInputMessage="1" showErrorMessage="1" sqref="E36:E41" xr:uid="{7E18A514-EA5A-4027-A652-27B10D6AAD79}">
      <formula1>Részvényárdb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535EA95-9C29-4840-92F8-7E5C7C655E64}">
          <x14:formula1>
            <xm:f>Adatok!$B$2:$B$13</xm:f>
          </x14:formula1>
          <xm:sqref>B1:D1</xm:sqref>
        </x14:dataValidation>
        <x14:dataValidation type="list" allowBlank="1" showInputMessage="1" showErrorMessage="1" xr:uid="{843F894E-48C0-4E5E-B331-3E6320FD09EE}">
          <x14:formula1>
            <xm:f>Adatok!$A$19:$A$24</xm:f>
          </x14:formula1>
          <xm:sqref>A36:A41</xm:sqref>
        </x14:dataValidation>
        <x14:dataValidation type="list" allowBlank="1" showInputMessage="1" showErrorMessage="1" xr:uid="{26176FDE-CAE0-4E31-9EBC-A0AAC5362D0B}">
          <x14:formula1>
            <xm:f>Adatok!$C$19:$C$22</xm:f>
          </x14:formula1>
          <xm:sqref>J18</xm:sqref>
        </x14:dataValidation>
        <x14:dataValidation type="list" allowBlank="1" showInputMessage="1" showErrorMessage="1" xr:uid="{131BFA0B-D4D0-4D54-BEE9-C662F3BD1750}">
          <x14:formula1>
            <xm:f>Adatok!$G$20</xm:f>
          </x14:formula1>
          <xm:sqref>Q13</xm:sqref>
        </x14:dataValidation>
        <x14:dataValidation type="list" allowBlank="1" showInputMessage="1" showErrorMessage="1" xr:uid="{87A1EC98-B89C-44A1-AAF5-AA908BDE710E}">
          <x14:formula1>
            <xm:f>Adatok!$G$19</xm:f>
          </x14:formula1>
          <xm:sqref>Q12</xm:sqref>
        </x14:dataValidation>
        <x14:dataValidation type="list" allowBlank="1" showInputMessage="1" xr:uid="{4A27BA7B-A1DD-4971-A529-9194A772E1A7}">
          <x14:formula1>
            <xm:f>Adatok!$H$26:$H$43</xm:f>
          </x14:formula1>
          <xm:sqref>A11:B20</xm:sqref>
        </x14:dataValidation>
        <x14:dataValidation type="list" allowBlank="1" showInputMessage="1" showErrorMessage="1" xr:uid="{F753B595-4409-4DCA-8874-A8212A9DDC7D}">
          <x14:formula1>
            <xm:f>OFFSET(Adatok!$H$57,MATCH($A11,Adatok!$H$57:$H$74,0)-1,1,1,COUNT(OFFSET(Adatok!$H$57,MATCH($A11,Adatok!$H$57:$H$74,0)-1,1,,15)))</xm:f>
          </x14:formula1>
          <xm:sqref>D11:E20</xm:sqref>
        </x14:dataValidation>
        <x14:dataValidation type="list" allowBlank="1" showInputMessage="1" showErrorMessage="1" xr:uid="{E534200A-D6E0-475D-915E-6B8D259E2ACE}">
          <x14:formula1>
            <xm:f>OFFSET(Adatok!$H$26,MATCH($A11,Adatok!$H$26:$H$43,0)-1,1,1,COUNT(OFFSET(Adatok!$H$26,MATCH($A11,Adatok!$H$26:$H$43,0)-1,1,,15)))</xm:f>
          </x14:formula1>
          <xm:sqref>E43:E52</xm:sqref>
        </x14:dataValidation>
        <x14:dataValidation type="list" allowBlank="1" showInputMessage="1" showErrorMessage="1" xr:uid="{9961EE67-C840-4DFB-83FA-12DC24DFA1CE}">
          <x14:formula1>
            <xm:f>OFFSET(Adatok!$H$80,MATCH($A11,Adatok!$H$80:$H$97,0)-1,1,1,COUNT(OFFSET(Adatok!$H$80,MATCH($A11,Adatok!$H$80:$H$97,0)-1,1,,15)))</xm:f>
          </x14:formula1>
          <xm:sqref>C43:C52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62E0-ECF2-4C83-9745-87DC1A87CFC7}">
  <sheetPr codeName="Sheet2"/>
  <dimension ref="A1:O54"/>
  <sheetViews>
    <sheetView showGridLines="0" topLeftCell="A9" workbookViewId="0">
      <selection activeCell="A33" sqref="A33:D33"/>
    </sheetView>
  </sheetViews>
  <sheetFormatPr defaultRowHeight="15.75" x14ac:dyDescent="0.25"/>
  <cols>
    <col min="1" max="1" width="9.140625" style="1"/>
    <col min="2" max="2" width="10.85546875" style="1" customWidth="1"/>
    <col min="3" max="3" width="10.5703125" style="1" customWidth="1"/>
    <col min="4" max="4" width="13" style="1" customWidth="1"/>
    <col min="5" max="6" width="9.140625" style="1"/>
    <col min="7" max="7" width="10.42578125" style="1" customWidth="1"/>
    <col min="8" max="11" width="9.140625" style="1"/>
    <col min="12" max="12" width="10.140625" style="1" customWidth="1"/>
    <col min="13" max="13" width="9.7109375" style="1" bestFit="1" customWidth="1"/>
    <col min="14" max="14" width="9.140625" style="1"/>
    <col min="15" max="15" width="10.140625" style="1" bestFit="1" customWidth="1"/>
    <col min="16" max="16" width="9.140625" style="1"/>
    <col min="17" max="17" width="27.42578125" style="1" customWidth="1"/>
    <col min="18" max="16384" width="9.140625" style="1"/>
  </cols>
  <sheetData>
    <row r="1" spans="1:13" ht="18.75" x14ac:dyDescent="0.3">
      <c r="A1" s="7" t="s">
        <v>40</v>
      </c>
      <c r="F1" s="115" t="s">
        <v>1</v>
      </c>
      <c r="G1" s="115"/>
      <c r="H1" s="103" t="str">
        <f>Mókuskerék!I1</f>
        <v xml:space="preserve"> </v>
      </c>
      <c r="I1" s="103"/>
      <c r="J1" s="103"/>
      <c r="K1" s="103"/>
    </row>
    <row r="2" spans="1:13" x14ac:dyDescent="0.25">
      <c r="A2" s="1" t="s">
        <v>41</v>
      </c>
    </row>
    <row r="3" spans="1:13" x14ac:dyDescent="0.25">
      <c r="A3" s="1" t="s">
        <v>42</v>
      </c>
    </row>
    <row r="4" spans="1:13" ht="15" customHeight="1" x14ac:dyDescent="0.3">
      <c r="A4" s="117" t="s">
        <v>57</v>
      </c>
      <c r="B4" s="117"/>
      <c r="C4" s="117"/>
      <c r="D4" s="117"/>
      <c r="E4" s="3"/>
      <c r="F4" s="115" t="s">
        <v>30</v>
      </c>
      <c r="G4" s="115"/>
      <c r="H4" s="103" t="str">
        <f>Mókuskerék!I4</f>
        <v xml:space="preserve"> </v>
      </c>
      <c r="I4" s="103"/>
      <c r="J4" s="103"/>
      <c r="K4" s="103"/>
    </row>
    <row r="5" spans="1:13" x14ac:dyDescent="0.25">
      <c r="A5" s="117"/>
      <c r="B5" s="117"/>
      <c r="C5" s="117"/>
      <c r="D5" s="117"/>
      <c r="E5" s="3"/>
      <c r="H5" s="1" t="s">
        <v>3</v>
      </c>
    </row>
    <row r="6" spans="1:13" x14ac:dyDescent="0.25">
      <c r="A6" s="117"/>
      <c r="B6" s="117"/>
      <c r="C6" s="117"/>
      <c r="D6" s="117"/>
      <c r="E6" s="3"/>
    </row>
    <row r="7" spans="1:13" x14ac:dyDescent="0.25">
      <c r="A7" s="117" t="s">
        <v>58</v>
      </c>
      <c r="B7" s="117"/>
      <c r="C7" s="117"/>
      <c r="D7" s="117"/>
      <c r="E7" s="3"/>
      <c r="L7" s="5"/>
    </row>
    <row r="8" spans="1:13" ht="18.75" x14ac:dyDescent="0.3">
      <c r="A8" s="117"/>
      <c r="B8" s="117"/>
      <c r="C8" s="117"/>
      <c r="D8" s="117"/>
      <c r="F8" s="116" t="s">
        <v>46</v>
      </c>
      <c r="G8" s="116"/>
      <c r="H8" s="116"/>
      <c r="I8" s="116"/>
      <c r="J8" s="116"/>
      <c r="K8" s="11"/>
      <c r="M8" s="8"/>
    </row>
    <row r="9" spans="1:13" x14ac:dyDescent="0.25">
      <c r="A9" s="117"/>
      <c r="B9" s="117"/>
      <c r="C9" s="117"/>
      <c r="D9" s="117"/>
      <c r="F9" s="8" t="s">
        <v>51</v>
      </c>
      <c r="M9" s="8"/>
    </row>
    <row r="10" spans="1:13" x14ac:dyDescent="0.25">
      <c r="A10" s="112" t="s">
        <v>43</v>
      </c>
      <c r="B10" s="112"/>
      <c r="C10" s="112"/>
      <c r="F10" s="8"/>
      <c r="G10" s="1" t="s">
        <v>49</v>
      </c>
      <c r="J10" s="68">
        <f>_xlfn.FLOOR.MATH(Mókuskerék!K8,10)</f>
        <v>0</v>
      </c>
      <c r="K10" s="68"/>
      <c r="L10" s="68"/>
      <c r="M10" s="8"/>
    </row>
    <row r="11" spans="1:13" x14ac:dyDescent="0.25">
      <c r="A11" s="113" t="s">
        <v>59</v>
      </c>
      <c r="B11" s="113"/>
      <c r="C11" s="113"/>
      <c r="D11" s="113"/>
      <c r="E11" s="113"/>
      <c r="F11" s="8"/>
      <c r="H11" s="1" t="s">
        <v>47</v>
      </c>
      <c r="K11" s="27" t="s">
        <v>99</v>
      </c>
      <c r="L11" s="29">
        <v>100</v>
      </c>
    </row>
    <row r="12" spans="1:13" x14ac:dyDescent="0.25">
      <c r="C12" s="2" t="s">
        <v>44</v>
      </c>
      <c r="E12" s="9"/>
      <c r="F12" s="8" t="s">
        <v>48</v>
      </c>
      <c r="J12" s="68">
        <f>J10*L11</f>
        <v>0</v>
      </c>
      <c r="K12" s="68"/>
      <c r="L12" s="68"/>
      <c r="M12" s="8"/>
    </row>
    <row r="13" spans="1:13" x14ac:dyDescent="0.25">
      <c r="A13" s="118" t="s">
        <v>60</v>
      </c>
      <c r="B13" s="118"/>
      <c r="C13" s="118"/>
      <c r="D13" s="118"/>
      <c r="F13" s="10"/>
      <c r="G13" s="5"/>
      <c r="H13" s="5"/>
      <c r="I13" s="5"/>
      <c r="J13" s="6"/>
      <c r="K13" s="6"/>
      <c r="L13" s="17"/>
    </row>
    <row r="14" spans="1:13" x14ac:dyDescent="0.25">
      <c r="A14" s="118"/>
      <c r="B14" s="118"/>
      <c r="C14" s="118"/>
      <c r="D14" s="118"/>
    </row>
    <row r="15" spans="1:13" ht="18.75" x14ac:dyDescent="0.3">
      <c r="A15" s="118"/>
      <c r="B15" s="118"/>
      <c r="C15" s="118"/>
      <c r="D15" s="118"/>
      <c r="F15" s="110" t="s">
        <v>50</v>
      </c>
      <c r="G15" s="111"/>
      <c r="H15" s="111"/>
      <c r="I15" s="111"/>
      <c r="J15" s="111"/>
      <c r="K15" s="111"/>
      <c r="L15" s="111"/>
    </row>
    <row r="16" spans="1:13" x14ac:dyDescent="0.25">
      <c r="A16" s="118"/>
      <c r="B16" s="118"/>
      <c r="C16" s="118"/>
      <c r="D16" s="118"/>
      <c r="F16" s="13"/>
      <c r="G16" s="11"/>
      <c r="H16" s="11"/>
      <c r="I16" s="11"/>
      <c r="J16" s="11"/>
      <c r="K16" s="11"/>
      <c r="L16" s="14"/>
    </row>
    <row r="17" spans="1:12" ht="15" customHeight="1" x14ac:dyDescent="0.25">
      <c r="A17" s="119" t="s">
        <v>45</v>
      </c>
      <c r="B17" s="119"/>
      <c r="C17" s="119"/>
      <c r="D17" s="119"/>
      <c r="F17" s="8" t="s">
        <v>48</v>
      </c>
      <c r="J17" s="68">
        <f>J12</f>
        <v>0</v>
      </c>
      <c r="K17" s="68"/>
      <c r="L17" s="68"/>
    </row>
    <row r="18" spans="1:12" ht="15" customHeight="1" x14ac:dyDescent="0.25">
      <c r="A18" s="119"/>
      <c r="B18" s="119"/>
      <c r="C18" s="119"/>
      <c r="D18" s="119"/>
      <c r="F18" s="8"/>
      <c r="L18" s="9"/>
    </row>
    <row r="19" spans="1:12" x14ac:dyDescent="0.25">
      <c r="A19" s="119"/>
      <c r="B19" s="119"/>
      <c r="C19" s="119"/>
      <c r="D19" s="119"/>
      <c r="F19" s="108" t="s">
        <v>100</v>
      </c>
      <c r="G19" s="109"/>
      <c r="H19" s="109"/>
      <c r="I19" s="109"/>
      <c r="L19" s="9"/>
    </row>
    <row r="20" spans="1:12" x14ac:dyDescent="0.25">
      <c r="A20" s="119"/>
      <c r="B20" s="119"/>
      <c r="C20" s="119"/>
      <c r="D20" s="119"/>
      <c r="F20" s="108"/>
      <c r="G20" s="109"/>
      <c r="H20" s="109"/>
      <c r="I20" s="109"/>
      <c r="J20" s="68">
        <v>50000</v>
      </c>
      <c r="K20" s="68"/>
      <c r="L20" s="68"/>
    </row>
    <row r="21" spans="1:12" x14ac:dyDescent="0.25">
      <c r="A21" s="119"/>
      <c r="B21" s="119"/>
      <c r="C21" s="119"/>
      <c r="D21" s="119"/>
      <c r="F21" s="15"/>
      <c r="G21" s="16"/>
      <c r="H21" s="16"/>
      <c r="L21" s="9"/>
    </row>
    <row r="22" spans="1:12" x14ac:dyDescent="0.25">
      <c r="A22" s="119"/>
      <c r="B22" s="119"/>
      <c r="C22" s="119"/>
      <c r="D22" s="119"/>
      <c r="F22" s="114" t="s">
        <v>52</v>
      </c>
      <c r="G22" s="97"/>
      <c r="H22" s="97"/>
      <c r="I22" s="97"/>
      <c r="L22" s="9"/>
    </row>
    <row r="23" spans="1:12" x14ac:dyDescent="0.25">
      <c r="A23" s="119"/>
      <c r="B23" s="119"/>
      <c r="C23" s="119"/>
      <c r="D23" s="119"/>
      <c r="F23" s="114"/>
      <c r="G23" s="97"/>
      <c r="H23" s="97"/>
      <c r="I23" s="97"/>
      <c r="J23" s="68">
        <f>J17+J20</f>
        <v>50000</v>
      </c>
      <c r="K23" s="68"/>
      <c r="L23" s="68"/>
    </row>
    <row r="24" spans="1:12" x14ac:dyDescent="0.25">
      <c r="A24" s="119"/>
      <c r="B24" s="119"/>
      <c r="C24" s="119"/>
      <c r="D24" s="119"/>
      <c r="F24" s="10"/>
      <c r="G24" s="5"/>
      <c r="H24" s="5"/>
      <c r="I24" s="5"/>
      <c r="J24" s="6"/>
      <c r="K24" s="6"/>
      <c r="L24" s="17"/>
    </row>
    <row r="27" spans="1:12" ht="20.25" x14ac:dyDescent="0.25">
      <c r="A27" s="105" t="s">
        <v>53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7"/>
    </row>
    <row r="28" spans="1:12" x14ac:dyDescent="0.25">
      <c r="A28" s="108" t="s">
        <v>54</v>
      </c>
      <c r="B28" s="109"/>
      <c r="C28" s="109"/>
      <c r="D28" s="109"/>
      <c r="E28" s="109"/>
      <c r="L28" s="9"/>
    </row>
    <row r="29" spans="1:12" x14ac:dyDescent="0.25">
      <c r="A29" s="108"/>
      <c r="B29" s="109"/>
      <c r="C29" s="109"/>
      <c r="D29" s="109"/>
      <c r="E29" s="109"/>
      <c r="F29" s="95" t="s">
        <v>98</v>
      </c>
      <c r="G29" s="95"/>
      <c r="H29" s="95"/>
      <c r="I29" s="95"/>
      <c r="J29" s="68">
        <f ca="1">SUM(J33:L54)+J17</f>
        <v>0</v>
      </c>
      <c r="K29" s="68"/>
      <c r="L29" s="91"/>
    </row>
    <row r="30" spans="1:12" x14ac:dyDescent="0.25">
      <c r="A30" s="108"/>
      <c r="B30" s="109"/>
      <c r="C30" s="109"/>
      <c r="D30" s="109"/>
      <c r="E30" s="109"/>
      <c r="L30" s="9"/>
    </row>
    <row r="31" spans="1:12" x14ac:dyDescent="0.25">
      <c r="A31" s="8"/>
      <c r="L31" s="9"/>
    </row>
    <row r="32" spans="1:12" x14ac:dyDescent="0.25">
      <c r="A32" s="102" t="s">
        <v>55</v>
      </c>
      <c r="B32" s="103"/>
      <c r="C32" s="103"/>
      <c r="D32" s="103"/>
      <c r="E32" s="103"/>
      <c r="F32" s="5"/>
      <c r="G32" s="5"/>
      <c r="H32" s="5"/>
      <c r="I32" s="5"/>
      <c r="J32" s="103" t="s">
        <v>56</v>
      </c>
      <c r="K32" s="103"/>
      <c r="L32" s="104"/>
    </row>
    <row r="33" spans="1:15" x14ac:dyDescent="0.25">
      <c r="A33" s="77"/>
      <c r="B33" s="78"/>
      <c r="C33" s="78"/>
      <c r="D33" s="78"/>
      <c r="E33" s="6"/>
      <c r="F33" s="6"/>
      <c r="G33" s="6"/>
      <c r="H33" s="6"/>
      <c r="I33" s="6"/>
      <c r="J33" s="100">
        <f ca="1">_xlfn.IFNA(OFFSET(Adatok!$A$91,MATCH('Gyorsító sáv'!$A33,Fastlaneshops,0)-1,1,1,COUNT(OFFSET(Adatok!$A$91,MATCH('Gyorsító sáv'!$A33,Fastlaneshops,0)-1,1,,1))),0)</f>
        <v>0</v>
      </c>
      <c r="K33" s="100"/>
      <c r="L33" s="101"/>
    </row>
    <row r="34" spans="1:15" x14ac:dyDescent="0.25">
      <c r="A34" s="77" t="s">
        <v>102</v>
      </c>
      <c r="B34" s="78"/>
      <c r="C34" s="78"/>
      <c r="D34" s="78"/>
      <c r="E34" s="6"/>
      <c r="F34" s="6"/>
      <c r="G34" s="6"/>
      <c r="H34" s="6"/>
      <c r="I34" s="6"/>
      <c r="J34" s="100">
        <f ca="1">_xlfn.IFNA(OFFSET(Adatok!$A$91,MATCH('Gyorsító sáv'!$A34,Fastlaneshops,0)-1,1,1,COUNT(OFFSET(Adatok!$A$91,MATCH('Gyorsító sáv'!$A34,Fastlaneshops,0)-1,1,,1))),0)</f>
        <v>0</v>
      </c>
      <c r="K34" s="100"/>
      <c r="L34" s="101"/>
    </row>
    <row r="35" spans="1:15" x14ac:dyDescent="0.25">
      <c r="A35" s="77" t="s">
        <v>102</v>
      </c>
      <c r="B35" s="78"/>
      <c r="C35" s="78"/>
      <c r="D35" s="78"/>
      <c r="E35" s="6"/>
      <c r="F35" s="6"/>
      <c r="G35" s="6"/>
      <c r="H35" s="6"/>
      <c r="I35" s="6"/>
      <c r="J35" s="100">
        <f ca="1">_xlfn.IFNA(OFFSET(Adatok!$A$91,MATCH('Gyorsító sáv'!$A35,Fastlaneshops,0)-1,1,1,COUNT(OFFSET(Adatok!$A$91,MATCH('Gyorsító sáv'!$A35,Fastlaneshops,0)-1,1,,1))),0)</f>
        <v>0</v>
      </c>
      <c r="K35" s="100"/>
      <c r="L35" s="101"/>
      <c r="O35" s="55"/>
    </row>
    <row r="36" spans="1:15" x14ac:dyDescent="0.25">
      <c r="A36" s="77" t="s">
        <v>102</v>
      </c>
      <c r="B36" s="78"/>
      <c r="C36" s="78"/>
      <c r="D36" s="78"/>
      <c r="E36" s="6"/>
      <c r="F36" s="6"/>
      <c r="G36" s="6"/>
      <c r="H36" s="6"/>
      <c r="I36" s="6"/>
      <c r="J36" s="100">
        <f ca="1">_xlfn.IFNA(OFFSET(Adatok!$A$91,MATCH('Gyorsító sáv'!$A36,Fastlaneshops,0)-1,1,1,COUNT(OFFSET(Adatok!$A$91,MATCH('Gyorsító sáv'!$A36,Fastlaneshops,0)-1,1,,1))),0)</f>
        <v>0</v>
      </c>
      <c r="K36" s="100"/>
      <c r="L36" s="101"/>
    </row>
    <row r="37" spans="1:15" x14ac:dyDescent="0.25">
      <c r="A37" s="77"/>
      <c r="B37" s="78"/>
      <c r="C37" s="78"/>
      <c r="D37" s="78"/>
      <c r="E37" s="6"/>
      <c r="F37" s="6"/>
      <c r="G37" s="6"/>
      <c r="H37" s="6"/>
      <c r="I37" s="6"/>
      <c r="J37" s="100">
        <f ca="1">_xlfn.IFNA(OFFSET(Adatok!$A$91,MATCH('Gyorsító sáv'!$A37,Fastlaneshops,0)-1,1,1,COUNT(OFFSET(Adatok!$A$91,MATCH('Gyorsító sáv'!$A37,Fastlaneshops,0)-1,1,,1))),0)</f>
        <v>0</v>
      </c>
      <c r="K37" s="100"/>
      <c r="L37" s="101"/>
    </row>
    <row r="38" spans="1:15" x14ac:dyDescent="0.25">
      <c r="A38" s="77" t="s">
        <v>102</v>
      </c>
      <c r="B38" s="78"/>
      <c r="C38" s="78"/>
      <c r="D38" s="78"/>
      <c r="E38" s="6"/>
      <c r="F38" s="6"/>
      <c r="G38" s="6"/>
      <c r="H38" s="6"/>
      <c r="I38" s="6"/>
      <c r="J38" s="100">
        <f ca="1">_xlfn.IFNA(OFFSET(Adatok!$A$91,MATCH('Gyorsító sáv'!$A38,Fastlaneshops,0)-1,1,1,COUNT(OFFSET(Adatok!$A$91,MATCH('Gyorsító sáv'!$A38,Fastlaneshops,0)-1,1,,1))),0)</f>
        <v>0</v>
      </c>
      <c r="K38" s="100"/>
      <c r="L38" s="101"/>
    </row>
    <row r="39" spans="1:15" x14ac:dyDescent="0.25">
      <c r="A39" s="77" t="s">
        <v>102</v>
      </c>
      <c r="B39" s="78"/>
      <c r="C39" s="78"/>
      <c r="D39" s="78"/>
      <c r="E39" s="6"/>
      <c r="F39" s="6"/>
      <c r="G39" s="6"/>
      <c r="H39" s="6"/>
      <c r="I39" s="6"/>
      <c r="J39" s="100">
        <f ca="1">_xlfn.IFNA(OFFSET(Adatok!$A$91,MATCH('Gyorsító sáv'!$A39,Fastlaneshops,0)-1,1,1,COUNT(OFFSET(Adatok!$A$91,MATCH('Gyorsító sáv'!$A39,Fastlaneshops,0)-1,1,,1))),0)</f>
        <v>0</v>
      </c>
      <c r="K39" s="100"/>
      <c r="L39" s="101"/>
    </row>
    <row r="40" spans="1:15" x14ac:dyDescent="0.25">
      <c r="A40" s="77" t="s">
        <v>102</v>
      </c>
      <c r="B40" s="78"/>
      <c r="C40" s="78"/>
      <c r="D40" s="78"/>
      <c r="E40" s="6"/>
      <c r="F40" s="6"/>
      <c r="G40" s="6"/>
      <c r="H40" s="6"/>
      <c r="I40" s="6"/>
      <c r="J40" s="100">
        <f ca="1">_xlfn.IFNA(OFFSET(Adatok!$A$91,MATCH('Gyorsító sáv'!$A40,Fastlaneshops,0)-1,1,1,COUNT(OFFSET(Adatok!$A$91,MATCH('Gyorsító sáv'!$A40,Fastlaneshops,0)-1,1,,1))),0)</f>
        <v>0</v>
      </c>
      <c r="K40" s="100"/>
      <c r="L40" s="101"/>
    </row>
    <row r="41" spans="1:15" x14ac:dyDescent="0.25">
      <c r="A41" s="77" t="s">
        <v>102</v>
      </c>
      <c r="B41" s="78"/>
      <c r="C41" s="78"/>
      <c r="D41" s="78"/>
      <c r="E41" s="6"/>
      <c r="F41" s="6"/>
      <c r="G41" s="6"/>
      <c r="H41" s="6"/>
      <c r="I41" s="6"/>
      <c r="J41" s="100">
        <f ca="1">_xlfn.IFNA(OFFSET(Adatok!$A$91,MATCH('Gyorsító sáv'!$A41,Fastlaneshops,0)-1,1,1,COUNT(OFFSET(Adatok!$A$91,MATCH('Gyorsító sáv'!$A41,Fastlaneshops,0)-1,1,,1))),0)</f>
        <v>0</v>
      </c>
      <c r="K41" s="100"/>
      <c r="L41" s="101"/>
    </row>
    <row r="42" spans="1:15" x14ac:dyDescent="0.25">
      <c r="A42" s="77" t="s">
        <v>102</v>
      </c>
      <c r="B42" s="78"/>
      <c r="C42" s="78"/>
      <c r="D42" s="78"/>
      <c r="E42" s="6"/>
      <c r="F42" s="6"/>
      <c r="G42" s="6"/>
      <c r="H42" s="6"/>
      <c r="I42" s="6"/>
      <c r="J42" s="100">
        <f ca="1">_xlfn.IFNA(OFFSET(Adatok!$A$91,MATCH('Gyorsító sáv'!$A42,Fastlaneshops,0)-1,1,1,COUNT(OFFSET(Adatok!$A$91,MATCH('Gyorsító sáv'!$A42,Fastlaneshops,0)-1,1,,1))),0)</f>
        <v>0</v>
      </c>
      <c r="K42" s="100"/>
      <c r="L42" s="101"/>
    </row>
    <row r="43" spans="1:15" x14ac:dyDescent="0.25">
      <c r="A43" s="77" t="s">
        <v>102</v>
      </c>
      <c r="B43" s="78"/>
      <c r="C43" s="78"/>
      <c r="D43" s="78"/>
      <c r="E43" s="6"/>
      <c r="F43" s="6"/>
      <c r="G43" s="6"/>
      <c r="H43" s="6"/>
      <c r="I43" s="6"/>
      <c r="J43" s="100">
        <f ca="1">_xlfn.IFNA(OFFSET(Adatok!$A$91,MATCH('Gyorsító sáv'!$A43,Fastlaneshops,0)-1,1,1,COUNT(OFFSET(Adatok!$A$91,MATCH('Gyorsító sáv'!$A43,Fastlaneshops,0)-1,1,,1))),0)</f>
        <v>0</v>
      </c>
      <c r="K43" s="100"/>
      <c r="L43" s="101"/>
    </row>
    <row r="44" spans="1:15" x14ac:dyDescent="0.25">
      <c r="A44" s="77"/>
      <c r="B44" s="78"/>
      <c r="C44" s="78"/>
      <c r="D44" s="78"/>
      <c r="E44" s="6"/>
      <c r="F44" s="6"/>
      <c r="G44" s="6"/>
      <c r="H44" s="6"/>
      <c r="I44" s="6"/>
      <c r="J44" s="100">
        <f ca="1">_xlfn.IFNA(OFFSET(Adatok!$A$91,MATCH('Gyorsító sáv'!$A44,Fastlaneshops,0)-1,1,1,COUNT(OFFSET(Adatok!$A$91,MATCH('Gyorsító sáv'!$A44,Fastlaneshops,0)-1,1,,1))),0)</f>
        <v>0</v>
      </c>
      <c r="K44" s="100"/>
      <c r="L44" s="101"/>
    </row>
    <row r="45" spans="1:15" x14ac:dyDescent="0.25">
      <c r="A45" s="77" t="s">
        <v>102</v>
      </c>
      <c r="B45" s="78"/>
      <c r="C45" s="78"/>
      <c r="D45" s="78"/>
      <c r="E45" s="6"/>
      <c r="F45" s="6"/>
      <c r="G45" s="6"/>
      <c r="H45" s="6"/>
      <c r="I45" s="6"/>
      <c r="J45" s="100">
        <f ca="1">_xlfn.IFNA(OFFSET(Adatok!$A$91,MATCH('Gyorsító sáv'!$A45,Fastlaneshops,0)-1,1,1,COUNT(OFFSET(Adatok!$A$91,MATCH('Gyorsító sáv'!$A45,Fastlaneshops,0)-1,1,,1))),0)</f>
        <v>0</v>
      </c>
      <c r="K45" s="100"/>
      <c r="L45" s="101"/>
    </row>
    <row r="46" spans="1:15" x14ac:dyDescent="0.25">
      <c r="A46" s="77" t="s">
        <v>102</v>
      </c>
      <c r="B46" s="78"/>
      <c r="C46" s="78"/>
      <c r="D46" s="78"/>
      <c r="E46" s="6"/>
      <c r="F46" s="6"/>
      <c r="G46" s="6"/>
      <c r="H46" s="6"/>
      <c r="I46" s="6"/>
      <c r="J46" s="100">
        <f ca="1">_xlfn.IFNA(OFFSET(Adatok!$A$91,MATCH('Gyorsító sáv'!$A46,Fastlaneshops,0)-1,1,1,COUNT(OFFSET(Adatok!$A$91,MATCH('Gyorsító sáv'!$A46,Fastlaneshops,0)-1,1,,1))),0)</f>
        <v>0</v>
      </c>
      <c r="K46" s="100"/>
      <c r="L46" s="101"/>
    </row>
    <row r="47" spans="1:15" x14ac:dyDescent="0.25">
      <c r="A47" s="77" t="s">
        <v>102</v>
      </c>
      <c r="B47" s="78"/>
      <c r="C47" s="78"/>
      <c r="D47" s="78"/>
      <c r="E47" s="6"/>
      <c r="F47" s="6"/>
      <c r="G47" s="6"/>
      <c r="H47" s="6"/>
      <c r="I47" s="6"/>
      <c r="J47" s="100">
        <f ca="1">_xlfn.IFNA(OFFSET(Adatok!$A$91,MATCH('Gyorsító sáv'!$A47,Fastlaneshops,0)-1,1,1,COUNT(OFFSET(Adatok!$A$91,MATCH('Gyorsító sáv'!$A47,Fastlaneshops,0)-1,1,,1))),0)</f>
        <v>0</v>
      </c>
      <c r="K47" s="100"/>
      <c r="L47" s="101"/>
    </row>
    <row r="48" spans="1:15" x14ac:dyDescent="0.25">
      <c r="A48" s="77" t="s">
        <v>102</v>
      </c>
      <c r="B48" s="78"/>
      <c r="C48" s="78"/>
      <c r="D48" s="78"/>
      <c r="E48" s="6"/>
      <c r="F48" s="6"/>
      <c r="G48" s="6"/>
      <c r="H48" s="6"/>
      <c r="I48" s="6"/>
      <c r="J48" s="100">
        <f ca="1">_xlfn.IFNA(OFFSET(Adatok!$A$91,MATCH('Gyorsító sáv'!$A48,Fastlaneshops,0)-1,1,1,COUNT(OFFSET(Adatok!$A$91,MATCH('Gyorsító sáv'!$A48,Fastlaneshops,0)-1,1,,1))),0)</f>
        <v>0</v>
      </c>
      <c r="K48" s="100"/>
      <c r="L48" s="101"/>
    </row>
    <row r="49" spans="1:12" x14ac:dyDescent="0.25">
      <c r="A49" s="77" t="s">
        <v>102</v>
      </c>
      <c r="B49" s="78"/>
      <c r="C49" s="78"/>
      <c r="D49" s="78"/>
      <c r="E49" s="6"/>
      <c r="F49" s="6"/>
      <c r="G49" s="6"/>
      <c r="H49" s="6"/>
      <c r="I49" s="6"/>
      <c r="J49" s="100">
        <f ca="1">_xlfn.IFNA(OFFSET(Adatok!$A$91,MATCH('Gyorsító sáv'!$A49,Fastlaneshops,0)-1,1,1,COUNT(OFFSET(Adatok!$A$91,MATCH('Gyorsító sáv'!$A49,Fastlaneshops,0)-1,1,,1))),0)</f>
        <v>0</v>
      </c>
      <c r="K49" s="100"/>
      <c r="L49" s="101"/>
    </row>
    <row r="50" spans="1:12" x14ac:dyDescent="0.25">
      <c r="A50" s="77" t="s">
        <v>102</v>
      </c>
      <c r="B50" s="78"/>
      <c r="C50" s="78"/>
      <c r="D50" s="78"/>
      <c r="E50" s="6"/>
      <c r="F50" s="6"/>
      <c r="G50" s="6"/>
      <c r="H50" s="6"/>
      <c r="I50" s="6"/>
      <c r="J50" s="100">
        <f ca="1">_xlfn.IFNA(OFFSET(Adatok!$A$91,MATCH('Gyorsító sáv'!$A50,Fastlaneshops,0)-1,1,1,COUNT(OFFSET(Adatok!$A$91,MATCH('Gyorsító sáv'!$A50,Fastlaneshops,0)-1,1,,1))),0)</f>
        <v>0</v>
      </c>
      <c r="K50" s="100"/>
      <c r="L50" s="101"/>
    </row>
    <row r="51" spans="1:12" x14ac:dyDescent="0.25">
      <c r="A51" s="77" t="s">
        <v>102</v>
      </c>
      <c r="B51" s="78"/>
      <c r="C51" s="78"/>
      <c r="D51" s="78"/>
      <c r="E51" s="6"/>
      <c r="F51" s="6"/>
      <c r="G51" s="6"/>
      <c r="H51" s="6"/>
      <c r="I51" s="6"/>
      <c r="J51" s="100">
        <f ca="1">_xlfn.IFNA(OFFSET(Adatok!$A$91,MATCH('Gyorsító sáv'!$A51,Fastlaneshops,0)-1,1,1,COUNT(OFFSET(Adatok!$A$91,MATCH('Gyorsító sáv'!$A51,Fastlaneshops,0)-1,1,,1))),0)</f>
        <v>0</v>
      </c>
      <c r="K51" s="100"/>
      <c r="L51" s="101"/>
    </row>
    <row r="52" spans="1:12" x14ac:dyDescent="0.25">
      <c r="A52" s="77" t="s">
        <v>102</v>
      </c>
      <c r="B52" s="78"/>
      <c r="C52" s="78"/>
      <c r="D52" s="78"/>
      <c r="E52" s="6"/>
      <c r="F52" s="6"/>
      <c r="G52" s="6"/>
      <c r="H52" s="6"/>
      <c r="I52" s="6"/>
      <c r="J52" s="100">
        <f ca="1">_xlfn.IFNA(OFFSET(Adatok!$A$91,MATCH('Gyorsító sáv'!$A52,Fastlaneshops,0)-1,1,1,COUNT(OFFSET(Adatok!$A$91,MATCH('Gyorsító sáv'!$A52,Fastlaneshops,0)-1,1,,1))),0)</f>
        <v>0</v>
      </c>
      <c r="K52" s="100"/>
      <c r="L52" s="101"/>
    </row>
    <row r="53" spans="1:12" x14ac:dyDescent="0.25">
      <c r="A53" s="77" t="s">
        <v>102</v>
      </c>
      <c r="B53" s="78"/>
      <c r="C53" s="78"/>
      <c r="D53" s="78"/>
      <c r="E53" s="6"/>
      <c r="F53" s="6"/>
      <c r="G53" s="6"/>
      <c r="H53" s="6"/>
      <c r="I53" s="6"/>
      <c r="J53" s="100">
        <f ca="1">_xlfn.IFNA(OFFSET(Adatok!$A$91,MATCH('Gyorsító sáv'!$A53,Fastlaneshops,0)-1,1,1,COUNT(OFFSET(Adatok!$A$91,MATCH('Gyorsító sáv'!$A53,Fastlaneshops,0)-1,1,,1))),0)</f>
        <v>0</v>
      </c>
      <c r="K53" s="100"/>
      <c r="L53" s="101"/>
    </row>
    <row r="54" spans="1:12" x14ac:dyDescent="0.25">
      <c r="A54" s="77"/>
      <c r="B54" s="78"/>
      <c r="C54" s="78"/>
      <c r="D54" s="78"/>
      <c r="E54" s="5"/>
      <c r="F54" s="5"/>
      <c r="G54" s="5"/>
      <c r="H54" s="5"/>
      <c r="I54" s="5"/>
      <c r="J54" s="100">
        <f ca="1">_xlfn.IFNA(OFFSET(Adatok!$A$91,MATCH('Gyorsító sáv'!$A54,Fastlaneshops,0)-1,1,1,COUNT(OFFSET(Adatok!$A$91,MATCH('Gyorsító sáv'!$A54,Fastlaneshops,0)-1,1,,1))),0)</f>
        <v>0</v>
      </c>
      <c r="K54" s="100"/>
      <c r="L54" s="101"/>
    </row>
  </sheetData>
  <sheetProtection algorithmName="SHA-512" hashValue="4oYOXtn/SkEEpxnbBuFvp5wC4bmDI6DebCcM6a9JKOk7ZXmdIhz279LIdU/mdbbg4Nsqb2In7x64ZLEYsaGTeA==" saltValue="nPQFHNezCWqqhDxB+8sTFQ==" spinCount="100000" sheet="1" selectLockedCells="1"/>
  <mergeCells count="69">
    <mergeCell ref="A10:C10"/>
    <mergeCell ref="A11:E11"/>
    <mergeCell ref="F22:I23"/>
    <mergeCell ref="H1:K1"/>
    <mergeCell ref="H4:K4"/>
    <mergeCell ref="F1:G1"/>
    <mergeCell ref="F4:G4"/>
    <mergeCell ref="F8:J8"/>
    <mergeCell ref="A4:D6"/>
    <mergeCell ref="A7:D9"/>
    <mergeCell ref="J10:L10"/>
    <mergeCell ref="J12:L12"/>
    <mergeCell ref="A13:D16"/>
    <mergeCell ref="A17:D24"/>
    <mergeCell ref="J17:L17"/>
    <mergeCell ref="A28:E30"/>
    <mergeCell ref="F29:I29"/>
    <mergeCell ref="J23:L23"/>
    <mergeCell ref="F19:I20"/>
    <mergeCell ref="F15:L15"/>
    <mergeCell ref="A39:D39"/>
    <mergeCell ref="A32:E32"/>
    <mergeCell ref="J32:L32"/>
    <mergeCell ref="A27:L27"/>
    <mergeCell ref="J29:L29"/>
    <mergeCell ref="J38:L38"/>
    <mergeCell ref="A33:D33"/>
    <mergeCell ref="A34:D34"/>
    <mergeCell ref="A35:D35"/>
    <mergeCell ref="A36:D36"/>
    <mergeCell ref="A37:D37"/>
    <mergeCell ref="A38:D38"/>
    <mergeCell ref="J33:L33"/>
    <mergeCell ref="J34:L34"/>
    <mergeCell ref="J35:L35"/>
    <mergeCell ref="J36:L36"/>
    <mergeCell ref="J37:L37"/>
    <mergeCell ref="J46:L46"/>
    <mergeCell ref="J47:L47"/>
    <mergeCell ref="J39:L39"/>
    <mergeCell ref="J40:L40"/>
    <mergeCell ref="J41:L41"/>
    <mergeCell ref="J42:L42"/>
    <mergeCell ref="J43:L43"/>
    <mergeCell ref="J44:L44"/>
    <mergeCell ref="A46:D46"/>
    <mergeCell ref="A47:D47"/>
    <mergeCell ref="A40:D40"/>
    <mergeCell ref="A41:D41"/>
    <mergeCell ref="A42:D42"/>
    <mergeCell ref="A43:D43"/>
    <mergeCell ref="A44:D44"/>
    <mergeCell ref="A45:D45"/>
    <mergeCell ref="A54:D54"/>
    <mergeCell ref="J54:L54"/>
    <mergeCell ref="A52:D52"/>
    <mergeCell ref="A53:D53"/>
    <mergeCell ref="J20:L20"/>
    <mergeCell ref="A48:D48"/>
    <mergeCell ref="A49:D49"/>
    <mergeCell ref="A50:D50"/>
    <mergeCell ref="A51:D51"/>
    <mergeCell ref="J51:L51"/>
    <mergeCell ref="J52:L52"/>
    <mergeCell ref="J53:L53"/>
    <mergeCell ref="J48:L48"/>
    <mergeCell ref="J49:L49"/>
    <mergeCell ref="J50:L50"/>
    <mergeCell ref="J45:L45"/>
  </mergeCells>
  <conditionalFormatting sqref="H1:K1">
    <cfRule type="expression" dxfId="15" priority="11">
      <formula>$H$1=0</formula>
    </cfRule>
  </conditionalFormatting>
  <conditionalFormatting sqref="H4:K4">
    <cfRule type="expression" dxfId="14" priority="10">
      <formula>$H$4=0</formula>
    </cfRule>
  </conditionalFormatting>
  <conditionalFormatting sqref="J17:L17">
    <cfRule type="expression" dxfId="13" priority="6">
      <formula>$J$17=0</formula>
    </cfRule>
  </conditionalFormatting>
  <conditionalFormatting sqref="J12:L12">
    <cfRule type="expression" dxfId="12" priority="5">
      <formula>$J$12=0</formula>
    </cfRule>
  </conditionalFormatting>
  <conditionalFormatting sqref="J10:L10">
    <cfRule type="expression" dxfId="11" priority="4">
      <formula>$J$10=0</formula>
    </cfRule>
  </conditionalFormatting>
  <conditionalFormatting sqref="J29:L29">
    <cfRule type="expression" dxfId="10" priority="2">
      <formula>$J$29&gt;=$J$23</formula>
    </cfRule>
    <cfRule type="expression" dxfId="9" priority="3">
      <formula>$J$29=0</formula>
    </cfRule>
  </conditionalFormatting>
  <conditionalFormatting sqref="J33:L54">
    <cfRule type="expression" dxfId="8" priority="1">
      <formula>$J33=0</formula>
    </cfRule>
  </conditionalFormatting>
  <dataValidations count="1">
    <dataValidation type="list" allowBlank="1" showInputMessage="1" showErrorMessage="1" sqref="A33:D54" xr:uid="{9371D893-1FDE-4394-BFDD-5C8A584F5A7B}">
      <formula1>Fastlaneshops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8BBE-78D4-45C1-987E-F9DC6D224387}">
  <sheetPr codeName="Sheet3"/>
  <dimension ref="A1:AD106"/>
  <sheetViews>
    <sheetView zoomScale="85" zoomScaleNormal="85" workbookViewId="0">
      <selection activeCell="B13" sqref="B13"/>
    </sheetView>
  </sheetViews>
  <sheetFormatPr defaultRowHeight="15" x14ac:dyDescent="0.25"/>
  <cols>
    <col min="1" max="1" width="27.7109375" customWidth="1"/>
    <col min="2" max="2" width="16.42578125" customWidth="1"/>
    <col min="3" max="5" width="17.85546875" customWidth="1"/>
    <col min="6" max="6" width="13.42578125" customWidth="1"/>
    <col min="7" max="7" width="22.7109375" customWidth="1"/>
    <col min="8" max="8" width="20.7109375" customWidth="1"/>
    <col min="9" max="9" width="19.28515625" customWidth="1"/>
    <col min="10" max="10" width="31.7109375" customWidth="1"/>
    <col min="11" max="11" width="18.140625" customWidth="1"/>
    <col min="12" max="12" width="17" customWidth="1"/>
    <col min="13" max="13" width="18.7109375" customWidth="1"/>
    <col min="14" max="14" width="19.28515625" customWidth="1"/>
    <col min="15" max="15" width="19.42578125" customWidth="1"/>
    <col min="16" max="16" width="11" customWidth="1"/>
    <col min="17" max="17" width="13.85546875" bestFit="1" customWidth="1"/>
    <col min="18" max="18" width="13.85546875" customWidth="1"/>
    <col min="19" max="19" width="12.7109375" bestFit="1" customWidth="1"/>
    <col min="20" max="20" width="17.28515625" customWidth="1"/>
    <col min="21" max="21" width="11.5703125" bestFit="1" customWidth="1"/>
  </cols>
  <sheetData>
    <row r="1" spans="1:21" x14ac:dyDescent="0.25">
      <c r="A1" t="s">
        <v>62</v>
      </c>
      <c r="B1" t="s">
        <v>63</v>
      </c>
      <c r="C1" t="s">
        <v>6</v>
      </c>
      <c r="D1" s="33" t="s">
        <v>7</v>
      </c>
      <c r="E1" s="33" t="s">
        <v>8</v>
      </c>
      <c r="F1" t="s">
        <v>67</v>
      </c>
      <c r="G1" t="s">
        <v>68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s="33" t="s">
        <v>18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69</v>
      </c>
      <c r="T1" t="s">
        <v>75</v>
      </c>
      <c r="U1" t="s">
        <v>76</v>
      </c>
    </row>
    <row r="2" spans="1:21" x14ac:dyDescent="0.25">
      <c r="A2" t="s">
        <v>64</v>
      </c>
      <c r="B2" t="s">
        <v>163</v>
      </c>
      <c r="C2" s="34">
        <v>9500</v>
      </c>
      <c r="D2" s="35">
        <v>0</v>
      </c>
      <c r="E2" s="35">
        <v>0</v>
      </c>
      <c r="F2">
        <v>2350</v>
      </c>
      <c r="G2">
        <v>1330</v>
      </c>
      <c r="H2">
        <v>0</v>
      </c>
      <c r="I2">
        <v>300</v>
      </c>
      <c r="J2">
        <v>660</v>
      </c>
      <c r="K2">
        <v>50</v>
      </c>
      <c r="L2">
        <v>2210</v>
      </c>
      <c r="M2" s="33">
        <v>0</v>
      </c>
      <c r="N2">
        <v>480</v>
      </c>
      <c r="O2">
        <v>2600</v>
      </c>
      <c r="P2">
        <v>400</v>
      </c>
      <c r="Q2">
        <v>143000</v>
      </c>
      <c r="R2">
        <v>0</v>
      </c>
      <c r="S2">
        <v>15000</v>
      </c>
      <c r="T2">
        <v>22000</v>
      </c>
      <c r="U2">
        <v>1000</v>
      </c>
    </row>
    <row r="3" spans="1:21" x14ac:dyDescent="0.25">
      <c r="A3" t="s">
        <v>65</v>
      </c>
      <c r="B3" t="s">
        <v>86</v>
      </c>
      <c r="C3" s="34">
        <v>4600</v>
      </c>
      <c r="D3" s="35">
        <v>0</v>
      </c>
      <c r="E3" s="35">
        <v>0</v>
      </c>
      <c r="F3">
        <v>910</v>
      </c>
      <c r="G3">
        <v>700</v>
      </c>
      <c r="H3">
        <v>60</v>
      </c>
      <c r="I3">
        <v>120</v>
      </c>
      <c r="J3">
        <v>90</v>
      </c>
      <c r="K3">
        <v>50</v>
      </c>
      <c r="L3">
        <v>1000</v>
      </c>
      <c r="M3" s="33">
        <v>0</v>
      </c>
      <c r="N3">
        <v>240</v>
      </c>
      <c r="O3">
        <v>1670</v>
      </c>
      <c r="P3">
        <v>400</v>
      </c>
      <c r="Q3">
        <v>75000</v>
      </c>
      <c r="R3">
        <v>12000</v>
      </c>
      <c r="S3">
        <v>6000</v>
      </c>
      <c r="T3">
        <v>3000</v>
      </c>
      <c r="U3">
        <v>1000</v>
      </c>
    </row>
    <row r="4" spans="1:21" x14ac:dyDescent="0.25">
      <c r="A4" t="s">
        <v>66</v>
      </c>
      <c r="B4" t="s">
        <v>164</v>
      </c>
      <c r="C4" s="34">
        <v>13200</v>
      </c>
      <c r="D4" s="35">
        <v>0</v>
      </c>
      <c r="E4" s="35">
        <v>0</v>
      </c>
      <c r="F4">
        <v>3420</v>
      </c>
      <c r="G4">
        <v>1900</v>
      </c>
      <c r="H4">
        <v>750</v>
      </c>
      <c r="I4">
        <v>380</v>
      </c>
      <c r="J4">
        <v>270</v>
      </c>
      <c r="K4">
        <v>50</v>
      </c>
      <c r="L4">
        <v>2880</v>
      </c>
      <c r="M4" s="33">
        <v>0</v>
      </c>
      <c r="N4">
        <v>640</v>
      </c>
      <c r="O4">
        <v>3550</v>
      </c>
      <c r="P4">
        <v>400</v>
      </c>
      <c r="Q4">
        <v>202000</v>
      </c>
      <c r="R4">
        <v>150000</v>
      </c>
      <c r="S4">
        <v>19000</v>
      </c>
      <c r="T4">
        <v>9000</v>
      </c>
      <c r="U4">
        <v>1000</v>
      </c>
    </row>
    <row r="5" spans="1:21" x14ac:dyDescent="0.25">
      <c r="A5" t="s">
        <v>77</v>
      </c>
      <c r="B5" t="s">
        <v>87</v>
      </c>
      <c r="C5" s="34">
        <v>4900</v>
      </c>
      <c r="D5" s="35">
        <v>0</v>
      </c>
      <c r="E5" s="35">
        <v>0</v>
      </c>
      <c r="F5">
        <v>1050</v>
      </c>
      <c r="G5">
        <v>700</v>
      </c>
      <c r="H5">
        <v>60</v>
      </c>
      <c r="I5">
        <v>140</v>
      </c>
      <c r="J5">
        <v>120</v>
      </c>
      <c r="K5">
        <v>50</v>
      </c>
      <c r="L5">
        <v>1090</v>
      </c>
      <c r="M5" s="33">
        <v>0</v>
      </c>
      <c r="N5">
        <v>250</v>
      </c>
      <c r="O5">
        <v>1690</v>
      </c>
      <c r="P5">
        <v>400</v>
      </c>
      <c r="Q5">
        <v>75000</v>
      </c>
      <c r="R5">
        <v>12000</v>
      </c>
      <c r="S5">
        <v>7000</v>
      </c>
      <c r="T5">
        <v>4000</v>
      </c>
      <c r="U5">
        <v>1000</v>
      </c>
    </row>
    <row r="6" spans="1:21" x14ac:dyDescent="0.25">
      <c r="A6" t="s">
        <v>78</v>
      </c>
      <c r="B6" t="s">
        <v>159</v>
      </c>
      <c r="C6" s="34">
        <v>1600</v>
      </c>
      <c r="D6" s="35">
        <v>0</v>
      </c>
      <c r="E6" s="35">
        <v>0</v>
      </c>
      <c r="F6">
        <v>280</v>
      </c>
      <c r="G6">
        <v>200</v>
      </c>
      <c r="H6">
        <v>0</v>
      </c>
      <c r="I6">
        <v>60</v>
      </c>
      <c r="J6">
        <v>60</v>
      </c>
      <c r="K6">
        <v>50</v>
      </c>
      <c r="L6">
        <v>300</v>
      </c>
      <c r="M6" s="33">
        <v>0</v>
      </c>
      <c r="N6">
        <v>70</v>
      </c>
      <c r="O6">
        <v>650</v>
      </c>
      <c r="P6">
        <v>560</v>
      </c>
      <c r="Q6">
        <v>20000</v>
      </c>
      <c r="R6">
        <v>0</v>
      </c>
      <c r="S6">
        <v>4000</v>
      </c>
      <c r="T6">
        <v>2000</v>
      </c>
      <c r="U6">
        <v>1000</v>
      </c>
    </row>
    <row r="7" spans="1:21" x14ac:dyDescent="0.25">
      <c r="A7" t="s">
        <v>79</v>
      </c>
      <c r="B7" t="s">
        <v>88</v>
      </c>
      <c r="C7" s="34">
        <v>7500</v>
      </c>
      <c r="D7" s="35">
        <v>0</v>
      </c>
      <c r="E7" s="35">
        <v>0</v>
      </c>
      <c r="F7">
        <v>1830</v>
      </c>
      <c r="G7">
        <v>1100</v>
      </c>
      <c r="H7">
        <v>390</v>
      </c>
      <c r="I7">
        <v>220</v>
      </c>
      <c r="J7">
        <v>180</v>
      </c>
      <c r="K7">
        <v>50</v>
      </c>
      <c r="L7">
        <v>1650</v>
      </c>
      <c r="M7" s="33">
        <v>0</v>
      </c>
      <c r="N7">
        <v>380</v>
      </c>
      <c r="O7">
        <v>2080</v>
      </c>
      <c r="P7">
        <v>400</v>
      </c>
      <c r="Q7">
        <v>115000</v>
      </c>
      <c r="R7">
        <v>78000</v>
      </c>
      <c r="S7">
        <v>11000</v>
      </c>
      <c r="T7">
        <v>6000</v>
      </c>
      <c r="U7">
        <v>1000</v>
      </c>
    </row>
    <row r="8" spans="1:21" x14ac:dyDescent="0.25">
      <c r="A8" t="s">
        <v>80</v>
      </c>
      <c r="B8" t="s">
        <v>162</v>
      </c>
      <c r="C8" s="34">
        <v>2000</v>
      </c>
      <c r="D8" s="35">
        <v>0</v>
      </c>
      <c r="E8" s="35">
        <v>0</v>
      </c>
      <c r="F8">
        <v>360</v>
      </c>
      <c r="G8">
        <v>300</v>
      </c>
      <c r="H8">
        <v>0</v>
      </c>
      <c r="I8">
        <v>60</v>
      </c>
      <c r="J8">
        <v>60</v>
      </c>
      <c r="K8">
        <v>50</v>
      </c>
      <c r="L8">
        <v>450</v>
      </c>
      <c r="M8" s="33">
        <v>0</v>
      </c>
      <c r="N8">
        <v>110</v>
      </c>
      <c r="O8">
        <v>720</v>
      </c>
      <c r="P8">
        <v>670</v>
      </c>
      <c r="Q8">
        <v>31000</v>
      </c>
      <c r="R8">
        <v>0</v>
      </c>
      <c r="S8">
        <v>3000</v>
      </c>
      <c r="T8">
        <v>2000</v>
      </c>
      <c r="U8">
        <v>1000</v>
      </c>
    </row>
    <row r="9" spans="1:21" x14ac:dyDescent="0.25">
      <c r="A9" t="s">
        <v>81</v>
      </c>
      <c r="B9" t="s">
        <v>89</v>
      </c>
      <c r="C9" s="34">
        <v>3100</v>
      </c>
      <c r="D9" s="35">
        <v>0</v>
      </c>
      <c r="E9" s="35">
        <v>0</v>
      </c>
      <c r="F9">
        <v>600</v>
      </c>
      <c r="G9">
        <v>400</v>
      </c>
      <c r="H9">
        <v>30</v>
      </c>
      <c r="I9">
        <v>100</v>
      </c>
      <c r="J9">
        <v>90</v>
      </c>
      <c r="K9">
        <v>50</v>
      </c>
      <c r="L9">
        <v>710</v>
      </c>
      <c r="M9" s="33">
        <v>0</v>
      </c>
      <c r="N9">
        <v>170</v>
      </c>
      <c r="O9">
        <v>1120</v>
      </c>
      <c r="P9">
        <v>480</v>
      </c>
      <c r="Q9">
        <v>47000</v>
      </c>
      <c r="R9">
        <v>6000</v>
      </c>
      <c r="S9">
        <v>5000</v>
      </c>
      <c r="T9">
        <v>3000</v>
      </c>
      <c r="U9">
        <v>1000</v>
      </c>
    </row>
    <row r="10" spans="1:21" x14ac:dyDescent="0.25">
      <c r="A10" t="s">
        <v>82</v>
      </c>
      <c r="B10" t="s">
        <v>161</v>
      </c>
      <c r="C10" s="34">
        <v>3000</v>
      </c>
      <c r="D10" s="35">
        <v>0</v>
      </c>
      <c r="E10" s="35">
        <v>0</v>
      </c>
      <c r="F10">
        <v>580</v>
      </c>
      <c r="G10">
        <v>400</v>
      </c>
      <c r="H10">
        <v>0</v>
      </c>
      <c r="I10">
        <v>100</v>
      </c>
      <c r="J10">
        <v>60</v>
      </c>
      <c r="K10">
        <v>50</v>
      </c>
      <c r="L10">
        <v>690</v>
      </c>
      <c r="M10" s="33">
        <v>0</v>
      </c>
      <c r="N10">
        <v>160</v>
      </c>
      <c r="O10">
        <v>1120</v>
      </c>
      <c r="P10">
        <v>520</v>
      </c>
      <c r="Q10">
        <v>46000</v>
      </c>
      <c r="R10">
        <v>0</v>
      </c>
      <c r="S10">
        <v>5000</v>
      </c>
      <c r="T10">
        <v>2000</v>
      </c>
      <c r="U10">
        <v>1000</v>
      </c>
    </row>
    <row r="11" spans="1:21" x14ac:dyDescent="0.25">
      <c r="A11" t="s">
        <v>83</v>
      </c>
      <c r="B11" t="s">
        <v>90</v>
      </c>
      <c r="C11" s="34">
        <v>2500</v>
      </c>
      <c r="D11" s="35">
        <v>0</v>
      </c>
      <c r="E11" s="35">
        <v>0</v>
      </c>
      <c r="F11">
        <v>460</v>
      </c>
      <c r="G11">
        <v>400</v>
      </c>
      <c r="H11">
        <v>0</v>
      </c>
      <c r="I11">
        <v>80</v>
      </c>
      <c r="J11">
        <v>60</v>
      </c>
      <c r="K11">
        <v>50</v>
      </c>
      <c r="L11">
        <v>570</v>
      </c>
      <c r="M11" s="33">
        <v>0</v>
      </c>
      <c r="N11">
        <v>140</v>
      </c>
      <c r="O11">
        <v>880</v>
      </c>
      <c r="P11">
        <v>710</v>
      </c>
      <c r="Q11">
        <v>38000</v>
      </c>
      <c r="R11">
        <v>0</v>
      </c>
      <c r="S11">
        <v>4000</v>
      </c>
      <c r="T11">
        <v>2000</v>
      </c>
      <c r="U11">
        <v>1000</v>
      </c>
    </row>
    <row r="12" spans="1:21" x14ac:dyDescent="0.25">
      <c r="A12" t="s">
        <v>84</v>
      </c>
      <c r="B12" t="s">
        <v>91</v>
      </c>
      <c r="C12" s="34">
        <v>3300</v>
      </c>
      <c r="D12" s="35">
        <v>0</v>
      </c>
      <c r="E12" s="35">
        <v>0</v>
      </c>
      <c r="F12">
        <v>630</v>
      </c>
      <c r="G12">
        <v>500</v>
      </c>
      <c r="H12">
        <v>60</v>
      </c>
      <c r="I12">
        <v>100</v>
      </c>
      <c r="J12">
        <v>90</v>
      </c>
      <c r="K12">
        <v>50</v>
      </c>
      <c r="L12">
        <v>760</v>
      </c>
      <c r="M12" s="33">
        <v>0</v>
      </c>
      <c r="N12">
        <v>180</v>
      </c>
      <c r="O12">
        <v>1110</v>
      </c>
      <c r="P12">
        <v>400</v>
      </c>
      <c r="Q12">
        <v>50000</v>
      </c>
      <c r="R12">
        <v>12000</v>
      </c>
      <c r="S12">
        <v>5000</v>
      </c>
      <c r="T12">
        <v>3000</v>
      </c>
      <c r="U12">
        <v>1000</v>
      </c>
    </row>
    <row r="13" spans="1:21" x14ac:dyDescent="0.25">
      <c r="A13" t="s">
        <v>85</v>
      </c>
      <c r="B13" t="s">
        <v>160</v>
      </c>
      <c r="C13" s="34">
        <v>2500</v>
      </c>
      <c r="D13" s="35">
        <v>0</v>
      </c>
      <c r="E13" s="35">
        <v>0</v>
      </c>
      <c r="F13">
        <v>460</v>
      </c>
      <c r="G13">
        <v>400</v>
      </c>
      <c r="H13">
        <v>0</v>
      </c>
      <c r="I13">
        <v>80</v>
      </c>
      <c r="J13">
        <v>60</v>
      </c>
      <c r="K13">
        <v>50</v>
      </c>
      <c r="L13">
        <v>570</v>
      </c>
      <c r="M13" s="33">
        <v>0</v>
      </c>
      <c r="N13">
        <v>140</v>
      </c>
      <c r="O13">
        <v>880</v>
      </c>
      <c r="P13">
        <v>750</v>
      </c>
      <c r="Q13">
        <v>38000</v>
      </c>
      <c r="R13">
        <v>0</v>
      </c>
      <c r="S13">
        <v>4000</v>
      </c>
      <c r="T13">
        <v>2000</v>
      </c>
      <c r="U13">
        <v>1000</v>
      </c>
    </row>
    <row r="15" spans="1:21" x14ac:dyDescent="0.25">
      <c r="K15" t="s">
        <v>141</v>
      </c>
    </row>
    <row r="16" spans="1:21" x14ac:dyDescent="0.25">
      <c r="K16">
        <v>1</v>
      </c>
    </row>
    <row r="17" spans="1:30" x14ac:dyDescent="0.25">
      <c r="K17">
        <v>5</v>
      </c>
    </row>
    <row r="18" spans="1:30" x14ac:dyDescent="0.25">
      <c r="A18" t="s">
        <v>92</v>
      </c>
      <c r="C18" t="s">
        <v>101</v>
      </c>
      <c r="G18" t="s">
        <v>106</v>
      </c>
      <c r="H18" t="s">
        <v>109</v>
      </c>
      <c r="I18" t="s">
        <v>26</v>
      </c>
      <c r="K18">
        <v>10</v>
      </c>
    </row>
    <row r="19" spans="1:30" x14ac:dyDescent="0.25">
      <c r="A19" t="s">
        <v>93</v>
      </c>
      <c r="B19" s="34"/>
      <c r="C19">
        <v>0</v>
      </c>
      <c r="G19" t="s">
        <v>107</v>
      </c>
      <c r="H19">
        <v>17000</v>
      </c>
      <c r="I19">
        <v>340</v>
      </c>
      <c r="K19">
        <v>20</v>
      </c>
    </row>
    <row r="20" spans="1:30" x14ac:dyDescent="0.25">
      <c r="A20" t="s">
        <v>94</v>
      </c>
      <c r="C20">
        <v>1</v>
      </c>
      <c r="G20" t="s">
        <v>108</v>
      </c>
      <c r="H20">
        <v>4000</v>
      </c>
      <c r="I20">
        <v>120</v>
      </c>
      <c r="K20">
        <v>30</v>
      </c>
    </row>
    <row r="21" spans="1:30" x14ac:dyDescent="0.25">
      <c r="A21" t="s">
        <v>95</v>
      </c>
      <c r="C21">
        <v>2</v>
      </c>
      <c r="K21">
        <v>40</v>
      </c>
    </row>
    <row r="22" spans="1:30" x14ac:dyDescent="0.25">
      <c r="A22" t="s">
        <v>96</v>
      </c>
      <c r="C22">
        <v>3</v>
      </c>
      <c r="K22">
        <v>50</v>
      </c>
    </row>
    <row r="23" spans="1:30" x14ac:dyDescent="0.25">
      <c r="A23" t="s">
        <v>97</v>
      </c>
    </row>
    <row r="24" spans="1:30" x14ac:dyDescent="0.25">
      <c r="I24" s="58" t="e">
        <f ca="1">OFFSET(Adatok!$H$26,MATCH(Mókuskerék!$A11,Adatok!$H$26:$H$43,0)-1,1,1,COUNT(OFFSET(Adatok!$H$26,MATCH(Mókuskerék!$A11,Adatok!$H$26:$H$43,0)-1,1,,15)))</f>
        <v>#N/A</v>
      </c>
    </row>
    <row r="25" spans="1:30" x14ac:dyDescent="0.25">
      <c r="A25" t="s">
        <v>110</v>
      </c>
      <c r="B25" t="s">
        <v>111</v>
      </c>
      <c r="C25" t="s">
        <v>112</v>
      </c>
      <c r="D25" s="54" t="s">
        <v>113</v>
      </c>
      <c r="E25" t="s">
        <v>114</v>
      </c>
      <c r="G25" t="s">
        <v>122</v>
      </c>
    </row>
    <row r="26" spans="1:30" x14ac:dyDescent="0.25">
      <c r="A26" s="60" t="s">
        <v>133</v>
      </c>
      <c r="B26" s="49">
        <v>500</v>
      </c>
      <c r="C26" s="49">
        <v>0</v>
      </c>
      <c r="D26" s="49">
        <v>500</v>
      </c>
      <c r="E26" s="49">
        <v>0</v>
      </c>
      <c r="G26">
        <f>COUNTIF(Adatok[Ingatlanok],H26)</f>
        <v>1</v>
      </c>
      <c r="H26" s="57" t="str">
        <f>INDEX(Adatok[Ingatlanok],MATCH(0,INDEX(COUNTIF($H$25:H25,Adatok[Ingatlanok]),),0))</f>
        <v>RITKA ARANY ÉRME</v>
      </c>
      <c r="I26">
        <f>IF(COLUMNS($J$25:J$25)&lt;=$G26,INDEX(Adatok[[Ár]:[Ár]],_xlfn.AGGREGATE(15,3,(Adatok[[Ingatlanok]:[Ingatlanok]]=$H26)/(Adatok[[Ingatlanok]:[Ingatlanok]]=$H26)*(ROW(Adatok[[Ingatlanok]:[Ingatlanok]])-ROW(Adatok[[#Headers],[Ingatlanok]])),COLUMNS($J$25:J$25))),"")</f>
        <v>500</v>
      </c>
      <c r="J26" t="str">
        <f>IF(COLUMNS($J$25:K$25)&lt;=$G26,INDEX(Adatok[[Ár]:[Ár]],_xlfn.AGGREGATE(15,3,(Adatok[[Ingatlanok]:[Ingatlanok]]=$H26)/(Adatok[[Ingatlanok]:[Ingatlanok]]=$H26)*(ROW(Adatok[[Ingatlanok]:[Ingatlanok]])-ROW(Adatok[[#Headers],[Ár]])),COLUMNS($J$25:K$25))),"")</f>
        <v/>
      </c>
      <c r="K26" t="str">
        <f>IF(COLUMNS($J$25:L$25)&lt;=$G26,INDEX(Adatok[[Ár]:[Ár]],_xlfn.AGGREGATE(15,3,(Adatok[[Ingatlanok]:[Ingatlanok]]=$H26)/(Adatok[[Ingatlanok]:[Ingatlanok]]=$H26)*(ROW(Adatok[[Ingatlanok]:[Ingatlanok]])-ROW(Adatok[[#Headers],[Letét, jelzálog]])),COLUMNS($J$25:L$25))),"")</f>
        <v/>
      </c>
      <c r="L26" t="str">
        <f>IF(COLUMNS($J$25:M$25)&lt;=$G26,INDEX(Adatok[[Ár]:[Ár]],_xlfn.AGGREGATE(15,3,(Adatok[[Ingatlanok]:[Ingatlanok]]=$H26)/(Adatok[[Ingatlanok]:[Ingatlanok]]=$H26)*(ROW(Adatok[[Ingatlanok]:[Ingatlanok]])-ROW(Adatok[[#Headers],[Előleg]])),COLUMNS($J$25:M$25))),"")</f>
        <v/>
      </c>
      <c r="M26" t="str">
        <f>IF(COLUMNS($J$25:N$25)&lt;=$G26,INDEX(Adatok[[Ár]:[Ár]],_xlfn.AGGREGATE(15,3,(Adatok[[Ingatlanok]:[Ingatlanok]]=$H26)/(Adatok[[Ingatlanok]:[Ingatlanok]]=$H26)*(ROW(Adatok[[Ingatlanok]:[Ingatlanok]])-ROW(Adatok[[#Headers],[Cashflow]])),COLUMNS($J$25:N$25))),"")</f>
        <v/>
      </c>
      <c r="N26" t="str">
        <f>IF(COLUMNS($J$25:O$25)&lt;=$G26,INDEX(Adatok[[Ár]:[Ár]],_xlfn.AGGREGATE(15,3,(Adatok[[Ingatlanok]:[Ingatlanok]]=$H26)/(Adatok[[Ingatlanok]:[Ingatlanok]]=$H26)*(ROW(Adatok[[Ingatlanok]:[Ingatlanok]])-ROW(Adatok[[#Headers],[Ingatlanok]])),COLUMNS($J$25:O$25))),"")</f>
        <v/>
      </c>
      <c r="O26" t="str">
        <f>IF(COLUMNS($J$25:P$25)&lt;=$G26,INDEX(Adatok[[Ár]:[Ár]],_xlfn.AGGREGATE(15,3,(Adatok[[Ingatlanok]:[Ingatlanok]]=$H26)/(Adatok[[Ingatlanok]:[Ingatlanok]]=$H26)*(ROW(Adatok[[Ingatlanok]:[Ingatlanok]])-ROW(Adatok[[#Headers],[Ár]])),COLUMNS($J$25:P$25))),"")</f>
        <v/>
      </c>
      <c r="P26" t="str">
        <f>IF(COLUMNS($J$25:Q$25)&lt;=$G26,INDEX(Adatok[[Ár]:[Ár]],_xlfn.AGGREGATE(15,3,(Adatok[[Ingatlanok]:[Ingatlanok]]=$H26)/(Adatok[[Ingatlanok]:[Ingatlanok]]=$H26)*(ROW(Adatok[[Ingatlanok]:[Ingatlanok]])-ROW(Adatok[[#Headers],[Letét, jelzálog]])),COLUMNS($J$25:Q$25))),"")</f>
        <v/>
      </c>
      <c r="Q26" t="str">
        <f>IF(COLUMNS($J$25:R$25)&lt;=$G26,INDEX(Adatok[[Ár]:[Ár]],_xlfn.AGGREGATE(15,3,(Adatok[[Ingatlanok]:[Ingatlanok]]=$H26)/(Adatok[[Ingatlanok]:[Ingatlanok]]=$H26)*(ROW(Adatok[[Ingatlanok]:[Ingatlanok]])-ROW(Adatok[[#Headers],[Előleg]])),COLUMNS($J$25:R$25))),"")</f>
        <v/>
      </c>
      <c r="R26" t="str">
        <f>IF(COLUMNS($J$25:S$25)&lt;=$G26,INDEX(Adatok[[Ár]:[Ár]],_xlfn.AGGREGATE(15,3,(Adatok[[Ingatlanok]:[Ingatlanok]]=$H26)/(Adatok[[Ingatlanok]:[Ingatlanok]]=$H26)*(ROW(Adatok[[Ingatlanok]:[Ingatlanok]])-ROW(Adatok[[#Headers],[Cashflow]])),COLUMNS($J$25:S$25))),"")</f>
        <v/>
      </c>
      <c r="S26" t="str">
        <f>IF(COLUMNS($J$25:T$25)&lt;=$G26,INDEX(Adatok[[Ár]:[Ár]],_xlfn.AGGREGATE(15,3,(Adatok[[Ingatlanok]:[Ingatlanok]]=$H26)/(Adatok[[Ingatlanok]:[Ingatlanok]]=$H26)*(ROW(Adatok[[Ingatlanok]:[Ingatlanok]])-ROW(Adatok[[#Headers],[Ingatlanok]])),COLUMNS($J$25:T$25))),"")</f>
        <v/>
      </c>
      <c r="T26" t="str">
        <f>IF(COLUMNS($J$25:U$25)&lt;=$G26,INDEX(Adatok[[Ár]:[Ár]],_xlfn.AGGREGATE(15,3,(Adatok[[Ingatlanok]:[Ingatlanok]]=$H26)/(Adatok[[Ingatlanok]:[Ingatlanok]]=$H26)*(ROW(Adatok[[Ingatlanok]:[Ingatlanok]])-ROW(Adatok[[#Headers],[Ár]])),COLUMNS($J$25:U$25))),"")</f>
        <v/>
      </c>
      <c r="U26" t="str">
        <f>IF(COLUMNS($J$25:V$25)&lt;=$G26,INDEX(Adatok[[Ár]:[Ár]],_xlfn.AGGREGATE(15,3,(Adatok[[Ingatlanok]:[Ingatlanok]]=$H26)/(Adatok[[Ingatlanok]:[Ingatlanok]]=$H26)*(ROW(Adatok[[Ingatlanok]:[Ingatlanok]])-ROW(Adatok[[#Headers],[Letét, jelzálog]])),COLUMNS($J$25:V$25))),"")</f>
        <v/>
      </c>
      <c r="V26" t="str">
        <f>IF(COLUMNS($J$25:W$25)&lt;=$G26,INDEX(Adatok[[Ár]:[Ár]],_xlfn.AGGREGATE(15,3,(Adatok[[Ingatlanok]:[Ingatlanok]]=$H26)/(Adatok[[Ingatlanok]:[Ingatlanok]]=$H26)*(ROW(Adatok[[Ingatlanok]:[Ingatlanok]])-ROW(Adatok[[#Headers],[Előleg]])),COLUMNS($J$25:W$25))),"")</f>
        <v/>
      </c>
      <c r="W26" t="str">
        <f>IF(COLUMNS($J$25:X$25)&lt;=$G26,INDEX(Adatok[[Ár]:[Ár]],_xlfn.AGGREGATE(15,3,(Adatok[[Ingatlanok]:[Ingatlanok]]=$H26)/(Adatok[[Ingatlanok]:[Ingatlanok]]=$H26)*(ROW(Adatok[[Ingatlanok]:[Ingatlanok]])-ROW(Adatok[[#Headers],[Cashflow]])),COLUMNS($J$25:X$25))),"")</f>
        <v/>
      </c>
      <c r="X26" t="str">
        <f>IF(COLUMNS($J$25:Y$25)&lt;=$G26,INDEX(Adatok[[Ár]:[Ár]],_xlfn.AGGREGATE(15,3,(Adatok[[Ingatlanok]:[Ingatlanok]]=$H26)/(Adatok[[Ingatlanok]:[Ingatlanok]]=$H26)*(ROW(Adatok[[Ingatlanok]:[Ingatlanok]])-ROW(Adatok[[#Headers],[Ingatlanok]])),COLUMNS($J$25:Y$25))),"")</f>
        <v/>
      </c>
      <c r="Y26" t="str">
        <f>IF(COLUMNS($J$25:Z$25)&lt;=$G26,INDEX(Adatok[[Ár]:[Ár]],_xlfn.AGGREGATE(15,3,(Adatok[[Ingatlanok]:[Ingatlanok]]=$H26)/(Adatok[[Ingatlanok]:[Ingatlanok]]=$H26)*(ROW(Adatok[[Ingatlanok]:[Ingatlanok]])-ROW(Adatok[[#Headers],[Ár]])),COLUMNS($J$25:Z$25))),"")</f>
        <v/>
      </c>
      <c r="Z26" t="str">
        <f>IF(COLUMNS($J$25:AA$25)&lt;=$G26,INDEX(Adatok[[Ár]:[Ár]],_xlfn.AGGREGATE(15,3,(Adatok[[Ingatlanok]:[Ingatlanok]]=$H26)/(Adatok[[Ingatlanok]:[Ingatlanok]]=$H26)*(ROW(Adatok[[Ingatlanok]:[Ingatlanok]])-ROW(Adatok[[#Headers],[Letét, jelzálog]])),COLUMNS($J$25:AA$25))),"")</f>
        <v/>
      </c>
      <c r="AA26" t="str">
        <f>IF(COLUMNS($J$25:AB$25)&lt;=$G26,INDEX(Adatok[[Ár]:[Ár]],_xlfn.AGGREGATE(15,3,(Adatok[[Ingatlanok]:[Ingatlanok]]=$H26)/(Adatok[[Ingatlanok]:[Ingatlanok]]=$H26)*(ROW(Adatok[[Ingatlanok]:[Ingatlanok]])-ROW(Adatok[[#Headers],[Előleg]])),COLUMNS($J$25:AB$25))),"")</f>
        <v/>
      </c>
      <c r="AB26" t="str">
        <f>IF(COLUMNS($J$25:AC$25)&lt;=$G26,INDEX(Adatok[[Ár]:[Ár]],_xlfn.AGGREGATE(15,3,(Adatok[[Ingatlanok]:[Ingatlanok]]=$H26)/(Adatok[[Ingatlanok]:[Ingatlanok]]=$H26)*(ROW(Adatok[[Ingatlanok]:[Ingatlanok]])-ROW(Adatok[[#Headers],[Cashflow]])),COLUMNS($J$25:AC$25))),"")</f>
        <v/>
      </c>
      <c r="AC26" t="str">
        <f>IF(COLUMNS($J$25:AD$25)&lt;=$G26,INDEX(Adatok[[Ár]:[Ár]],_xlfn.AGGREGATE(15,3,(Adatok[[Ingatlanok]:[Ingatlanok]]=$H26)/(Adatok[[Ingatlanok]:[Ingatlanok]]=$H26)*(ROW(Adatok[[Ingatlanok]:[Ingatlanok]])-ROW(Adatok[[#Headers],[Ingatlanok]])),COLUMNS($J$25:AD$25))),"")</f>
        <v/>
      </c>
      <c r="AD26" t="str">
        <f>IF(COLUMNS($J$25:AE$25)&lt;=$G26,INDEX(Adatok[[Ár]:[Ár]],_xlfn.AGGREGATE(15,3,(Adatok[[Ingatlanok]:[Ingatlanok]]=$H26)/(Adatok[[Ingatlanok]:[Ingatlanok]]=$H26)*(ROW(Adatok[[Ingatlanok]:[Ingatlanok]])-ROW(Adatok[[#Headers],[Ár]])),COLUMNS($J$25:AE$25))),"")</f>
        <v/>
      </c>
    </row>
    <row r="27" spans="1:30" x14ac:dyDescent="0.25">
      <c r="A27" s="59" t="s">
        <v>140</v>
      </c>
      <c r="B27" s="46">
        <v>3000</v>
      </c>
      <c r="C27" s="47">
        <v>0</v>
      </c>
      <c r="D27" s="46">
        <v>3000</v>
      </c>
      <c r="E27" s="47">
        <v>0</v>
      </c>
      <c r="G27">
        <f>COUNTIF(Adatok[Ingatlanok],H27)</f>
        <v>1</v>
      </c>
      <c r="H27" s="57" t="str">
        <f>INDEX(Adatok[Ingatlanok],MATCH(0,INDEX(COUNTIF($H$25:H26,Adatok[Ingatlanok]),),0))</f>
        <v>INDíTS EL EGY RÉSZIDŐS SAJÁT KISVÁLLALKOZÁST</v>
      </c>
      <c r="I27">
        <f>IF(COLUMNS($J$25:J$25)&lt;=$G27,INDEX(Adatok[[Ár]:[Ár]],_xlfn.AGGREGATE(15,3,(Adatok[[Ingatlanok]:[Ingatlanok]]=$H27)/(Adatok[[Ingatlanok]:[Ingatlanok]]=$H27)*(ROW(Adatok[[Ingatlanok]:[Ingatlanok]])-ROW(Adatok[[#Headers],[Ingatlanok]])),COLUMNS($J$25:J$25))),"")</f>
        <v>3000</v>
      </c>
      <c r="J27" t="str">
        <f>IF(COLUMNS($J$25:K$25)&lt;=$G27,INDEX(Adatok[[Ár]:[Ár]],_xlfn.AGGREGATE(15,3,(Adatok[[Ingatlanok]:[Ingatlanok]]=$H27)/(Adatok[[Ingatlanok]:[Ingatlanok]]=$H27)*(ROW(Adatok[[Ingatlanok]:[Ingatlanok]])-ROW(Adatok[[#Headers],[Ár]])),COLUMNS($J$25:K$25))),"")</f>
        <v/>
      </c>
      <c r="K27" t="str">
        <f>IF(COLUMNS($J$25:L$25)&lt;=$G27,INDEX(Adatok[[Ár]:[Ár]],_xlfn.AGGREGATE(15,3,(Adatok[[Ingatlanok]:[Ingatlanok]]=$H27)/(Adatok[[Ingatlanok]:[Ingatlanok]]=$H27)*(ROW(Adatok[[Ingatlanok]:[Ingatlanok]])-ROW(Adatok[[#Headers],[Letét, jelzálog]])),COLUMNS($J$25:L$25))),"")</f>
        <v/>
      </c>
      <c r="L27" t="str">
        <f>IF(COLUMNS($J$25:M$25)&lt;=$G27,INDEX(Adatok[[Ár]:[Ár]],_xlfn.AGGREGATE(15,3,(Adatok[[Ingatlanok]:[Ingatlanok]]=$H27)/(Adatok[[Ingatlanok]:[Ingatlanok]]=$H27)*(ROW(Adatok[[Ingatlanok]:[Ingatlanok]])-ROW(Adatok[[#Headers],[Előleg]])),COLUMNS($J$25:M$25))),"")</f>
        <v/>
      </c>
      <c r="M27" t="str">
        <f>IF(COLUMNS($J$25:N$25)&lt;=$G27,INDEX(Adatok[[Ár]:[Ár]],_xlfn.AGGREGATE(15,3,(Adatok[[Ingatlanok]:[Ingatlanok]]=$H27)/(Adatok[[Ingatlanok]:[Ingatlanok]]=$H27)*(ROW(Adatok[[Ingatlanok]:[Ingatlanok]])-ROW(Adatok[[#Headers],[Cashflow]])),COLUMNS($J$25:N$25))),"")</f>
        <v/>
      </c>
      <c r="N27" t="str">
        <f>IF(COLUMNS($J$25:O$25)&lt;=$G27,INDEX(Adatok[[Ár]:[Ár]],_xlfn.AGGREGATE(15,3,(Adatok[[Ingatlanok]:[Ingatlanok]]=$H27)/(Adatok[[Ingatlanok]:[Ingatlanok]]=$H27)*(ROW(Adatok[[Ingatlanok]:[Ingatlanok]])-ROW(Adatok[[#Headers],[Ingatlanok]])),COLUMNS($J$25:O$25))),"")</f>
        <v/>
      </c>
      <c r="O27" t="str">
        <f>IF(COLUMNS($J$25:P$25)&lt;=$G27,INDEX(Adatok[[Ár]:[Ár]],_xlfn.AGGREGATE(15,3,(Adatok[[Ingatlanok]:[Ingatlanok]]=$H27)/(Adatok[[Ingatlanok]:[Ingatlanok]]=$H27)*(ROW(Adatok[[Ingatlanok]:[Ingatlanok]])-ROW(Adatok[[#Headers],[Ár]])),COLUMNS($J$25:P$25))),"")</f>
        <v/>
      </c>
      <c r="P27" t="str">
        <f>IF(COLUMNS($J$25:Q$25)&lt;=$G27,INDEX(Adatok[[Ár]:[Ár]],_xlfn.AGGREGATE(15,3,(Adatok[[Ingatlanok]:[Ingatlanok]]=$H27)/(Adatok[[Ingatlanok]:[Ingatlanok]]=$H27)*(ROW(Adatok[[Ingatlanok]:[Ingatlanok]])-ROW(Adatok[[#Headers],[Letét, jelzálog]])),COLUMNS($J$25:Q$25))),"")</f>
        <v/>
      </c>
      <c r="Q27" t="str">
        <f>IF(COLUMNS($J$25:R$25)&lt;=$G27,INDEX(Adatok[[Ár]:[Ár]],_xlfn.AGGREGATE(15,3,(Adatok[[Ingatlanok]:[Ingatlanok]]=$H27)/(Adatok[[Ingatlanok]:[Ingatlanok]]=$H27)*(ROW(Adatok[[Ingatlanok]:[Ingatlanok]])-ROW(Adatok[[#Headers],[Előleg]])),COLUMNS($J$25:R$25))),"")</f>
        <v/>
      </c>
      <c r="R27" t="str">
        <f>IF(COLUMNS($J$25:S$25)&lt;=$G27,INDEX(Adatok[[Ár]:[Ár]],_xlfn.AGGREGATE(15,3,(Adatok[[Ingatlanok]:[Ingatlanok]]=$H27)/(Adatok[[Ingatlanok]:[Ingatlanok]]=$H27)*(ROW(Adatok[[Ingatlanok]:[Ingatlanok]])-ROW(Adatok[[#Headers],[Cashflow]])),COLUMNS($J$25:S$25))),"")</f>
        <v/>
      </c>
      <c r="S27" t="str">
        <f>IF(COLUMNS($J$25:T$25)&lt;=$G27,INDEX(Adatok[[Ár]:[Ár]],_xlfn.AGGREGATE(15,3,(Adatok[[Ingatlanok]:[Ingatlanok]]=$H27)/(Adatok[[Ingatlanok]:[Ingatlanok]]=$H27)*(ROW(Adatok[[Ingatlanok]:[Ingatlanok]])-ROW(Adatok[[#Headers],[Ingatlanok]])),COLUMNS($J$25:T$25))),"")</f>
        <v/>
      </c>
      <c r="T27" t="str">
        <f>IF(COLUMNS($J$25:U$25)&lt;=$G27,INDEX(Adatok[[Ár]:[Ár]],_xlfn.AGGREGATE(15,3,(Adatok[[Ingatlanok]:[Ingatlanok]]=$H27)/(Adatok[[Ingatlanok]:[Ingatlanok]]=$H27)*(ROW(Adatok[[Ingatlanok]:[Ingatlanok]])-ROW(Adatok[[#Headers],[Ár]])),COLUMNS($J$25:U$25))),"")</f>
        <v/>
      </c>
      <c r="U27" t="str">
        <f>IF(COLUMNS($J$25:V$25)&lt;=$G27,INDEX(Adatok[[Ár]:[Ár]],_xlfn.AGGREGATE(15,3,(Adatok[[Ingatlanok]:[Ingatlanok]]=$H27)/(Adatok[[Ingatlanok]:[Ingatlanok]]=$H27)*(ROW(Adatok[[Ingatlanok]:[Ingatlanok]])-ROW(Adatok[[#Headers],[Letét, jelzálog]])),COLUMNS($J$25:V$25))),"")</f>
        <v/>
      </c>
      <c r="V27" t="str">
        <f>IF(COLUMNS($J$25:W$25)&lt;=$G27,INDEX(Adatok[[Ár]:[Ár]],_xlfn.AGGREGATE(15,3,(Adatok[[Ingatlanok]:[Ingatlanok]]=$H27)/(Adatok[[Ingatlanok]:[Ingatlanok]]=$H27)*(ROW(Adatok[[Ingatlanok]:[Ingatlanok]])-ROW(Adatok[[#Headers],[Előleg]])),COLUMNS($J$25:W$25))),"")</f>
        <v/>
      </c>
      <c r="W27" t="str">
        <f>IF(COLUMNS($J$25:X$25)&lt;=$G27,INDEX(Adatok[[Ár]:[Ár]],_xlfn.AGGREGATE(15,3,(Adatok[[Ingatlanok]:[Ingatlanok]]=$H27)/(Adatok[[Ingatlanok]:[Ingatlanok]]=$H27)*(ROW(Adatok[[Ingatlanok]:[Ingatlanok]])-ROW(Adatok[[#Headers],[Cashflow]])),COLUMNS($J$25:X$25))),"")</f>
        <v/>
      </c>
      <c r="X27" t="str">
        <f>IF(COLUMNS($J$25:Y$25)&lt;=$G27,INDEX(Adatok[[Ár]:[Ár]],_xlfn.AGGREGATE(15,3,(Adatok[[Ingatlanok]:[Ingatlanok]]=$H27)/(Adatok[[Ingatlanok]:[Ingatlanok]]=$H27)*(ROW(Adatok[[Ingatlanok]:[Ingatlanok]])-ROW(Adatok[[#Headers],[Ingatlanok]])),COLUMNS($J$25:Y$25))),"")</f>
        <v/>
      </c>
      <c r="Y27" t="str">
        <f>IF(COLUMNS($J$25:Z$25)&lt;=$G27,INDEX(Adatok[[Ár]:[Ár]],_xlfn.AGGREGATE(15,3,(Adatok[[Ingatlanok]:[Ingatlanok]]=$H27)/(Adatok[[Ingatlanok]:[Ingatlanok]]=$H27)*(ROW(Adatok[[Ingatlanok]:[Ingatlanok]])-ROW(Adatok[[#Headers],[Ár]])),COLUMNS($J$25:Z$25))),"")</f>
        <v/>
      </c>
      <c r="Z27" t="str">
        <f>IF(COLUMNS($J$25:AA$25)&lt;=$G27,INDEX(Adatok[[Ár]:[Ár]],_xlfn.AGGREGATE(15,3,(Adatok[[Ingatlanok]:[Ingatlanok]]=$H27)/(Adatok[[Ingatlanok]:[Ingatlanok]]=$H27)*(ROW(Adatok[[Ingatlanok]:[Ingatlanok]])-ROW(Adatok[[#Headers],[Letét, jelzálog]])),COLUMNS($J$25:AA$25))),"")</f>
        <v/>
      </c>
      <c r="AA27" t="str">
        <f>IF(COLUMNS($J$25:AB$25)&lt;=$G27,INDEX(Adatok[[Ár]:[Ár]],_xlfn.AGGREGATE(15,3,(Adatok[[Ingatlanok]:[Ingatlanok]]=$H27)/(Adatok[[Ingatlanok]:[Ingatlanok]]=$H27)*(ROW(Adatok[[Ingatlanok]:[Ingatlanok]])-ROW(Adatok[[#Headers],[Előleg]])),COLUMNS($J$25:AB$25))),"")</f>
        <v/>
      </c>
      <c r="AB27" t="str">
        <f>IF(COLUMNS($J$25:AC$25)&lt;=$G27,INDEX(Adatok[[Ár]:[Ár]],_xlfn.AGGREGATE(15,3,(Adatok[[Ingatlanok]:[Ingatlanok]]=$H27)/(Adatok[[Ingatlanok]:[Ingatlanok]]=$H27)*(ROW(Adatok[[Ingatlanok]:[Ingatlanok]])-ROW(Adatok[[#Headers],[Cashflow]])),COLUMNS($J$25:AC$25))),"")</f>
        <v/>
      </c>
      <c r="AC27" t="str">
        <f>IF(COLUMNS($J$25:AD$25)&lt;=$G27,INDEX(Adatok[[Ár]:[Ár]],_xlfn.AGGREGATE(15,3,(Adatok[[Ingatlanok]:[Ingatlanok]]=$H27)/(Adatok[[Ingatlanok]:[Ingatlanok]]=$H27)*(ROW(Adatok[[Ingatlanok]:[Ingatlanok]])-ROW(Adatok[[#Headers],[Ingatlanok]])),COLUMNS($J$25:AD$25))),"")</f>
        <v/>
      </c>
      <c r="AD27" t="str">
        <f>IF(COLUMNS($J$25:AE$25)&lt;=$G27,INDEX(Adatok[[Ár]:[Ár]],_xlfn.AGGREGATE(15,3,(Adatok[[Ingatlanok]:[Ingatlanok]]=$H27)/(Adatok[[Ingatlanok]:[Ingatlanok]]=$H27)*(ROW(Adatok[[Ingatlanok]:[Ingatlanok]])-ROW(Adatok[[#Headers],[Ár]])),COLUMNS($J$25:AE$25))),"")</f>
        <v/>
      </c>
    </row>
    <row r="28" spans="1:30" x14ac:dyDescent="0.25">
      <c r="A28" s="59" t="s">
        <v>132</v>
      </c>
      <c r="B28" s="46">
        <v>5000</v>
      </c>
      <c r="C28" s="47">
        <v>0</v>
      </c>
      <c r="D28" s="46">
        <v>5000</v>
      </c>
      <c r="E28" s="47">
        <v>0</v>
      </c>
      <c r="G28">
        <f>COUNTIF(Adatok[Ingatlanok],H28)</f>
        <v>1</v>
      </c>
      <c r="H28" s="57" t="str">
        <f>INDEX(Adatok[Ingatlanok],MATCH(0,INDEX(COUNTIF($H$25:H27,Adatok[Ingatlanok]),),0))</f>
        <v>4 HEKTÁROS MEGMŰVELETLEN TERÜLET</v>
      </c>
      <c r="I28">
        <f>IF(COLUMNS($J$25:J$25)&lt;=$G28,INDEX(Adatok[[Ár]:[Ár]],_xlfn.AGGREGATE(15,3,(Adatok[[Ingatlanok]:[Ingatlanok]]=$H28)/(Adatok[[Ingatlanok]:[Ingatlanok]]=$H28)*(ROW(Adatok[[Ingatlanok]:[Ingatlanok]])-ROW(Adatok[[#Headers],[Ingatlanok]])),COLUMNS($J$25:J$25))),"")</f>
        <v>5000</v>
      </c>
      <c r="J28" t="str">
        <f>IF(COLUMNS($J$25:K$25)&lt;=$G28,INDEX(Adatok[[Ár]:[Ár]],_xlfn.AGGREGATE(15,3,(Adatok[[Ingatlanok]:[Ingatlanok]]=$H28)/(Adatok[[Ingatlanok]:[Ingatlanok]]=$H28)*(ROW(Adatok[[Ingatlanok]:[Ingatlanok]])-ROW(Adatok[[#Headers],[Ár]])),COLUMNS($J$25:K$25))),"")</f>
        <v/>
      </c>
      <c r="K28" t="str">
        <f>IF(COLUMNS($J$25:L$25)&lt;=$G28,INDEX(Adatok[[Ár]:[Ár]],_xlfn.AGGREGATE(15,3,(Adatok[[Ingatlanok]:[Ingatlanok]]=$H28)/(Adatok[[Ingatlanok]:[Ingatlanok]]=$H28)*(ROW(Adatok[[Ingatlanok]:[Ingatlanok]])-ROW(Adatok[[#Headers],[Letét, jelzálog]])),COLUMNS($J$25:L$25))),"")</f>
        <v/>
      </c>
      <c r="L28" t="str">
        <f>IF(COLUMNS($J$25:M$25)&lt;=$G28,INDEX(Adatok[[Ár]:[Ár]],_xlfn.AGGREGATE(15,3,(Adatok[[Ingatlanok]:[Ingatlanok]]=$H28)/(Adatok[[Ingatlanok]:[Ingatlanok]]=$H28)*(ROW(Adatok[[Ingatlanok]:[Ingatlanok]])-ROW(Adatok[[#Headers],[Előleg]])),COLUMNS($J$25:M$25))),"")</f>
        <v/>
      </c>
      <c r="M28" t="str">
        <f>IF(COLUMNS($J$25:N$25)&lt;=$G28,INDEX(Adatok[[Ár]:[Ár]],_xlfn.AGGREGATE(15,3,(Adatok[[Ingatlanok]:[Ingatlanok]]=$H28)/(Adatok[[Ingatlanok]:[Ingatlanok]]=$H28)*(ROW(Adatok[[Ingatlanok]:[Ingatlanok]])-ROW(Adatok[[#Headers],[Cashflow]])),COLUMNS($J$25:N$25))),"")</f>
        <v/>
      </c>
      <c r="N28" t="str">
        <f>IF(COLUMNS($J$25:O$25)&lt;=$G28,INDEX(Adatok[[Ár]:[Ár]],_xlfn.AGGREGATE(15,3,(Adatok[[Ingatlanok]:[Ingatlanok]]=$H28)/(Adatok[[Ingatlanok]:[Ingatlanok]]=$H28)*(ROW(Adatok[[Ingatlanok]:[Ingatlanok]])-ROW(Adatok[[#Headers],[Ingatlanok]])),COLUMNS($J$25:O$25))),"")</f>
        <v/>
      </c>
      <c r="O28" t="str">
        <f>IF(COLUMNS($J$25:P$25)&lt;=$G28,INDEX(Adatok[[Ár]:[Ár]],_xlfn.AGGREGATE(15,3,(Adatok[[Ingatlanok]:[Ingatlanok]]=$H28)/(Adatok[[Ingatlanok]:[Ingatlanok]]=$H28)*(ROW(Adatok[[Ingatlanok]:[Ingatlanok]])-ROW(Adatok[[#Headers],[Ár]])),COLUMNS($J$25:P$25))),"")</f>
        <v/>
      </c>
      <c r="P28" t="str">
        <f>IF(COLUMNS($J$25:Q$25)&lt;=$G28,INDEX(Adatok[[Ár]:[Ár]],_xlfn.AGGREGATE(15,3,(Adatok[[Ingatlanok]:[Ingatlanok]]=$H28)/(Adatok[[Ingatlanok]:[Ingatlanok]]=$H28)*(ROW(Adatok[[Ingatlanok]:[Ingatlanok]])-ROW(Adatok[[#Headers],[Letét, jelzálog]])),COLUMNS($J$25:Q$25))),"")</f>
        <v/>
      </c>
      <c r="Q28" t="str">
        <f>IF(COLUMNS($J$25:R$25)&lt;=$G28,INDEX(Adatok[[Ár]:[Ár]],_xlfn.AGGREGATE(15,3,(Adatok[[Ingatlanok]:[Ingatlanok]]=$H28)/(Adatok[[Ingatlanok]:[Ingatlanok]]=$H28)*(ROW(Adatok[[Ingatlanok]:[Ingatlanok]])-ROW(Adatok[[#Headers],[Előleg]])),COLUMNS($J$25:R$25))),"")</f>
        <v/>
      </c>
      <c r="R28" t="str">
        <f>IF(COLUMNS($J$25:S$25)&lt;=$G28,INDEX(Adatok[[Ár]:[Ár]],_xlfn.AGGREGATE(15,3,(Adatok[[Ingatlanok]:[Ingatlanok]]=$H28)/(Adatok[[Ingatlanok]:[Ingatlanok]]=$H28)*(ROW(Adatok[[Ingatlanok]:[Ingatlanok]])-ROW(Adatok[[#Headers],[Cashflow]])),COLUMNS($J$25:S$25))),"")</f>
        <v/>
      </c>
      <c r="S28" t="str">
        <f>IF(COLUMNS($J$25:T$25)&lt;=$G28,INDEX(Adatok[[Ár]:[Ár]],_xlfn.AGGREGATE(15,3,(Adatok[[Ingatlanok]:[Ingatlanok]]=$H28)/(Adatok[[Ingatlanok]:[Ingatlanok]]=$H28)*(ROW(Adatok[[Ingatlanok]:[Ingatlanok]])-ROW(Adatok[[#Headers],[Ingatlanok]])),COLUMNS($J$25:T$25))),"")</f>
        <v/>
      </c>
      <c r="T28" t="str">
        <f>IF(COLUMNS($J$25:U$25)&lt;=$G28,INDEX(Adatok[[Ár]:[Ár]],_xlfn.AGGREGATE(15,3,(Adatok[[Ingatlanok]:[Ingatlanok]]=$H28)/(Adatok[[Ingatlanok]:[Ingatlanok]]=$H28)*(ROW(Adatok[[Ingatlanok]:[Ingatlanok]])-ROW(Adatok[[#Headers],[Ár]])),COLUMNS($J$25:U$25))),"")</f>
        <v/>
      </c>
      <c r="U28" t="str">
        <f>IF(COLUMNS($J$25:V$25)&lt;=$G28,INDEX(Adatok[[Ár]:[Ár]],_xlfn.AGGREGATE(15,3,(Adatok[[Ingatlanok]:[Ingatlanok]]=$H28)/(Adatok[[Ingatlanok]:[Ingatlanok]]=$H28)*(ROW(Adatok[[Ingatlanok]:[Ingatlanok]])-ROW(Adatok[[#Headers],[Letét, jelzálog]])),COLUMNS($J$25:V$25))),"")</f>
        <v/>
      </c>
      <c r="V28" t="str">
        <f>IF(COLUMNS($J$25:W$25)&lt;=$G28,INDEX(Adatok[[Ár]:[Ár]],_xlfn.AGGREGATE(15,3,(Adatok[[Ingatlanok]:[Ingatlanok]]=$H28)/(Adatok[[Ingatlanok]:[Ingatlanok]]=$H28)*(ROW(Adatok[[Ingatlanok]:[Ingatlanok]])-ROW(Adatok[[#Headers],[Előleg]])),COLUMNS($J$25:W$25))),"")</f>
        <v/>
      </c>
      <c r="W28" t="str">
        <f>IF(COLUMNS($J$25:X$25)&lt;=$G28,INDEX(Adatok[[Ár]:[Ár]],_xlfn.AGGREGATE(15,3,(Adatok[[Ingatlanok]:[Ingatlanok]]=$H28)/(Adatok[[Ingatlanok]:[Ingatlanok]]=$H28)*(ROW(Adatok[[Ingatlanok]:[Ingatlanok]])-ROW(Adatok[[#Headers],[Cashflow]])),COLUMNS($J$25:X$25))),"")</f>
        <v/>
      </c>
      <c r="X28" t="str">
        <f>IF(COLUMNS($J$25:Y$25)&lt;=$G28,INDEX(Adatok[[Ár]:[Ár]],_xlfn.AGGREGATE(15,3,(Adatok[[Ingatlanok]:[Ingatlanok]]=$H28)/(Adatok[[Ingatlanok]:[Ingatlanok]]=$H28)*(ROW(Adatok[[Ingatlanok]:[Ingatlanok]])-ROW(Adatok[[#Headers],[Ingatlanok]])),COLUMNS($J$25:Y$25))),"")</f>
        <v/>
      </c>
      <c r="Y28" t="str">
        <f>IF(COLUMNS($J$25:Z$25)&lt;=$G28,INDEX(Adatok[[Ár]:[Ár]],_xlfn.AGGREGATE(15,3,(Adatok[[Ingatlanok]:[Ingatlanok]]=$H28)/(Adatok[[Ingatlanok]:[Ingatlanok]]=$H28)*(ROW(Adatok[[Ingatlanok]:[Ingatlanok]])-ROW(Adatok[[#Headers],[Ár]])),COLUMNS($J$25:Z$25))),"")</f>
        <v/>
      </c>
      <c r="Z28" t="str">
        <f>IF(COLUMNS($J$25:AA$25)&lt;=$G28,INDEX(Adatok[[Ár]:[Ár]],_xlfn.AGGREGATE(15,3,(Adatok[[Ingatlanok]:[Ingatlanok]]=$H28)/(Adatok[[Ingatlanok]:[Ingatlanok]]=$H28)*(ROW(Adatok[[Ingatlanok]:[Ingatlanok]])-ROW(Adatok[[#Headers],[Letét, jelzálog]])),COLUMNS($J$25:AA$25))),"")</f>
        <v/>
      </c>
      <c r="AA28" t="str">
        <f>IF(COLUMNS($J$25:AB$25)&lt;=$G28,INDEX(Adatok[[Ár]:[Ár]],_xlfn.AGGREGATE(15,3,(Adatok[[Ingatlanok]:[Ingatlanok]]=$H28)/(Adatok[[Ingatlanok]:[Ingatlanok]]=$H28)*(ROW(Adatok[[Ingatlanok]:[Ingatlanok]])-ROW(Adatok[[#Headers],[Előleg]])),COLUMNS($J$25:AB$25))),"")</f>
        <v/>
      </c>
      <c r="AB28" t="str">
        <f>IF(COLUMNS($J$25:AC$25)&lt;=$G28,INDEX(Adatok[[Ár]:[Ár]],_xlfn.AGGREGATE(15,3,(Adatok[[Ingatlanok]:[Ingatlanok]]=$H28)/(Adatok[[Ingatlanok]:[Ingatlanok]]=$H28)*(ROW(Adatok[[Ingatlanok]:[Ingatlanok]])-ROW(Adatok[[#Headers],[Cashflow]])),COLUMNS($J$25:AC$25))),"")</f>
        <v/>
      </c>
      <c r="AC28" t="str">
        <f>IF(COLUMNS($J$25:AD$25)&lt;=$G28,INDEX(Adatok[[Ár]:[Ár]],_xlfn.AGGREGATE(15,3,(Adatok[[Ingatlanok]:[Ingatlanok]]=$H28)/(Adatok[[Ingatlanok]:[Ingatlanok]]=$H28)*(ROW(Adatok[[Ingatlanok]:[Ingatlanok]])-ROW(Adatok[[#Headers],[Ingatlanok]])),COLUMNS($J$25:AD$25))),"")</f>
        <v/>
      </c>
      <c r="AD28" t="str">
        <f>IF(COLUMNS($J$25:AE$25)&lt;=$G28,INDEX(Adatok[[Ár]:[Ár]],_xlfn.AGGREGATE(15,3,(Adatok[[Ingatlanok]:[Ingatlanok]]=$H28)/(Adatok[[Ingatlanok]:[Ingatlanok]]=$H28)*(ROW(Adatok[[Ingatlanok]:[Ingatlanok]])-ROW(Adatok[[#Headers],[Ár]])),COLUMNS($J$25:AE$25))),"")</f>
        <v/>
      </c>
    </row>
    <row r="29" spans="1:30" x14ac:dyDescent="0.25">
      <c r="A29" s="46" t="s">
        <v>128</v>
      </c>
      <c r="B29" s="46">
        <v>20000</v>
      </c>
      <c r="C29" s="47">
        <v>0</v>
      </c>
      <c r="D29" s="46">
        <v>20000</v>
      </c>
      <c r="E29" s="47">
        <v>0</v>
      </c>
      <c r="G29">
        <f>COUNTIF(Adatok[Ingatlanok],H29)</f>
        <v>1</v>
      </c>
      <c r="H29" s="57" t="str">
        <f>INDEX(Adatok[Ingatlanok],MATCH(0,INDEX(COUNTIF($H$25:H28,Adatok[Ingatlanok]),),0))</f>
        <v>8 HA FÖLDTERÜLET</v>
      </c>
      <c r="I29">
        <f>IF(COLUMNS($J$25:J$25)&lt;=$G29,INDEX(Adatok[[Ár]:[Ár]],_xlfn.AGGREGATE(15,3,(Adatok[[Ingatlanok]:[Ingatlanok]]=$H29)/(Adatok[[Ingatlanok]:[Ingatlanok]]=$H29)*(ROW(Adatok[[Ingatlanok]:[Ingatlanok]])-ROW(Adatok[[#Headers],[Ingatlanok]])),COLUMNS($J$25:J$25))),"")</f>
        <v>20000</v>
      </c>
      <c r="J29" t="str">
        <f>IF(COLUMNS($J$25:K$25)&lt;=$G29,INDEX(Adatok[[Ár]:[Ár]],_xlfn.AGGREGATE(15,3,(Adatok[[Ingatlanok]:[Ingatlanok]]=$H29)/(Adatok[[Ingatlanok]:[Ingatlanok]]=$H29)*(ROW(Adatok[[Ingatlanok]:[Ingatlanok]])-ROW(Adatok[[#Headers],[Ár]])),COLUMNS($J$25:K$25))),"")</f>
        <v/>
      </c>
      <c r="K29" t="str">
        <f>IF(COLUMNS($J$25:L$25)&lt;=$G29,INDEX(Adatok[[Ár]:[Ár]],_xlfn.AGGREGATE(15,3,(Adatok[[Ingatlanok]:[Ingatlanok]]=$H29)/(Adatok[[Ingatlanok]:[Ingatlanok]]=$H29)*(ROW(Adatok[[Ingatlanok]:[Ingatlanok]])-ROW(Adatok[[#Headers],[Letét, jelzálog]])),COLUMNS($J$25:L$25))),"")</f>
        <v/>
      </c>
      <c r="L29" t="str">
        <f>IF(COLUMNS($J$25:M$25)&lt;=$G29,INDEX(Adatok[[Ár]:[Ár]],_xlfn.AGGREGATE(15,3,(Adatok[[Ingatlanok]:[Ingatlanok]]=$H29)/(Adatok[[Ingatlanok]:[Ingatlanok]]=$H29)*(ROW(Adatok[[Ingatlanok]:[Ingatlanok]])-ROW(Adatok[[#Headers],[Előleg]])),COLUMNS($J$25:M$25))),"")</f>
        <v/>
      </c>
      <c r="M29" t="str">
        <f>IF(COLUMNS($J$25:N$25)&lt;=$G29,INDEX(Adatok[[Ár]:[Ár]],_xlfn.AGGREGATE(15,3,(Adatok[[Ingatlanok]:[Ingatlanok]]=$H29)/(Adatok[[Ingatlanok]:[Ingatlanok]]=$H29)*(ROW(Adatok[[Ingatlanok]:[Ingatlanok]])-ROW(Adatok[[#Headers],[Cashflow]])),COLUMNS($J$25:N$25))),"")</f>
        <v/>
      </c>
      <c r="N29" t="str">
        <f>IF(COLUMNS($J$25:O$25)&lt;=$G29,INDEX(Adatok[[Ár]:[Ár]],_xlfn.AGGREGATE(15,3,(Adatok[[Ingatlanok]:[Ingatlanok]]=$H29)/(Adatok[[Ingatlanok]:[Ingatlanok]]=$H29)*(ROW(Adatok[[Ingatlanok]:[Ingatlanok]])-ROW(Adatok[[#Headers],[Ingatlanok]])),COLUMNS($J$25:O$25))),"")</f>
        <v/>
      </c>
      <c r="O29" t="str">
        <f>IF(COLUMNS($J$25:P$25)&lt;=$G29,INDEX(Adatok[[Ár]:[Ár]],_xlfn.AGGREGATE(15,3,(Adatok[[Ingatlanok]:[Ingatlanok]]=$H29)/(Adatok[[Ingatlanok]:[Ingatlanok]]=$H29)*(ROW(Adatok[[Ingatlanok]:[Ingatlanok]])-ROW(Adatok[[#Headers],[Ár]])),COLUMNS($J$25:P$25))),"")</f>
        <v/>
      </c>
      <c r="P29" t="str">
        <f>IF(COLUMNS($J$25:Q$25)&lt;=$G29,INDEX(Adatok[[Ár]:[Ár]],_xlfn.AGGREGATE(15,3,(Adatok[[Ingatlanok]:[Ingatlanok]]=$H29)/(Adatok[[Ingatlanok]:[Ingatlanok]]=$H29)*(ROW(Adatok[[Ingatlanok]:[Ingatlanok]])-ROW(Adatok[[#Headers],[Letét, jelzálog]])),COLUMNS($J$25:Q$25))),"")</f>
        <v/>
      </c>
      <c r="Q29" t="str">
        <f>IF(COLUMNS($J$25:R$25)&lt;=$G29,INDEX(Adatok[[Ár]:[Ár]],_xlfn.AGGREGATE(15,3,(Adatok[[Ingatlanok]:[Ingatlanok]]=$H29)/(Adatok[[Ingatlanok]:[Ingatlanok]]=$H29)*(ROW(Adatok[[Ingatlanok]:[Ingatlanok]])-ROW(Adatok[[#Headers],[Előleg]])),COLUMNS($J$25:R$25))),"")</f>
        <v/>
      </c>
      <c r="R29" t="str">
        <f>IF(COLUMNS($J$25:S$25)&lt;=$G29,INDEX(Adatok[[Ár]:[Ár]],_xlfn.AGGREGATE(15,3,(Adatok[[Ingatlanok]:[Ingatlanok]]=$H29)/(Adatok[[Ingatlanok]:[Ingatlanok]]=$H29)*(ROW(Adatok[[Ingatlanok]:[Ingatlanok]])-ROW(Adatok[[#Headers],[Cashflow]])),COLUMNS($J$25:S$25))),"")</f>
        <v/>
      </c>
      <c r="S29" t="str">
        <f>IF(COLUMNS($J$25:T$25)&lt;=$G29,INDEX(Adatok[[Ár]:[Ár]],_xlfn.AGGREGATE(15,3,(Adatok[[Ingatlanok]:[Ingatlanok]]=$H29)/(Adatok[[Ingatlanok]:[Ingatlanok]]=$H29)*(ROW(Adatok[[Ingatlanok]:[Ingatlanok]])-ROW(Adatok[[#Headers],[Ingatlanok]])),COLUMNS($J$25:T$25))),"")</f>
        <v/>
      </c>
      <c r="T29" t="str">
        <f>IF(COLUMNS($J$25:U$25)&lt;=$G29,INDEX(Adatok[[Ár]:[Ár]],_xlfn.AGGREGATE(15,3,(Adatok[[Ingatlanok]:[Ingatlanok]]=$H29)/(Adatok[[Ingatlanok]:[Ingatlanok]]=$H29)*(ROW(Adatok[[Ingatlanok]:[Ingatlanok]])-ROW(Adatok[[#Headers],[Ár]])),COLUMNS($J$25:U$25))),"")</f>
        <v/>
      </c>
      <c r="U29" t="str">
        <f>IF(COLUMNS($J$25:V$25)&lt;=$G29,INDEX(Adatok[[Ár]:[Ár]],_xlfn.AGGREGATE(15,3,(Adatok[[Ingatlanok]:[Ingatlanok]]=$H29)/(Adatok[[Ingatlanok]:[Ingatlanok]]=$H29)*(ROW(Adatok[[Ingatlanok]:[Ingatlanok]])-ROW(Adatok[[#Headers],[Letét, jelzálog]])),COLUMNS($J$25:V$25))),"")</f>
        <v/>
      </c>
      <c r="V29" t="str">
        <f>IF(COLUMNS($J$25:W$25)&lt;=$G29,INDEX(Adatok[[Ár]:[Ár]],_xlfn.AGGREGATE(15,3,(Adatok[[Ingatlanok]:[Ingatlanok]]=$H29)/(Adatok[[Ingatlanok]:[Ingatlanok]]=$H29)*(ROW(Adatok[[Ingatlanok]:[Ingatlanok]])-ROW(Adatok[[#Headers],[Előleg]])),COLUMNS($J$25:W$25))),"")</f>
        <v/>
      </c>
      <c r="W29" t="str">
        <f>IF(COLUMNS($J$25:X$25)&lt;=$G29,INDEX(Adatok[[Ár]:[Ár]],_xlfn.AGGREGATE(15,3,(Adatok[[Ingatlanok]:[Ingatlanok]]=$H29)/(Adatok[[Ingatlanok]:[Ingatlanok]]=$H29)*(ROW(Adatok[[Ingatlanok]:[Ingatlanok]])-ROW(Adatok[[#Headers],[Cashflow]])),COLUMNS($J$25:X$25))),"")</f>
        <v/>
      </c>
      <c r="X29" t="str">
        <f>IF(COLUMNS($J$25:Y$25)&lt;=$G29,INDEX(Adatok[[Ár]:[Ár]],_xlfn.AGGREGATE(15,3,(Adatok[[Ingatlanok]:[Ingatlanok]]=$H29)/(Adatok[[Ingatlanok]:[Ingatlanok]]=$H29)*(ROW(Adatok[[Ingatlanok]:[Ingatlanok]])-ROW(Adatok[[#Headers],[Ingatlanok]])),COLUMNS($J$25:Y$25))),"")</f>
        <v/>
      </c>
      <c r="Y29" t="str">
        <f>IF(COLUMNS($J$25:Z$25)&lt;=$G29,INDEX(Adatok[[Ár]:[Ár]],_xlfn.AGGREGATE(15,3,(Adatok[[Ingatlanok]:[Ingatlanok]]=$H29)/(Adatok[[Ingatlanok]:[Ingatlanok]]=$H29)*(ROW(Adatok[[Ingatlanok]:[Ingatlanok]])-ROW(Adatok[[#Headers],[Ár]])),COLUMNS($J$25:Z$25))),"")</f>
        <v/>
      </c>
      <c r="Z29" t="str">
        <f>IF(COLUMNS($J$25:AA$25)&lt;=$G29,INDEX(Adatok[[Ár]:[Ár]],_xlfn.AGGREGATE(15,3,(Adatok[[Ingatlanok]:[Ingatlanok]]=$H29)/(Adatok[[Ingatlanok]:[Ingatlanok]]=$H29)*(ROW(Adatok[[Ingatlanok]:[Ingatlanok]])-ROW(Adatok[[#Headers],[Letét, jelzálog]])),COLUMNS($J$25:AA$25))),"")</f>
        <v/>
      </c>
      <c r="AA29" t="str">
        <f>IF(COLUMNS($J$25:AB$25)&lt;=$G29,INDEX(Adatok[[Ár]:[Ár]],_xlfn.AGGREGATE(15,3,(Adatok[[Ingatlanok]:[Ingatlanok]]=$H29)/(Adatok[[Ingatlanok]:[Ingatlanok]]=$H29)*(ROW(Adatok[[Ingatlanok]:[Ingatlanok]])-ROW(Adatok[[#Headers],[Előleg]])),COLUMNS($J$25:AB$25))),"")</f>
        <v/>
      </c>
      <c r="AB29" t="str">
        <f>IF(COLUMNS($J$25:AC$25)&lt;=$G29,INDEX(Adatok[[Ár]:[Ár]],_xlfn.AGGREGATE(15,3,(Adatok[[Ingatlanok]:[Ingatlanok]]=$H29)/(Adatok[[Ingatlanok]:[Ingatlanok]]=$H29)*(ROW(Adatok[[Ingatlanok]:[Ingatlanok]])-ROW(Adatok[[#Headers],[Cashflow]])),COLUMNS($J$25:AC$25))),"")</f>
        <v/>
      </c>
      <c r="AC29" t="str">
        <f>IF(COLUMNS($J$25:AD$25)&lt;=$G29,INDEX(Adatok[[Ár]:[Ár]],_xlfn.AGGREGATE(15,3,(Adatok[[Ingatlanok]:[Ingatlanok]]=$H29)/(Adatok[[Ingatlanok]:[Ingatlanok]]=$H29)*(ROW(Adatok[[Ingatlanok]:[Ingatlanok]])-ROW(Adatok[[#Headers],[Ingatlanok]])),COLUMNS($J$25:AD$25))),"")</f>
        <v/>
      </c>
      <c r="AD29" t="str">
        <f>IF(COLUMNS($J$25:AE$25)&lt;=$G29,INDEX(Adatok[[Ár]:[Ár]],_xlfn.AGGREGATE(15,3,(Adatok[[Ingatlanok]:[Ingatlanok]]=$H29)/(Adatok[[Ingatlanok]:[Ingatlanok]]=$H29)*(ROW(Adatok[[Ingatlanok]:[Ingatlanok]])-ROW(Adatok[[#Headers],[Ár]])),COLUMNS($J$25:AE$25))),"")</f>
        <v/>
      </c>
    </row>
    <row r="30" spans="1:30" x14ac:dyDescent="0.25">
      <c r="A30" s="59" t="s">
        <v>127</v>
      </c>
      <c r="B30" s="46">
        <v>20000</v>
      </c>
      <c r="C30" s="47">
        <v>0</v>
      </c>
      <c r="D30" s="46">
        <v>20000</v>
      </c>
      <c r="E30" s="47">
        <v>800</v>
      </c>
      <c r="G30">
        <f>COUNTIF(Adatok[Ingatlanok],H30)</f>
        <v>4</v>
      </c>
      <c r="H30" s="57" t="str">
        <f>INDEX(Adatok[Ingatlanok],MATCH(0,INDEX(COUNTIF($H$25:H29,Adatok[Ingatlanok]),),0))</f>
        <v>CSENDESTÁRS</v>
      </c>
      <c r="I30">
        <f>IF(COLUMNS($J$25:J$25)&lt;=$G30,INDEX(Adatok[[Ár]:[Ár]],_xlfn.AGGREGATE(15,3,(Adatok[[Ingatlanok]:[Ingatlanok]]=$H30)/(Adatok[[Ingatlanok]:[Ingatlanok]]=$H30)*(ROW(Adatok[[Ingatlanok]:[Ingatlanok]])-ROW(Adatok[[#Headers],[Ingatlanok]])),COLUMNS($J$25:J$25))),"")</f>
        <v>20000</v>
      </c>
      <c r="J30">
        <f>IF(COLUMNS($J$25:K$25)&lt;=$G30,INDEX(Adatok[[Ár]:[Ár]],_xlfn.AGGREGATE(15,3,(Adatok[[Ingatlanok]:[Ingatlanok]]=$H30)/(Adatok[[Ingatlanok]:[Ingatlanok]]=$H30)*(ROW(Adatok[[Ingatlanok]:[Ingatlanok]])-ROW(Adatok[[#Headers],[Ár]])),COLUMNS($J$25:K$25))),"")</f>
        <v>25000</v>
      </c>
      <c r="K30">
        <f>IF(COLUMNS($J$25:L$25)&lt;=$G30,INDEX(Adatok[[Ár]:[Ár]],_xlfn.AGGREGATE(15,3,(Adatok[[Ingatlanok]:[Ingatlanok]]=$H30)/(Adatok[[Ingatlanok]:[Ingatlanok]]=$H30)*(ROW(Adatok[[Ingatlanok]:[Ingatlanok]])-ROW(Adatok[[#Headers],[Letét, jelzálog]])),COLUMNS($J$25:L$25))),"")</f>
        <v>30000</v>
      </c>
      <c r="L30">
        <f>IF(COLUMNS($J$25:M$25)&lt;=$G30,INDEX(Adatok[[Ár]:[Ár]],_xlfn.AGGREGATE(15,3,(Adatok[[Ingatlanok]:[Ingatlanok]]=$H30)/(Adatok[[Ingatlanok]:[Ingatlanok]]=$H30)*(ROW(Adatok[[Ingatlanok]:[Ingatlanok]])-ROW(Adatok[[#Headers],[Előleg]])),COLUMNS($J$25:M$25))),"")</f>
        <v>30000</v>
      </c>
      <c r="M30" t="str">
        <f>IF(COLUMNS($J$25:N$25)&lt;=$G30,INDEX(Adatok[[Ár]:[Ár]],_xlfn.AGGREGATE(15,3,(Adatok[[Ingatlanok]:[Ingatlanok]]=$H30)/(Adatok[[Ingatlanok]:[Ingatlanok]]=$H30)*(ROW(Adatok[[Ingatlanok]:[Ingatlanok]])-ROW(Adatok[[#Headers],[Cashflow]])),COLUMNS($J$25:N$25))),"")</f>
        <v/>
      </c>
      <c r="N30" t="str">
        <f>IF(COLUMNS($J$25:O$25)&lt;=$G30,INDEX(Adatok[[Ár]:[Ár]],_xlfn.AGGREGATE(15,3,(Adatok[[Ingatlanok]:[Ingatlanok]]=$H30)/(Adatok[[Ingatlanok]:[Ingatlanok]]=$H30)*(ROW(Adatok[[Ingatlanok]:[Ingatlanok]])-ROW(Adatok[[#Headers],[Ingatlanok]])),COLUMNS($J$25:O$25))),"")</f>
        <v/>
      </c>
      <c r="O30" t="str">
        <f>IF(COLUMNS($J$25:P$25)&lt;=$G30,INDEX(Adatok[[Ár]:[Ár]],_xlfn.AGGREGATE(15,3,(Adatok[[Ingatlanok]:[Ingatlanok]]=$H30)/(Adatok[[Ingatlanok]:[Ingatlanok]]=$H30)*(ROW(Adatok[[Ingatlanok]:[Ingatlanok]])-ROW(Adatok[[#Headers],[Ár]])),COLUMNS($J$25:P$25))),"")</f>
        <v/>
      </c>
      <c r="P30" t="str">
        <f>IF(COLUMNS($J$25:Q$25)&lt;=$G30,INDEX(Adatok[[Ár]:[Ár]],_xlfn.AGGREGATE(15,3,(Adatok[[Ingatlanok]:[Ingatlanok]]=$H30)/(Adatok[[Ingatlanok]:[Ingatlanok]]=$H30)*(ROW(Adatok[[Ingatlanok]:[Ingatlanok]])-ROW(Adatok[[#Headers],[Letét, jelzálog]])),COLUMNS($J$25:Q$25))),"")</f>
        <v/>
      </c>
      <c r="Q30" t="str">
        <f>IF(COLUMNS($J$25:R$25)&lt;=$G30,INDEX(Adatok[[Ár]:[Ár]],_xlfn.AGGREGATE(15,3,(Adatok[[Ingatlanok]:[Ingatlanok]]=$H30)/(Adatok[[Ingatlanok]:[Ingatlanok]]=$H30)*(ROW(Adatok[[Ingatlanok]:[Ingatlanok]])-ROW(Adatok[[#Headers],[Előleg]])),COLUMNS($J$25:R$25))),"")</f>
        <v/>
      </c>
      <c r="R30" t="str">
        <f>IF(COLUMNS($J$25:S$25)&lt;=$G30,INDEX(Adatok[[Ár]:[Ár]],_xlfn.AGGREGATE(15,3,(Adatok[[Ingatlanok]:[Ingatlanok]]=$H30)/(Adatok[[Ingatlanok]:[Ingatlanok]]=$H30)*(ROW(Adatok[[Ingatlanok]:[Ingatlanok]])-ROW(Adatok[[#Headers],[Cashflow]])),COLUMNS($J$25:S$25))),"")</f>
        <v/>
      </c>
      <c r="S30" t="str">
        <f>IF(COLUMNS($J$25:T$25)&lt;=$G30,INDEX(Adatok[[Ár]:[Ár]],_xlfn.AGGREGATE(15,3,(Adatok[[Ingatlanok]:[Ingatlanok]]=$H30)/(Adatok[[Ingatlanok]:[Ingatlanok]]=$H30)*(ROW(Adatok[[Ingatlanok]:[Ingatlanok]])-ROW(Adatok[[#Headers],[Ingatlanok]])),COLUMNS($J$25:T$25))),"")</f>
        <v/>
      </c>
      <c r="T30" t="str">
        <f>IF(COLUMNS($J$25:U$25)&lt;=$G30,INDEX(Adatok[[Ár]:[Ár]],_xlfn.AGGREGATE(15,3,(Adatok[[Ingatlanok]:[Ingatlanok]]=$H30)/(Adatok[[Ingatlanok]:[Ingatlanok]]=$H30)*(ROW(Adatok[[Ingatlanok]:[Ingatlanok]])-ROW(Adatok[[#Headers],[Ár]])),COLUMNS($J$25:U$25))),"")</f>
        <v/>
      </c>
      <c r="U30" t="str">
        <f>IF(COLUMNS($J$25:V$25)&lt;=$G30,INDEX(Adatok[[Ár]:[Ár]],_xlfn.AGGREGATE(15,3,(Adatok[[Ingatlanok]:[Ingatlanok]]=$H30)/(Adatok[[Ingatlanok]:[Ingatlanok]]=$H30)*(ROW(Adatok[[Ingatlanok]:[Ingatlanok]])-ROW(Adatok[[#Headers],[Letét, jelzálog]])),COLUMNS($J$25:V$25))),"")</f>
        <v/>
      </c>
      <c r="V30" t="str">
        <f>IF(COLUMNS($J$25:W$25)&lt;=$G30,INDEX(Adatok[[Ár]:[Ár]],_xlfn.AGGREGATE(15,3,(Adatok[[Ingatlanok]:[Ingatlanok]]=$H30)/(Adatok[[Ingatlanok]:[Ingatlanok]]=$H30)*(ROW(Adatok[[Ingatlanok]:[Ingatlanok]])-ROW(Adatok[[#Headers],[Előleg]])),COLUMNS($J$25:W$25))),"")</f>
        <v/>
      </c>
      <c r="W30" t="str">
        <f>IF(COLUMNS($J$25:X$25)&lt;=$G30,INDEX(Adatok[[Ár]:[Ár]],_xlfn.AGGREGATE(15,3,(Adatok[[Ingatlanok]:[Ingatlanok]]=$H30)/(Adatok[[Ingatlanok]:[Ingatlanok]]=$H30)*(ROW(Adatok[[Ingatlanok]:[Ingatlanok]])-ROW(Adatok[[#Headers],[Cashflow]])),COLUMNS($J$25:X$25))),"")</f>
        <v/>
      </c>
      <c r="X30" t="str">
        <f>IF(COLUMNS($J$25:Y$25)&lt;=$G30,INDEX(Adatok[[Ár]:[Ár]],_xlfn.AGGREGATE(15,3,(Adatok[[Ingatlanok]:[Ingatlanok]]=$H30)/(Adatok[[Ingatlanok]:[Ingatlanok]]=$H30)*(ROW(Adatok[[Ingatlanok]:[Ingatlanok]])-ROW(Adatok[[#Headers],[Ingatlanok]])),COLUMNS($J$25:Y$25))),"")</f>
        <v/>
      </c>
      <c r="Y30" t="str">
        <f>IF(COLUMNS($J$25:Z$25)&lt;=$G30,INDEX(Adatok[[Ár]:[Ár]],_xlfn.AGGREGATE(15,3,(Adatok[[Ingatlanok]:[Ingatlanok]]=$H30)/(Adatok[[Ingatlanok]:[Ingatlanok]]=$H30)*(ROW(Adatok[[Ingatlanok]:[Ingatlanok]])-ROW(Adatok[[#Headers],[Ár]])),COLUMNS($J$25:Z$25))),"")</f>
        <v/>
      </c>
      <c r="Z30" t="str">
        <f>IF(COLUMNS($J$25:AA$25)&lt;=$G30,INDEX(Adatok[[Ár]:[Ár]],_xlfn.AGGREGATE(15,3,(Adatok[[Ingatlanok]:[Ingatlanok]]=$H30)/(Adatok[[Ingatlanok]:[Ingatlanok]]=$H30)*(ROW(Adatok[[Ingatlanok]:[Ingatlanok]])-ROW(Adatok[[#Headers],[Letét, jelzálog]])),COLUMNS($J$25:AA$25))),"")</f>
        <v/>
      </c>
      <c r="AA30" t="str">
        <f>IF(COLUMNS($J$25:AB$25)&lt;=$G30,INDEX(Adatok[[Ár]:[Ár]],_xlfn.AGGREGATE(15,3,(Adatok[[Ingatlanok]:[Ingatlanok]]=$H30)/(Adatok[[Ingatlanok]:[Ingatlanok]]=$H30)*(ROW(Adatok[[Ingatlanok]:[Ingatlanok]])-ROW(Adatok[[#Headers],[Előleg]])),COLUMNS($J$25:AB$25))),"")</f>
        <v/>
      </c>
      <c r="AB30" t="str">
        <f>IF(COLUMNS($J$25:AC$25)&lt;=$G30,INDEX(Adatok[[Ár]:[Ár]],_xlfn.AGGREGATE(15,3,(Adatok[[Ingatlanok]:[Ingatlanok]]=$H30)/(Adatok[[Ingatlanok]:[Ingatlanok]]=$H30)*(ROW(Adatok[[Ingatlanok]:[Ingatlanok]])-ROW(Adatok[[#Headers],[Cashflow]])),COLUMNS($J$25:AC$25))),"")</f>
        <v/>
      </c>
      <c r="AC30" t="str">
        <f>IF(COLUMNS($J$25:AD$25)&lt;=$G30,INDEX(Adatok[[Ár]:[Ár]],_xlfn.AGGREGATE(15,3,(Adatok[[Ingatlanok]:[Ingatlanok]]=$H30)/(Adatok[[Ingatlanok]:[Ingatlanok]]=$H30)*(ROW(Adatok[[Ingatlanok]:[Ingatlanok]])-ROW(Adatok[[#Headers],[Ingatlanok]])),COLUMNS($J$25:AD$25))),"")</f>
        <v/>
      </c>
      <c r="AD30" t="str">
        <f>IF(COLUMNS($J$25:AE$25)&lt;=$G30,INDEX(Adatok[[Ár]:[Ár]],_xlfn.AGGREGATE(15,3,(Adatok[[Ingatlanok]:[Ingatlanok]]=$H30)/(Adatok[[Ingatlanok]:[Ingatlanok]]=$H30)*(ROW(Adatok[[Ingatlanok]:[Ingatlanok]])-ROW(Adatok[[#Headers],[Ár]])),COLUMNS($J$25:AE$25))),"")</f>
        <v/>
      </c>
    </row>
    <row r="31" spans="1:30" x14ac:dyDescent="0.25">
      <c r="A31" s="59" t="s">
        <v>127</v>
      </c>
      <c r="B31" s="46">
        <v>25000</v>
      </c>
      <c r="C31" s="47">
        <v>0</v>
      </c>
      <c r="D31" s="46">
        <v>25000</v>
      </c>
      <c r="E31" s="47">
        <v>1000</v>
      </c>
      <c r="G31">
        <f>COUNTIF(Adatok[Ingatlanok],H31)</f>
        <v>3</v>
      </c>
      <c r="H31" s="57" t="str">
        <f>INDEX(Adatok[Ingatlanok],MATCH(0,INDEX(COUNTIF($H$25:H30,Adatok[Ingatlanok]),),0))</f>
        <v>NAGYSZERŰ LEHETŐSÉG 3H/2F</v>
      </c>
      <c r="I31">
        <f>IF(COLUMNS($J$25:J$25)&lt;=$G31,INDEX(Adatok[[Ár]:[Ár]],_xlfn.AGGREGATE(15,3,(Adatok[[Ingatlanok]:[Ingatlanok]]=$H31)/(Adatok[[Ingatlanok]:[Ingatlanok]]=$H31)*(ROW(Adatok[[Ingatlanok]:[Ingatlanok]])-ROW(Adatok[[#Headers],[Ingatlanok]])),COLUMNS($J$25:J$25))),"")</f>
        <v>35000</v>
      </c>
      <c r="J31">
        <f>IF(COLUMNS($J$25:K$25)&lt;=$G31,INDEX(Adatok[[Ár]:[Ár]],_xlfn.AGGREGATE(15,3,(Adatok[[Ingatlanok]:[Ingatlanok]]=$H31)/(Adatok[[Ingatlanok]:[Ingatlanok]]=$H31)*(ROW(Adatok[[Ingatlanok]:[Ingatlanok]])-ROW(Adatok[[#Headers],[Ár]])),COLUMNS($J$25:K$25))),"")</f>
        <v>35000</v>
      </c>
      <c r="K31">
        <f>IF(COLUMNS($J$25:L$25)&lt;=$G31,INDEX(Adatok[[Ár]:[Ár]],_xlfn.AGGREGATE(15,3,(Adatok[[Ingatlanok]:[Ingatlanok]]=$H31)/(Adatok[[Ingatlanok]:[Ingatlanok]]=$H31)*(ROW(Adatok[[Ingatlanok]:[Ingatlanok]])-ROW(Adatok[[#Headers],[Letét, jelzálog]])),COLUMNS($J$25:L$25))),"")</f>
        <v>45000</v>
      </c>
      <c r="L31" t="str">
        <f>IF(COLUMNS($J$25:M$25)&lt;=$G31,INDEX(Adatok[[Ár]:[Ár]],_xlfn.AGGREGATE(15,3,(Adatok[[Ingatlanok]:[Ingatlanok]]=$H31)/(Adatok[[Ingatlanok]:[Ingatlanok]]=$H31)*(ROW(Adatok[[Ingatlanok]:[Ingatlanok]])-ROW(Adatok[[#Headers],[Előleg]])),COLUMNS($J$25:M$25))),"")</f>
        <v/>
      </c>
      <c r="M31" t="str">
        <f>IF(COLUMNS($J$25:N$25)&lt;=$G31,INDEX(Adatok[[Ár]:[Ár]],_xlfn.AGGREGATE(15,3,(Adatok[[Ingatlanok]:[Ingatlanok]]=$H31)/(Adatok[[Ingatlanok]:[Ingatlanok]]=$H31)*(ROW(Adatok[[Ingatlanok]:[Ingatlanok]])-ROW(Adatok[[#Headers],[Cashflow]])),COLUMNS($J$25:N$25))),"")</f>
        <v/>
      </c>
      <c r="N31" t="str">
        <f>IF(COLUMNS($J$25:O$25)&lt;=$G31,INDEX(Adatok[[Ár]:[Ár]],_xlfn.AGGREGATE(15,3,(Adatok[[Ingatlanok]:[Ingatlanok]]=$H31)/(Adatok[[Ingatlanok]:[Ingatlanok]]=$H31)*(ROW(Adatok[[Ingatlanok]:[Ingatlanok]])-ROW(Adatok[[#Headers],[Ingatlanok]])),COLUMNS($J$25:O$25))),"")</f>
        <v/>
      </c>
      <c r="O31" t="str">
        <f>IF(COLUMNS($J$25:P$25)&lt;=$G31,INDEX(Adatok[[Ár]:[Ár]],_xlfn.AGGREGATE(15,3,(Adatok[[Ingatlanok]:[Ingatlanok]]=$H31)/(Adatok[[Ingatlanok]:[Ingatlanok]]=$H31)*(ROW(Adatok[[Ingatlanok]:[Ingatlanok]])-ROW(Adatok[[#Headers],[Ár]])),COLUMNS($J$25:P$25))),"")</f>
        <v/>
      </c>
      <c r="P31" t="str">
        <f>IF(COLUMNS($J$25:Q$25)&lt;=$G31,INDEX(Adatok[[Ár]:[Ár]],_xlfn.AGGREGATE(15,3,(Adatok[[Ingatlanok]:[Ingatlanok]]=$H31)/(Adatok[[Ingatlanok]:[Ingatlanok]]=$H31)*(ROW(Adatok[[Ingatlanok]:[Ingatlanok]])-ROW(Adatok[[#Headers],[Letét, jelzálog]])),COLUMNS($J$25:Q$25))),"")</f>
        <v/>
      </c>
      <c r="Q31" t="str">
        <f>IF(COLUMNS($J$25:R$25)&lt;=$G31,INDEX(Adatok[[Ár]:[Ár]],_xlfn.AGGREGATE(15,3,(Adatok[[Ingatlanok]:[Ingatlanok]]=$H31)/(Adatok[[Ingatlanok]:[Ingatlanok]]=$H31)*(ROW(Adatok[[Ingatlanok]:[Ingatlanok]])-ROW(Adatok[[#Headers],[Előleg]])),COLUMNS($J$25:R$25))),"")</f>
        <v/>
      </c>
      <c r="R31" t="str">
        <f>IF(COLUMNS($J$25:S$25)&lt;=$G31,INDEX(Adatok[[Ár]:[Ár]],_xlfn.AGGREGATE(15,3,(Adatok[[Ingatlanok]:[Ingatlanok]]=$H31)/(Adatok[[Ingatlanok]:[Ingatlanok]]=$H31)*(ROW(Adatok[[Ingatlanok]:[Ingatlanok]])-ROW(Adatok[[#Headers],[Cashflow]])),COLUMNS($J$25:S$25))),"")</f>
        <v/>
      </c>
      <c r="S31" t="str">
        <f>IF(COLUMNS($J$25:T$25)&lt;=$G31,INDEX(Adatok[[Ár]:[Ár]],_xlfn.AGGREGATE(15,3,(Adatok[[Ingatlanok]:[Ingatlanok]]=$H31)/(Adatok[[Ingatlanok]:[Ingatlanok]]=$H31)*(ROW(Adatok[[Ingatlanok]:[Ingatlanok]])-ROW(Adatok[[#Headers],[Ingatlanok]])),COLUMNS($J$25:T$25))),"")</f>
        <v/>
      </c>
      <c r="T31" t="str">
        <f>IF(COLUMNS($J$25:U$25)&lt;=$G31,INDEX(Adatok[[Ár]:[Ár]],_xlfn.AGGREGATE(15,3,(Adatok[[Ingatlanok]:[Ingatlanok]]=$H31)/(Adatok[[Ingatlanok]:[Ingatlanok]]=$H31)*(ROW(Adatok[[Ingatlanok]:[Ingatlanok]])-ROW(Adatok[[#Headers],[Ár]])),COLUMNS($J$25:U$25))),"")</f>
        <v/>
      </c>
      <c r="U31" t="str">
        <f>IF(COLUMNS($J$25:V$25)&lt;=$G31,INDEX(Adatok[[Ár]:[Ár]],_xlfn.AGGREGATE(15,3,(Adatok[[Ingatlanok]:[Ingatlanok]]=$H31)/(Adatok[[Ingatlanok]:[Ingatlanok]]=$H31)*(ROW(Adatok[[Ingatlanok]:[Ingatlanok]])-ROW(Adatok[[#Headers],[Letét, jelzálog]])),COLUMNS($J$25:V$25))),"")</f>
        <v/>
      </c>
      <c r="V31" t="str">
        <f>IF(COLUMNS($J$25:W$25)&lt;=$G31,INDEX(Adatok[[Ár]:[Ár]],_xlfn.AGGREGATE(15,3,(Adatok[[Ingatlanok]:[Ingatlanok]]=$H31)/(Adatok[[Ingatlanok]:[Ingatlanok]]=$H31)*(ROW(Adatok[[Ingatlanok]:[Ingatlanok]])-ROW(Adatok[[#Headers],[Előleg]])),COLUMNS($J$25:W$25))),"")</f>
        <v/>
      </c>
      <c r="W31" t="str">
        <f>IF(COLUMNS($J$25:X$25)&lt;=$G31,INDEX(Adatok[[Ár]:[Ár]],_xlfn.AGGREGATE(15,3,(Adatok[[Ingatlanok]:[Ingatlanok]]=$H31)/(Adatok[[Ingatlanok]:[Ingatlanok]]=$H31)*(ROW(Adatok[[Ingatlanok]:[Ingatlanok]])-ROW(Adatok[[#Headers],[Cashflow]])),COLUMNS($J$25:X$25))),"")</f>
        <v/>
      </c>
      <c r="X31" t="str">
        <f>IF(COLUMNS($J$25:Y$25)&lt;=$G31,INDEX(Adatok[[Ár]:[Ár]],_xlfn.AGGREGATE(15,3,(Adatok[[Ingatlanok]:[Ingatlanok]]=$H31)/(Adatok[[Ingatlanok]:[Ingatlanok]]=$H31)*(ROW(Adatok[[Ingatlanok]:[Ingatlanok]])-ROW(Adatok[[#Headers],[Ingatlanok]])),COLUMNS($J$25:Y$25))),"")</f>
        <v/>
      </c>
      <c r="Y31" t="str">
        <f>IF(COLUMNS($J$25:Z$25)&lt;=$G31,INDEX(Adatok[[Ár]:[Ár]],_xlfn.AGGREGATE(15,3,(Adatok[[Ingatlanok]:[Ingatlanok]]=$H31)/(Adatok[[Ingatlanok]:[Ingatlanok]]=$H31)*(ROW(Adatok[[Ingatlanok]:[Ingatlanok]])-ROW(Adatok[[#Headers],[Ár]])),COLUMNS($J$25:Z$25))),"")</f>
        <v/>
      </c>
      <c r="Z31" t="str">
        <f>IF(COLUMNS($J$25:AA$25)&lt;=$G31,INDEX(Adatok[[Ár]:[Ár]],_xlfn.AGGREGATE(15,3,(Adatok[[Ingatlanok]:[Ingatlanok]]=$H31)/(Adatok[[Ingatlanok]:[Ingatlanok]]=$H31)*(ROW(Adatok[[Ingatlanok]:[Ingatlanok]])-ROW(Adatok[[#Headers],[Letét, jelzálog]])),COLUMNS($J$25:AA$25))),"")</f>
        <v/>
      </c>
      <c r="AA31" t="str">
        <f>IF(COLUMNS($J$25:AB$25)&lt;=$G31,INDEX(Adatok[[Ár]:[Ár]],_xlfn.AGGREGATE(15,3,(Adatok[[Ingatlanok]:[Ingatlanok]]=$H31)/(Adatok[[Ingatlanok]:[Ingatlanok]]=$H31)*(ROW(Adatok[[Ingatlanok]:[Ingatlanok]])-ROW(Adatok[[#Headers],[Előleg]])),COLUMNS($J$25:AB$25))),"")</f>
        <v/>
      </c>
      <c r="AB31" t="str">
        <f>IF(COLUMNS($J$25:AC$25)&lt;=$G31,INDEX(Adatok[[Ár]:[Ár]],_xlfn.AGGREGATE(15,3,(Adatok[[Ingatlanok]:[Ingatlanok]]=$H31)/(Adatok[[Ingatlanok]:[Ingatlanok]]=$H31)*(ROW(Adatok[[Ingatlanok]:[Ingatlanok]])-ROW(Adatok[[#Headers],[Cashflow]])),COLUMNS($J$25:AC$25))),"")</f>
        <v/>
      </c>
      <c r="AC31" t="str">
        <f>IF(COLUMNS($J$25:AD$25)&lt;=$G31,INDEX(Adatok[[Ár]:[Ár]],_xlfn.AGGREGATE(15,3,(Adatok[[Ingatlanok]:[Ingatlanok]]=$H31)/(Adatok[[Ingatlanok]:[Ingatlanok]]=$H31)*(ROW(Adatok[[Ingatlanok]:[Ingatlanok]])-ROW(Adatok[[#Headers],[Ingatlanok]])),COLUMNS($J$25:AD$25))),"")</f>
        <v/>
      </c>
      <c r="AD31" t="str">
        <f>IF(COLUMNS($J$25:AE$25)&lt;=$G31,INDEX(Adatok[[Ár]:[Ár]],_xlfn.AGGREGATE(15,3,(Adatok[[Ingatlanok]:[Ingatlanok]]=$H31)/(Adatok[[Ingatlanok]:[Ingatlanok]]=$H31)*(ROW(Adatok[[Ingatlanok]:[Ingatlanok]])-ROW(Adatok[[#Headers],[Ár]])),COLUMNS($J$25:AE$25))),"")</f>
        <v/>
      </c>
    </row>
    <row r="32" spans="1:30" x14ac:dyDescent="0.25">
      <c r="A32" s="46" t="s">
        <v>127</v>
      </c>
      <c r="B32" s="46">
        <v>30000</v>
      </c>
      <c r="C32" s="47">
        <v>0</v>
      </c>
      <c r="D32" s="46">
        <v>30000</v>
      </c>
      <c r="E32" s="47">
        <v>1000</v>
      </c>
      <c r="G32">
        <f>COUNTIF(Adatok[Ingatlanok],H32)</f>
        <v>5</v>
      </c>
      <c r="H32" s="57" t="str">
        <f>INDEX(Adatok[Ingatlanok],MATCH(0,INDEX(COUNTIF($H$25:H31,Adatok[Ingatlanok]),),0))</f>
        <v>GARZONLAKÁS 2H/1F</v>
      </c>
      <c r="I32">
        <f>IF(COLUMNS($J$25:J$25)&lt;=$G32,INDEX(Adatok[[Ár]:[Ár]],_xlfn.AGGREGATE(15,3,(Adatok[[Ingatlanok]:[Ingatlanok]]=$H32)/(Adatok[[Ingatlanok]:[Ingatlanok]]=$H32)*(ROW(Adatok[[Ingatlanok]:[Ingatlanok]])-ROW(Adatok[[#Headers],[Ingatlanok]])),COLUMNS($J$25:J$25))),"")</f>
        <v>40000</v>
      </c>
      <c r="J32">
        <f>IF(COLUMNS($J$25:K$25)&lt;=$G32,INDEX(Adatok[[Ár]:[Ár]],_xlfn.AGGREGATE(15,3,(Adatok[[Ingatlanok]:[Ingatlanok]]=$H32)/(Adatok[[Ingatlanok]:[Ingatlanok]]=$H32)*(ROW(Adatok[[Ingatlanok]:[Ingatlanok]])-ROW(Adatok[[#Headers],[Ár]])),COLUMNS($J$25:K$25))),"")</f>
        <v>40000</v>
      </c>
      <c r="K32">
        <f>IF(COLUMNS($J$25:L$25)&lt;=$G32,INDEX(Adatok[[Ár]:[Ár]],_xlfn.AGGREGATE(15,3,(Adatok[[Ingatlanok]:[Ingatlanok]]=$H32)/(Adatok[[Ingatlanok]:[Ingatlanok]]=$H32)*(ROW(Adatok[[Ingatlanok]:[Ingatlanok]])-ROW(Adatok[[#Headers],[Letét, jelzálog]])),COLUMNS($J$25:L$25))),"")</f>
        <v>50000</v>
      </c>
      <c r="L32">
        <f>IF(COLUMNS($J$25:M$25)&lt;=$G32,INDEX(Adatok[[Ár]:[Ár]],_xlfn.AGGREGATE(15,3,(Adatok[[Ingatlanok]:[Ingatlanok]]=$H32)/(Adatok[[Ingatlanok]:[Ingatlanok]]=$H32)*(ROW(Adatok[[Ingatlanok]:[Ingatlanok]])-ROW(Adatok[[#Headers],[Előleg]])),COLUMNS($J$25:M$25))),"")</f>
        <v>60000</v>
      </c>
      <c r="M32">
        <f>IF(COLUMNS($J$25:N$25)&lt;=$G32,INDEX(Adatok[[Ár]:[Ár]],_xlfn.AGGREGATE(15,3,(Adatok[[Ingatlanok]:[Ingatlanok]]=$H32)/(Adatok[[Ingatlanok]:[Ingatlanok]]=$H32)*(ROW(Adatok[[Ingatlanok]:[Ingatlanok]])-ROW(Adatok[[#Headers],[Cashflow]])),COLUMNS($J$25:N$25))),"")</f>
        <v>55000</v>
      </c>
      <c r="N32" t="str">
        <f>IF(COLUMNS($J$25:O$25)&lt;=$G32,INDEX(Adatok[[Ár]:[Ár]],_xlfn.AGGREGATE(15,3,(Adatok[[Ingatlanok]:[Ingatlanok]]=$H32)/(Adatok[[Ingatlanok]:[Ingatlanok]]=$H32)*(ROW(Adatok[[Ingatlanok]:[Ingatlanok]])-ROW(Adatok[[#Headers],[Ingatlanok]])),COLUMNS($J$25:O$25))),"")</f>
        <v/>
      </c>
      <c r="O32" t="str">
        <f>IF(COLUMNS($J$25:P$25)&lt;=$G32,INDEX(Adatok[[Ár]:[Ár]],_xlfn.AGGREGATE(15,3,(Adatok[[Ingatlanok]:[Ingatlanok]]=$H32)/(Adatok[[Ingatlanok]:[Ingatlanok]]=$H32)*(ROW(Adatok[[Ingatlanok]:[Ingatlanok]])-ROW(Adatok[[#Headers],[Ár]])),COLUMNS($J$25:P$25))),"")</f>
        <v/>
      </c>
      <c r="P32" t="str">
        <f>IF(COLUMNS($J$25:Q$25)&lt;=$G32,INDEX(Adatok[[Ár]:[Ár]],_xlfn.AGGREGATE(15,3,(Adatok[[Ingatlanok]:[Ingatlanok]]=$H32)/(Adatok[[Ingatlanok]:[Ingatlanok]]=$H32)*(ROW(Adatok[[Ingatlanok]:[Ingatlanok]])-ROW(Adatok[[#Headers],[Letét, jelzálog]])),COLUMNS($J$25:Q$25))),"")</f>
        <v/>
      </c>
      <c r="Q32" t="str">
        <f>IF(COLUMNS($J$25:R$25)&lt;=$G32,INDEX(Adatok[[Ár]:[Ár]],_xlfn.AGGREGATE(15,3,(Adatok[[Ingatlanok]:[Ingatlanok]]=$H32)/(Adatok[[Ingatlanok]:[Ingatlanok]]=$H32)*(ROW(Adatok[[Ingatlanok]:[Ingatlanok]])-ROW(Adatok[[#Headers],[Előleg]])),COLUMNS($J$25:R$25))),"")</f>
        <v/>
      </c>
      <c r="R32" t="str">
        <f>IF(COLUMNS($J$25:S$25)&lt;=$G32,INDEX(Adatok[[Ár]:[Ár]],_xlfn.AGGREGATE(15,3,(Adatok[[Ingatlanok]:[Ingatlanok]]=$H32)/(Adatok[[Ingatlanok]:[Ingatlanok]]=$H32)*(ROW(Adatok[[Ingatlanok]:[Ingatlanok]])-ROW(Adatok[[#Headers],[Cashflow]])),COLUMNS($J$25:S$25))),"")</f>
        <v/>
      </c>
      <c r="S32" t="str">
        <f>IF(COLUMNS($J$25:T$25)&lt;=$G32,INDEX(Adatok[[Ár]:[Ár]],_xlfn.AGGREGATE(15,3,(Adatok[[Ingatlanok]:[Ingatlanok]]=$H32)/(Adatok[[Ingatlanok]:[Ingatlanok]]=$H32)*(ROW(Adatok[[Ingatlanok]:[Ingatlanok]])-ROW(Adatok[[#Headers],[Ingatlanok]])),COLUMNS($J$25:T$25))),"")</f>
        <v/>
      </c>
      <c r="T32" t="str">
        <f>IF(COLUMNS($J$25:U$25)&lt;=$G32,INDEX(Adatok[[Ár]:[Ár]],_xlfn.AGGREGATE(15,3,(Adatok[[Ingatlanok]:[Ingatlanok]]=$H32)/(Adatok[[Ingatlanok]:[Ingatlanok]]=$H32)*(ROW(Adatok[[Ingatlanok]:[Ingatlanok]])-ROW(Adatok[[#Headers],[Ár]])),COLUMNS($J$25:U$25))),"")</f>
        <v/>
      </c>
      <c r="U32" t="str">
        <f>IF(COLUMNS($J$25:V$25)&lt;=$G32,INDEX(Adatok[[Ár]:[Ár]],_xlfn.AGGREGATE(15,3,(Adatok[[Ingatlanok]:[Ingatlanok]]=$H32)/(Adatok[[Ingatlanok]:[Ingatlanok]]=$H32)*(ROW(Adatok[[Ingatlanok]:[Ingatlanok]])-ROW(Adatok[[#Headers],[Letét, jelzálog]])),COLUMNS($J$25:V$25))),"")</f>
        <v/>
      </c>
      <c r="V32" t="str">
        <f>IF(COLUMNS($J$25:W$25)&lt;=$G32,INDEX(Adatok[[Ár]:[Ár]],_xlfn.AGGREGATE(15,3,(Adatok[[Ingatlanok]:[Ingatlanok]]=$H32)/(Adatok[[Ingatlanok]:[Ingatlanok]]=$H32)*(ROW(Adatok[[Ingatlanok]:[Ingatlanok]])-ROW(Adatok[[#Headers],[Előleg]])),COLUMNS($J$25:W$25))),"")</f>
        <v/>
      </c>
      <c r="W32" t="str">
        <f>IF(COLUMNS($J$25:X$25)&lt;=$G32,INDEX(Adatok[[Ár]:[Ár]],_xlfn.AGGREGATE(15,3,(Adatok[[Ingatlanok]:[Ingatlanok]]=$H32)/(Adatok[[Ingatlanok]:[Ingatlanok]]=$H32)*(ROW(Adatok[[Ingatlanok]:[Ingatlanok]])-ROW(Adatok[[#Headers],[Cashflow]])),COLUMNS($J$25:X$25))),"")</f>
        <v/>
      </c>
      <c r="X32" t="str">
        <f>IF(COLUMNS($J$25:Y$25)&lt;=$G32,INDEX(Adatok[[Ár]:[Ár]],_xlfn.AGGREGATE(15,3,(Adatok[[Ingatlanok]:[Ingatlanok]]=$H32)/(Adatok[[Ingatlanok]:[Ingatlanok]]=$H32)*(ROW(Adatok[[Ingatlanok]:[Ingatlanok]])-ROW(Adatok[[#Headers],[Ingatlanok]])),COLUMNS($J$25:Y$25))),"")</f>
        <v/>
      </c>
      <c r="Y32" t="str">
        <f>IF(COLUMNS($J$25:Z$25)&lt;=$G32,INDEX(Adatok[[Ár]:[Ár]],_xlfn.AGGREGATE(15,3,(Adatok[[Ingatlanok]:[Ingatlanok]]=$H32)/(Adatok[[Ingatlanok]:[Ingatlanok]]=$H32)*(ROW(Adatok[[Ingatlanok]:[Ingatlanok]])-ROW(Adatok[[#Headers],[Ár]])),COLUMNS($J$25:Z$25))),"")</f>
        <v/>
      </c>
      <c r="Z32" t="str">
        <f>IF(COLUMNS($J$25:AA$25)&lt;=$G32,INDEX(Adatok[[Ár]:[Ár]],_xlfn.AGGREGATE(15,3,(Adatok[[Ingatlanok]:[Ingatlanok]]=$H32)/(Adatok[[Ingatlanok]:[Ingatlanok]]=$H32)*(ROW(Adatok[[Ingatlanok]:[Ingatlanok]])-ROW(Adatok[[#Headers],[Letét, jelzálog]])),COLUMNS($J$25:AA$25))),"")</f>
        <v/>
      </c>
      <c r="AA32" t="str">
        <f>IF(COLUMNS($J$25:AB$25)&lt;=$G32,INDEX(Adatok[[Ár]:[Ár]],_xlfn.AGGREGATE(15,3,(Adatok[[Ingatlanok]:[Ingatlanok]]=$H32)/(Adatok[[Ingatlanok]:[Ingatlanok]]=$H32)*(ROW(Adatok[[Ingatlanok]:[Ingatlanok]])-ROW(Adatok[[#Headers],[Előleg]])),COLUMNS($J$25:AB$25))),"")</f>
        <v/>
      </c>
      <c r="AB32" t="str">
        <f>IF(COLUMNS($J$25:AC$25)&lt;=$G32,INDEX(Adatok[[Ár]:[Ár]],_xlfn.AGGREGATE(15,3,(Adatok[[Ingatlanok]:[Ingatlanok]]=$H32)/(Adatok[[Ingatlanok]:[Ingatlanok]]=$H32)*(ROW(Adatok[[Ingatlanok]:[Ingatlanok]])-ROW(Adatok[[#Headers],[Cashflow]])),COLUMNS($J$25:AC$25))),"")</f>
        <v/>
      </c>
      <c r="AC32" t="str">
        <f>IF(COLUMNS($J$25:AD$25)&lt;=$G32,INDEX(Adatok[[Ár]:[Ár]],_xlfn.AGGREGATE(15,3,(Adatok[[Ingatlanok]:[Ingatlanok]]=$H32)/(Adatok[[Ingatlanok]:[Ingatlanok]]=$H32)*(ROW(Adatok[[Ingatlanok]:[Ingatlanok]])-ROW(Adatok[[#Headers],[Ingatlanok]])),COLUMNS($J$25:AD$25))),"")</f>
        <v/>
      </c>
      <c r="AD32" t="str">
        <f>IF(COLUMNS($J$25:AE$25)&lt;=$G32,INDEX(Adatok[[Ár]:[Ár]],_xlfn.AGGREGATE(15,3,(Adatok[[Ingatlanok]:[Ingatlanok]]=$H32)/(Adatok[[Ingatlanok]:[Ingatlanok]]=$H32)*(ROW(Adatok[[Ingatlanok]:[Ingatlanok]])-ROW(Adatok[[#Headers],[Ár]])),COLUMNS($J$25:AE$25))),"")</f>
        <v/>
      </c>
    </row>
    <row r="33" spans="1:30" x14ac:dyDescent="0.25">
      <c r="A33" s="46" t="s">
        <v>127</v>
      </c>
      <c r="B33" s="46">
        <v>30000</v>
      </c>
      <c r="C33" s="47">
        <v>0</v>
      </c>
      <c r="D33" s="46">
        <v>30000</v>
      </c>
      <c r="E33" s="47">
        <v>1500</v>
      </c>
      <c r="G33">
        <f>COUNTIF(Adatok[Ingatlanok],H33)</f>
        <v>5</v>
      </c>
      <c r="H33" s="57" t="str">
        <f>INDEX(Adatok[Ingatlanok],MATCH(0,INDEX(COUNTIF($H$25:H32,Adatok[Ingatlanok]),),0))</f>
        <v xml:space="preserve">KÉTLAKÁSOS HÁZ </v>
      </c>
      <c r="I33">
        <f>IF(COLUMNS($J$25:J$25)&lt;=$G33,INDEX(Adatok[[Ár]:[Ár]],_xlfn.AGGREGATE(15,3,(Adatok[[Ingatlanok]:[Ingatlanok]]=$H33)/(Adatok[[Ingatlanok]:[Ingatlanok]]=$H33)*(ROW(Adatok[[Ingatlanok]:[Ingatlanok]])-ROW(Adatok[[#Headers],[Ingatlanok]])),COLUMNS($J$25:J$25))),"")</f>
        <v>45000</v>
      </c>
      <c r="J33">
        <f>IF(COLUMNS($J$25:K$25)&lt;=$G33,INDEX(Adatok[[Ár]:[Ár]],_xlfn.AGGREGATE(15,3,(Adatok[[Ingatlanok]:[Ingatlanok]]=$H33)/(Adatok[[Ingatlanok]:[Ingatlanok]]=$H33)*(ROW(Adatok[[Ingatlanok]:[Ingatlanok]])-ROW(Adatok[[#Headers],[Ár]])),COLUMNS($J$25:K$25))),"")</f>
        <v>50000</v>
      </c>
      <c r="K33">
        <f>IF(COLUMNS($J$25:L$25)&lt;=$G33,INDEX(Adatok[[Ár]:[Ár]],_xlfn.AGGREGATE(15,3,(Adatok[[Ingatlanok]:[Ingatlanok]]=$H33)/(Adatok[[Ingatlanok]:[Ingatlanok]]=$H33)*(ROW(Adatok[[Ingatlanok]:[Ingatlanok]])-ROW(Adatok[[#Headers],[Letét, jelzálog]])),COLUMNS($J$25:L$25))),"")</f>
        <v>60000</v>
      </c>
      <c r="L33">
        <f>IF(COLUMNS($J$25:M$25)&lt;=$G33,INDEX(Adatok[[Ár]:[Ár]],_xlfn.AGGREGATE(15,3,(Adatok[[Ingatlanok]:[Ingatlanok]]=$H33)/(Adatok[[Ingatlanok]:[Ingatlanok]]=$H33)*(ROW(Adatok[[Ingatlanok]:[Ingatlanok]])-ROW(Adatok[[#Headers],[Előleg]])),COLUMNS($J$25:M$25))),"")</f>
        <v>60000</v>
      </c>
      <c r="M33">
        <f>IF(COLUMNS($J$25:N$25)&lt;=$G33,INDEX(Adatok[[Ár]:[Ár]],_xlfn.AGGREGATE(15,3,(Adatok[[Ingatlanok]:[Ingatlanok]]=$H33)/(Adatok[[Ingatlanok]:[Ingatlanok]]=$H33)*(ROW(Adatok[[Ingatlanok]:[Ingatlanok]])-ROW(Adatok[[#Headers],[Cashflow]])),COLUMNS($J$25:N$25))),"")</f>
        <v>70000</v>
      </c>
      <c r="N33" t="str">
        <f>IF(COLUMNS($J$25:O$25)&lt;=$G33,INDEX(Adatok[[Ár]:[Ár]],_xlfn.AGGREGATE(15,3,(Adatok[[Ingatlanok]:[Ingatlanok]]=$H33)/(Adatok[[Ingatlanok]:[Ingatlanok]]=$H33)*(ROW(Adatok[[Ingatlanok]:[Ingatlanok]])-ROW(Adatok[[#Headers],[Ingatlanok]])),COLUMNS($J$25:O$25))),"")</f>
        <v/>
      </c>
      <c r="O33" t="str">
        <f>IF(COLUMNS($J$25:P$25)&lt;=$G33,INDEX(Adatok[[Ár]:[Ár]],_xlfn.AGGREGATE(15,3,(Adatok[[Ingatlanok]:[Ingatlanok]]=$H33)/(Adatok[[Ingatlanok]:[Ingatlanok]]=$H33)*(ROW(Adatok[[Ingatlanok]:[Ingatlanok]])-ROW(Adatok[[#Headers],[Ár]])),COLUMNS($J$25:P$25))),"")</f>
        <v/>
      </c>
      <c r="P33" t="str">
        <f>IF(COLUMNS($J$25:Q$25)&lt;=$G33,INDEX(Adatok[[Ár]:[Ár]],_xlfn.AGGREGATE(15,3,(Adatok[[Ingatlanok]:[Ingatlanok]]=$H33)/(Adatok[[Ingatlanok]:[Ingatlanok]]=$H33)*(ROW(Adatok[[Ingatlanok]:[Ingatlanok]])-ROW(Adatok[[#Headers],[Letét, jelzálog]])),COLUMNS($J$25:Q$25))),"")</f>
        <v/>
      </c>
      <c r="Q33" t="str">
        <f>IF(COLUMNS($J$25:R$25)&lt;=$G33,INDEX(Adatok[[Ár]:[Ár]],_xlfn.AGGREGATE(15,3,(Adatok[[Ingatlanok]:[Ingatlanok]]=$H33)/(Adatok[[Ingatlanok]:[Ingatlanok]]=$H33)*(ROW(Adatok[[Ingatlanok]:[Ingatlanok]])-ROW(Adatok[[#Headers],[Előleg]])),COLUMNS($J$25:R$25))),"")</f>
        <v/>
      </c>
      <c r="R33" t="str">
        <f>IF(COLUMNS($J$25:S$25)&lt;=$G33,INDEX(Adatok[[Ár]:[Ár]],_xlfn.AGGREGATE(15,3,(Adatok[[Ingatlanok]:[Ingatlanok]]=$H33)/(Adatok[[Ingatlanok]:[Ingatlanok]]=$H33)*(ROW(Adatok[[Ingatlanok]:[Ingatlanok]])-ROW(Adatok[[#Headers],[Cashflow]])),COLUMNS($J$25:S$25))),"")</f>
        <v/>
      </c>
      <c r="S33" t="str">
        <f>IF(COLUMNS($J$25:T$25)&lt;=$G33,INDEX(Adatok[[Ár]:[Ár]],_xlfn.AGGREGATE(15,3,(Adatok[[Ingatlanok]:[Ingatlanok]]=$H33)/(Adatok[[Ingatlanok]:[Ingatlanok]]=$H33)*(ROW(Adatok[[Ingatlanok]:[Ingatlanok]])-ROW(Adatok[[#Headers],[Ingatlanok]])),COLUMNS($J$25:T$25))),"")</f>
        <v/>
      </c>
      <c r="T33" t="str">
        <f>IF(COLUMNS($J$25:U$25)&lt;=$G33,INDEX(Adatok[[Ár]:[Ár]],_xlfn.AGGREGATE(15,3,(Adatok[[Ingatlanok]:[Ingatlanok]]=$H33)/(Adatok[[Ingatlanok]:[Ingatlanok]]=$H33)*(ROW(Adatok[[Ingatlanok]:[Ingatlanok]])-ROW(Adatok[[#Headers],[Ár]])),COLUMNS($J$25:U$25))),"")</f>
        <v/>
      </c>
      <c r="U33" t="str">
        <f>IF(COLUMNS($J$25:V$25)&lt;=$G33,INDEX(Adatok[[Ár]:[Ár]],_xlfn.AGGREGATE(15,3,(Adatok[[Ingatlanok]:[Ingatlanok]]=$H33)/(Adatok[[Ingatlanok]:[Ingatlanok]]=$H33)*(ROW(Adatok[[Ingatlanok]:[Ingatlanok]])-ROW(Adatok[[#Headers],[Letét, jelzálog]])),COLUMNS($J$25:V$25))),"")</f>
        <v/>
      </c>
      <c r="V33" t="str">
        <f>IF(COLUMNS($J$25:W$25)&lt;=$G33,INDEX(Adatok[[Ár]:[Ár]],_xlfn.AGGREGATE(15,3,(Adatok[[Ingatlanok]:[Ingatlanok]]=$H33)/(Adatok[[Ingatlanok]:[Ingatlanok]]=$H33)*(ROW(Adatok[[Ingatlanok]:[Ingatlanok]])-ROW(Adatok[[#Headers],[Előleg]])),COLUMNS($J$25:W$25))),"")</f>
        <v/>
      </c>
      <c r="W33" t="str">
        <f>IF(COLUMNS($J$25:X$25)&lt;=$G33,INDEX(Adatok[[Ár]:[Ár]],_xlfn.AGGREGATE(15,3,(Adatok[[Ingatlanok]:[Ingatlanok]]=$H33)/(Adatok[[Ingatlanok]:[Ingatlanok]]=$H33)*(ROW(Adatok[[Ingatlanok]:[Ingatlanok]])-ROW(Adatok[[#Headers],[Cashflow]])),COLUMNS($J$25:X$25))),"")</f>
        <v/>
      </c>
      <c r="X33" t="str">
        <f>IF(COLUMNS($J$25:Y$25)&lt;=$G33,INDEX(Adatok[[Ár]:[Ár]],_xlfn.AGGREGATE(15,3,(Adatok[[Ingatlanok]:[Ingatlanok]]=$H33)/(Adatok[[Ingatlanok]:[Ingatlanok]]=$H33)*(ROW(Adatok[[Ingatlanok]:[Ingatlanok]])-ROW(Adatok[[#Headers],[Ingatlanok]])),COLUMNS($J$25:Y$25))),"")</f>
        <v/>
      </c>
      <c r="Y33" t="str">
        <f>IF(COLUMNS($J$25:Z$25)&lt;=$G33,INDEX(Adatok[[Ár]:[Ár]],_xlfn.AGGREGATE(15,3,(Adatok[[Ingatlanok]:[Ingatlanok]]=$H33)/(Adatok[[Ingatlanok]:[Ingatlanok]]=$H33)*(ROW(Adatok[[Ingatlanok]:[Ingatlanok]])-ROW(Adatok[[#Headers],[Ár]])),COLUMNS($J$25:Z$25))),"")</f>
        <v/>
      </c>
      <c r="Z33" t="str">
        <f>IF(COLUMNS($J$25:AA$25)&lt;=$G33,INDEX(Adatok[[Ár]:[Ár]],_xlfn.AGGREGATE(15,3,(Adatok[[Ingatlanok]:[Ingatlanok]]=$H33)/(Adatok[[Ingatlanok]:[Ingatlanok]]=$H33)*(ROW(Adatok[[Ingatlanok]:[Ingatlanok]])-ROW(Adatok[[#Headers],[Letét, jelzálog]])),COLUMNS($J$25:AA$25))),"")</f>
        <v/>
      </c>
      <c r="AA33" t="str">
        <f>IF(COLUMNS($J$25:AB$25)&lt;=$G33,INDEX(Adatok[[Ár]:[Ár]],_xlfn.AGGREGATE(15,3,(Adatok[[Ingatlanok]:[Ingatlanok]]=$H33)/(Adatok[[Ingatlanok]:[Ingatlanok]]=$H33)*(ROW(Adatok[[Ingatlanok]:[Ingatlanok]])-ROW(Adatok[[#Headers],[Előleg]])),COLUMNS($J$25:AB$25))),"")</f>
        <v/>
      </c>
      <c r="AB33" t="str">
        <f>IF(COLUMNS($J$25:AC$25)&lt;=$G33,INDEX(Adatok[[Ár]:[Ár]],_xlfn.AGGREGATE(15,3,(Adatok[[Ingatlanok]:[Ingatlanok]]=$H33)/(Adatok[[Ingatlanok]:[Ingatlanok]]=$H33)*(ROW(Adatok[[Ingatlanok]:[Ingatlanok]])-ROW(Adatok[[#Headers],[Cashflow]])),COLUMNS($J$25:AC$25))),"")</f>
        <v/>
      </c>
      <c r="AC33" t="str">
        <f>IF(COLUMNS($J$25:AD$25)&lt;=$G33,INDEX(Adatok[[Ár]:[Ár]],_xlfn.AGGREGATE(15,3,(Adatok[[Ingatlanok]:[Ingatlanok]]=$H33)/(Adatok[[Ingatlanok]:[Ingatlanok]]=$H33)*(ROW(Adatok[[Ingatlanok]:[Ingatlanok]])-ROW(Adatok[[#Headers],[Ingatlanok]])),COLUMNS($J$25:AD$25))),"")</f>
        <v/>
      </c>
      <c r="AD33" t="str">
        <f>IF(COLUMNS($J$25:AE$25)&lt;=$G33,INDEX(Adatok[[Ár]:[Ár]],_xlfn.AGGREGATE(15,3,(Adatok[[Ingatlanok]:[Ingatlanok]]=$H33)/(Adatok[[Ingatlanok]:[Ingatlanok]]=$H33)*(ROW(Adatok[[Ingatlanok]:[Ingatlanok]])-ROW(Adatok[[#Headers],[Ár]])),COLUMNS($J$25:AE$25))),"")</f>
        <v/>
      </c>
    </row>
    <row r="34" spans="1:30" x14ac:dyDescent="0.25">
      <c r="A34" s="59" t="s">
        <v>138</v>
      </c>
      <c r="B34" s="46">
        <v>35000</v>
      </c>
      <c r="C34" s="47">
        <v>33000</v>
      </c>
      <c r="D34" s="46">
        <v>2000</v>
      </c>
      <c r="E34" s="47">
        <v>220</v>
      </c>
      <c r="G34">
        <f>COUNTIF(Adatok[Ingatlanok],H34)</f>
        <v>1</v>
      </c>
      <c r="H34" s="57" t="str">
        <f>INDEX(Adatok[Ingatlanok],MATCH(0,INDEX(COUNTIF($H$25:H33,Adatok[Ingatlanok]),),0))</f>
        <v>KIS BEVÁSÁRLÓ CSARNOK</v>
      </c>
      <c r="I34">
        <f>IF(COLUMNS($J$25:J$25)&lt;=$G34,INDEX(Adatok[[Ár]:[Ár]],_xlfn.AGGREGATE(15,3,(Adatok[[Ingatlanok]:[Ingatlanok]]=$H34)/(Adatok[[Ingatlanok]:[Ingatlanok]]=$H34)*(ROW(Adatok[[Ingatlanok]:[Ingatlanok]])-ROW(Adatok[[#Headers],[Ingatlanok]])),COLUMNS($J$25:J$25))),"")</f>
        <v>50000</v>
      </c>
      <c r="J34" t="str">
        <f>IF(COLUMNS($J$25:K$25)&lt;=$G34,INDEX(Adatok[[Ár]:[Ár]],_xlfn.AGGREGATE(15,3,(Adatok[[Ingatlanok]:[Ingatlanok]]=$H34)/(Adatok[[Ingatlanok]:[Ingatlanok]]=$H34)*(ROW(Adatok[[Ingatlanok]:[Ingatlanok]])-ROW(Adatok[[#Headers],[Ár]])),COLUMNS($J$25:K$25))),"")</f>
        <v/>
      </c>
      <c r="K34" t="str">
        <f>IF(COLUMNS($J$25:L$25)&lt;=$G34,INDEX(Adatok[[Ár]:[Ár]],_xlfn.AGGREGATE(15,3,(Adatok[[Ingatlanok]:[Ingatlanok]]=$H34)/(Adatok[[Ingatlanok]:[Ingatlanok]]=$H34)*(ROW(Adatok[[Ingatlanok]:[Ingatlanok]])-ROW(Adatok[[#Headers],[Letét, jelzálog]])),COLUMNS($J$25:L$25))),"")</f>
        <v/>
      </c>
      <c r="L34" t="str">
        <f>IF(COLUMNS($J$25:M$25)&lt;=$G34,INDEX(Adatok[[Ár]:[Ár]],_xlfn.AGGREGATE(15,3,(Adatok[[Ingatlanok]:[Ingatlanok]]=$H34)/(Adatok[[Ingatlanok]:[Ingatlanok]]=$H34)*(ROW(Adatok[[Ingatlanok]:[Ingatlanok]])-ROW(Adatok[[#Headers],[Előleg]])),COLUMNS($J$25:M$25))),"")</f>
        <v/>
      </c>
      <c r="M34" t="str">
        <f>IF(COLUMNS($J$25:N$25)&lt;=$G34,INDEX(Adatok[[Ár]:[Ár]],_xlfn.AGGREGATE(15,3,(Adatok[[Ingatlanok]:[Ingatlanok]]=$H34)/(Adatok[[Ingatlanok]:[Ingatlanok]]=$H34)*(ROW(Adatok[[Ingatlanok]:[Ingatlanok]])-ROW(Adatok[[#Headers],[Cashflow]])),COLUMNS($J$25:N$25))),"")</f>
        <v/>
      </c>
      <c r="N34" t="str">
        <f>IF(COLUMNS($J$25:O$25)&lt;=$G34,INDEX(Adatok[[Ár]:[Ár]],_xlfn.AGGREGATE(15,3,(Adatok[[Ingatlanok]:[Ingatlanok]]=$H34)/(Adatok[[Ingatlanok]:[Ingatlanok]]=$H34)*(ROW(Adatok[[Ingatlanok]:[Ingatlanok]])-ROW(Adatok[[#Headers],[Ingatlanok]])),COLUMNS($J$25:O$25))),"")</f>
        <v/>
      </c>
      <c r="O34" t="str">
        <f>IF(COLUMNS($J$25:P$25)&lt;=$G34,INDEX(Adatok[[Ár]:[Ár]],_xlfn.AGGREGATE(15,3,(Adatok[[Ingatlanok]:[Ingatlanok]]=$H34)/(Adatok[[Ingatlanok]:[Ingatlanok]]=$H34)*(ROW(Adatok[[Ingatlanok]:[Ingatlanok]])-ROW(Adatok[[#Headers],[Ár]])),COLUMNS($J$25:P$25))),"")</f>
        <v/>
      </c>
      <c r="P34" t="str">
        <f>IF(COLUMNS($J$25:Q$25)&lt;=$G34,INDEX(Adatok[[Ár]:[Ár]],_xlfn.AGGREGATE(15,3,(Adatok[[Ingatlanok]:[Ingatlanok]]=$H34)/(Adatok[[Ingatlanok]:[Ingatlanok]]=$H34)*(ROW(Adatok[[Ingatlanok]:[Ingatlanok]])-ROW(Adatok[[#Headers],[Letét, jelzálog]])),COLUMNS($J$25:Q$25))),"")</f>
        <v/>
      </c>
      <c r="Q34" t="str">
        <f>IF(COLUMNS($J$25:R$25)&lt;=$G34,INDEX(Adatok[[Ár]:[Ár]],_xlfn.AGGREGATE(15,3,(Adatok[[Ingatlanok]:[Ingatlanok]]=$H34)/(Adatok[[Ingatlanok]:[Ingatlanok]]=$H34)*(ROW(Adatok[[Ingatlanok]:[Ingatlanok]])-ROW(Adatok[[#Headers],[Előleg]])),COLUMNS($J$25:R$25))),"")</f>
        <v/>
      </c>
      <c r="R34" t="str">
        <f>IF(COLUMNS($J$25:S$25)&lt;=$G34,INDEX(Adatok[[Ár]:[Ár]],_xlfn.AGGREGATE(15,3,(Adatok[[Ingatlanok]:[Ingatlanok]]=$H34)/(Adatok[[Ingatlanok]:[Ingatlanok]]=$H34)*(ROW(Adatok[[Ingatlanok]:[Ingatlanok]])-ROW(Adatok[[#Headers],[Cashflow]])),COLUMNS($J$25:S$25))),"")</f>
        <v/>
      </c>
      <c r="S34" t="str">
        <f>IF(COLUMNS($J$25:T$25)&lt;=$G34,INDEX(Adatok[[Ár]:[Ár]],_xlfn.AGGREGATE(15,3,(Adatok[[Ingatlanok]:[Ingatlanok]]=$H34)/(Adatok[[Ingatlanok]:[Ingatlanok]]=$H34)*(ROW(Adatok[[Ingatlanok]:[Ingatlanok]])-ROW(Adatok[[#Headers],[Ingatlanok]])),COLUMNS($J$25:T$25))),"")</f>
        <v/>
      </c>
      <c r="T34" t="str">
        <f>IF(COLUMNS($J$25:U$25)&lt;=$G34,INDEX(Adatok[[Ár]:[Ár]],_xlfn.AGGREGATE(15,3,(Adatok[[Ingatlanok]:[Ingatlanok]]=$H34)/(Adatok[[Ingatlanok]:[Ingatlanok]]=$H34)*(ROW(Adatok[[Ingatlanok]:[Ingatlanok]])-ROW(Adatok[[#Headers],[Ár]])),COLUMNS($J$25:U$25))),"")</f>
        <v/>
      </c>
      <c r="U34" t="str">
        <f>IF(COLUMNS($J$25:V$25)&lt;=$G34,INDEX(Adatok[[Ár]:[Ár]],_xlfn.AGGREGATE(15,3,(Adatok[[Ingatlanok]:[Ingatlanok]]=$H34)/(Adatok[[Ingatlanok]:[Ingatlanok]]=$H34)*(ROW(Adatok[[Ingatlanok]:[Ingatlanok]])-ROW(Adatok[[#Headers],[Letét, jelzálog]])),COLUMNS($J$25:V$25))),"")</f>
        <v/>
      </c>
      <c r="V34" t="str">
        <f>IF(COLUMNS($J$25:W$25)&lt;=$G34,INDEX(Adatok[[Ár]:[Ár]],_xlfn.AGGREGATE(15,3,(Adatok[[Ingatlanok]:[Ingatlanok]]=$H34)/(Adatok[[Ingatlanok]:[Ingatlanok]]=$H34)*(ROW(Adatok[[Ingatlanok]:[Ingatlanok]])-ROW(Adatok[[#Headers],[Előleg]])),COLUMNS($J$25:W$25))),"")</f>
        <v/>
      </c>
      <c r="W34" t="str">
        <f>IF(COLUMNS($J$25:X$25)&lt;=$G34,INDEX(Adatok[[Ár]:[Ár]],_xlfn.AGGREGATE(15,3,(Adatok[[Ingatlanok]:[Ingatlanok]]=$H34)/(Adatok[[Ingatlanok]:[Ingatlanok]]=$H34)*(ROW(Adatok[[Ingatlanok]:[Ingatlanok]])-ROW(Adatok[[#Headers],[Cashflow]])),COLUMNS($J$25:X$25))),"")</f>
        <v/>
      </c>
      <c r="X34" t="str">
        <f>IF(COLUMNS($J$25:Y$25)&lt;=$G34,INDEX(Adatok[[Ár]:[Ár]],_xlfn.AGGREGATE(15,3,(Adatok[[Ingatlanok]:[Ingatlanok]]=$H34)/(Adatok[[Ingatlanok]:[Ingatlanok]]=$H34)*(ROW(Adatok[[Ingatlanok]:[Ingatlanok]])-ROW(Adatok[[#Headers],[Ingatlanok]])),COLUMNS($J$25:Y$25))),"")</f>
        <v/>
      </c>
      <c r="Y34" t="str">
        <f>IF(COLUMNS($J$25:Z$25)&lt;=$G34,INDEX(Adatok[[Ár]:[Ár]],_xlfn.AGGREGATE(15,3,(Adatok[[Ingatlanok]:[Ingatlanok]]=$H34)/(Adatok[[Ingatlanok]:[Ingatlanok]]=$H34)*(ROW(Adatok[[Ingatlanok]:[Ingatlanok]])-ROW(Adatok[[#Headers],[Ár]])),COLUMNS($J$25:Z$25))),"")</f>
        <v/>
      </c>
      <c r="Z34" t="str">
        <f>IF(COLUMNS($J$25:AA$25)&lt;=$G34,INDEX(Adatok[[Ár]:[Ár]],_xlfn.AGGREGATE(15,3,(Adatok[[Ingatlanok]:[Ingatlanok]]=$H34)/(Adatok[[Ingatlanok]:[Ingatlanok]]=$H34)*(ROW(Adatok[[Ingatlanok]:[Ingatlanok]])-ROW(Adatok[[#Headers],[Letét, jelzálog]])),COLUMNS($J$25:AA$25))),"")</f>
        <v/>
      </c>
      <c r="AA34" t="str">
        <f>IF(COLUMNS($J$25:AB$25)&lt;=$G34,INDEX(Adatok[[Ár]:[Ár]],_xlfn.AGGREGATE(15,3,(Adatok[[Ingatlanok]:[Ingatlanok]]=$H34)/(Adatok[[Ingatlanok]:[Ingatlanok]]=$H34)*(ROW(Adatok[[Ingatlanok]:[Ingatlanok]])-ROW(Adatok[[#Headers],[Előleg]])),COLUMNS($J$25:AB$25))),"")</f>
        <v/>
      </c>
      <c r="AB34" t="str">
        <f>IF(COLUMNS($J$25:AC$25)&lt;=$G34,INDEX(Adatok[[Ár]:[Ár]],_xlfn.AGGREGATE(15,3,(Adatok[[Ingatlanok]:[Ingatlanok]]=$H34)/(Adatok[[Ingatlanok]:[Ingatlanok]]=$H34)*(ROW(Adatok[[Ingatlanok]:[Ingatlanok]])-ROW(Adatok[[#Headers],[Cashflow]])),COLUMNS($J$25:AC$25))),"")</f>
        <v/>
      </c>
      <c r="AC34" t="str">
        <f>IF(COLUMNS($J$25:AD$25)&lt;=$G34,INDEX(Adatok[[Ár]:[Ár]],_xlfn.AGGREGATE(15,3,(Adatok[[Ingatlanok]:[Ingatlanok]]=$H34)/(Adatok[[Ingatlanok]:[Ingatlanok]]=$H34)*(ROW(Adatok[[Ingatlanok]:[Ingatlanok]])-ROW(Adatok[[#Headers],[Ingatlanok]])),COLUMNS($J$25:AD$25))),"")</f>
        <v/>
      </c>
      <c r="AD34" t="str">
        <f>IF(COLUMNS($J$25:AE$25)&lt;=$G34,INDEX(Adatok[[Ár]:[Ár]],_xlfn.AGGREGATE(15,3,(Adatok[[Ingatlanok]:[Ingatlanok]]=$H34)/(Adatok[[Ingatlanok]:[Ingatlanok]]=$H34)*(ROW(Adatok[[Ingatlanok]:[Ingatlanok]])-ROW(Adatok[[#Headers],[Ár]])),COLUMNS($J$25:AE$25))),"")</f>
        <v/>
      </c>
    </row>
    <row r="35" spans="1:30" x14ac:dyDescent="0.25">
      <c r="A35" s="59" t="s">
        <v>138</v>
      </c>
      <c r="B35" s="46">
        <v>35000</v>
      </c>
      <c r="C35" s="47">
        <v>33000</v>
      </c>
      <c r="D35" s="46">
        <v>2000</v>
      </c>
      <c r="E35" s="47">
        <v>220</v>
      </c>
      <c r="G35">
        <f>COUNTIF(Adatok[Ingatlanok],H35)</f>
        <v>13</v>
      </c>
      <c r="H35" s="57" t="str">
        <f>INDEX(Adatok[Ingatlanok],MATCH(0,INDEX(COUNTIF($H$25:H34,Adatok[Ingatlanok]),),0))</f>
        <v>CSALÁDI HÁZ 3H/2F</v>
      </c>
      <c r="I35">
        <f>IF(COLUMNS($J$25:J$25)&lt;=$G35,INDEX(Adatok[[Ár]:[Ár]],_xlfn.AGGREGATE(15,3,(Adatok[[Ingatlanok]:[Ingatlanok]]=$H35)/(Adatok[[Ingatlanok]:[Ingatlanok]]=$H35)*(ROW(Adatok[[Ingatlanok]:[Ingatlanok]])-ROW(Adatok[[#Headers],[Ingatlanok]])),COLUMNS($J$25:J$25))),"")</f>
        <v>50000</v>
      </c>
      <c r="J35">
        <f>IF(COLUMNS($J$25:K$25)&lt;=$G35,INDEX(Adatok[[Ár]:[Ár]],_xlfn.AGGREGATE(15,3,(Adatok[[Ingatlanok]:[Ingatlanok]]=$H35)/(Adatok[[Ingatlanok]:[Ingatlanok]]=$H35)*(ROW(Adatok[[Ingatlanok]:[Ingatlanok]])-ROW(Adatok[[#Headers],[Ár]])),COLUMNS($J$25:K$25))),"")</f>
        <v>50000</v>
      </c>
      <c r="K35">
        <f>IF(COLUMNS($J$25:L$25)&lt;=$G35,INDEX(Adatok[[Ár]:[Ár]],_xlfn.AGGREGATE(15,3,(Adatok[[Ingatlanok]:[Ingatlanok]]=$H35)/(Adatok[[Ingatlanok]:[Ingatlanok]]=$H35)*(ROW(Adatok[[Ingatlanok]:[Ingatlanok]])-ROW(Adatok[[#Headers],[Letét, jelzálog]])),COLUMNS($J$25:L$25))),"")</f>
        <v>50000</v>
      </c>
      <c r="L35">
        <f>IF(COLUMNS($J$25:M$25)&lt;=$G35,INDEX(Adatok[[Ár]:[Ár]],_xlfn.AGGREGATE(15,3,(Adatok[[Ingatlanok]:[Ingatlanok]]=$H35)/(Adatok[[Ingatlanok]:[Ingatlanok]]=$H35)*(ROW(Adatok[[Ingatlanok]:[Ingatlanok]])-ROW(Adatok[[#Headers],[Előleg]])),COLUMNS($J$25:M$25))),"")</f>
        <v>65000</v>
      </c>
      <c r="M35">
        <f>IF(COLUMNS($J$25:N$25)&lt;=$G35,INDEX(Adatok[[Ár]:[Ár]],_xlfn.AGGREGATE(15,3,(Adatok[[Ingatlanok]:[Ingatlanok]]=$H35)/(Adatok[[Ingatlanok]:[Ingatlanok]]=$H35)*(ROW(Adatok[[Ingatlanok]:[Ingatlanok]])-ROW(Adatok[[#Headers],[Cashflow]])),COLUMNS($J$25:N$25))),"")</f>
        <v>65000</v>
      </c>
      <c r="N35">
        <f>IF(COLUMNS($J$25:O$25)&lt;=$G35,INDEX(Adatok[[Ár]:[Ár]],_xlfn.AGGREGATE(15,3,(Adatok[[Ingatlanok]:[Ingatlanok]]=$H35)/(Adatok[[Ingatlanok]:[Ingatlanok]]=$H35)*(ROW(Adatok[[Ingatlanok]:[Ingatlanok]])-ROW(Adatok[[#Headers],[Ingatlanok]])),COLUMNS($J$25:O$25))),"")</f>
        <v>65000</v>
      </c>
      <c r="O35">
        <f>IF(COLUMNS($J$25:P$25)&lt;=$G35,INDEX(Adatok[[Ár]:[Ár]],_xlfn.AGGREGATE(15,3,(Adatok[[Ingatlanok]:[Ingatlanok]]=$H35)/(Adatok[[Ingatlanok]:[Ingatlanok]]=$H35)*(ROW(Adatok[[Ingatlanok]:[Ingatlanok]])-ROW(Adatok[[#Headers],[Ár]])),COLUMNS($J$25:P$25))),"")</f>
        <v>67000</v>
      </c>
      <c r="P35">
        <f>IF(COLUMNS($J$25:Q$25)&lt;=$G35,INDEX(Adatok[[Ár]:[Ár]],_xlfn.AGGREGATE(15,3,(Adatok[[Ingatlanok]:[Ingatlanok]]=$H35)/(Adatok[[Ingatlanok]:[Ingatlanok]]=$H35)*(ROW(Adatok[[Ingatlanok]:[Ingatlanok]])-ROW(Adatok[[#Headers],[Letét, jelzálog]])),COLUMNS($J$25:Q$25))),"")</f>
        <v>70000</v>
      </c>
      <c r="Q35">
        <f>IF(COLUMNS($J$25:R$25)&lt;=$G35,INDEX(Adatok[[Ár]:[Ár]],_xlfn.AGGREGATE(15,3,(Adatok[[Ingatlanok]:[Ingatlanok]]=$H35)/(Adatok[[Ingatlanok]:[Ingatlanok]]=$H35)*(ROW(Adatok[[Ingatlanok]:[Ingatlanok]])-ROW(Adatok[[#Headers],[Előleg]])),COLUMNS($J$25:R$25))),"")</f>
        <v>70000</v>
      </c>
      <c r="R35">
        <f>IF(COLUMNS($J$25:S$25)&lt;=$G35,INDEX(Adatok[[Ár]:[Ár]],_xlfn.AGGREGATE(15,3,(Adatok[[Ingatlanok]:[Ingatlanok]]=$H35)/(Adatok[[Ingatlanok]:[Ingatlanok]]=$H35)*(ROW(Adatok[[Ingatlanok]:[Ingatlanok]])-ROW(Adatok[[#Headers],[Cashflow]])),COLUMNS($J$25:S$25))),"")</f>
        <v>75000</v>
      </c>
      <c r="S35">
        <f>IF(COLUMNS($J$25:T$25)&lt;=$G35,INDEX(Adatok[[Ár]:[Ár]],_xlfn.AGGREGATE(15,3,(Adatok[[Ingatlanok]:[Ingatlanok]]=$H35)/(Adatok[[Ingatlanok]:[Ingatlanok]]=$H35)*(ROW(Adatok[[Ingatlanok]:[Ingatlanok]])-ROW(Adatok[[#Headers],[Ingatlanok]])),COLUMNS($J$25:T$25))),"")</f>
        <v>115000</v>
      </c>
      <c r="T35">
        <f>IF(COLUMNS($J$25:U$25)&lt;=$G35,INDEX(Adatok[[Ár]:[Ár]],_xlfn.AGGREGATE(15,3,(Adatok[[Ingatlanok]:[Ingatlanok]]=$H35)/(Adatok[[Ingatlanok]:[Ingatlanok]]=$H35)*(ROW(Adatok[[Ingatlanok]:[Ingatlanok]])-ROW(Adatok[[#Headers],[Ár]])),COLUMNS($J$25:U$25))),"")</f>
        <v>125000</v>
      </c>
      <c r="U35">
        <f>IF(COLUMNS($J$25:V$25)&lt;=$G35,INDEX(Adatok[[Ár]:[Ár]],_xlfn.AGGREGATE(15,3,(Adatok[[Ingatlanok]:[Ingatlanok]]=$H35)/(Adatok[[Ingatlanok]:[Ingatlanok]]=$H35)*(ROW(Adatok[[Ingatlanok]:[Ingatlanok]])-ROW(Adatok[[#Headers],[Letét, jelzálog]])),COLUMNS($J$25:V$25))),"")</f>
        <v>50000</v>
      </c>
      <c r="V35" t="str">
        <f>IF(COLUMNS($J$25:W$25)&lt;=$G35,INDEX(Adatok[[Ár]:[Ár]],_xlfn.AGGREGATE(15,3,(Adatok[[Ingatlanok]:[Ingatlanok]]=$H35)/(Adatok[[Ingatlanok]:[Ingatlanok]]=$H35)*(ROW(Adatok[[Ingatlanok]:[Ingatlanok]])-ROW(Adatok[[#Headers],[Előleg]])),COLUMNS($J$25:W$25))),"")</f>
        <v/>
      </c>
      <c r="W35" t="str">
        <f>IF(COLUMNS($J$25:X$25)&lt;=$G35,INDEX(Adatok[[Ár]:[Ár]],_xlfn.AGGREGATE(15,3,(Adatok[[Ingatlanok]:[Ingatlanok]]=$H35)/(Adatok[[Ingatlanok]:[Ingatlanok]]=$H35)*(ROW(Adatok[[Ingatlanok]:[Ingatlanok]])-ROW(Adatok[[#Headers],[Cashflow]])),COLUMNS($J$25:X$25))),"")</f>
        <v/>
      </c>
      <c r="X35" t="str">
        <f>IF(COLUMNS($J$25:Y$25)&lt;=$G35,INDEX(Adatok[[Ár]:[Ár]],_xlfn.AGGREGATE(15,3,(Adatok[[Ingatlanok]:[Ingatlanok]]=$H35)/(Adatok[[Ingatlanok]:[Ingatlanok]]=$H35)*(ROW(Adatok[[Ingatlanok]:[Ingatlanok]])-ROW(Adatok[[#Headers],[Ingatlanok]])),COLUMNS($J$25:Y$25))),"")</f>
        <v/>
      </c>
      <c r="Y35" t="str">
        <f>IF(COLUMNS($J$25:Z$25)&lt;=$G35,INDEX(Adatok[[Ár]:[Ár]],_xlfn.AGGREGATE(15,3,(Adatok[[Ingatlanok]:[Ingatlanok]]=$H35)/(Adatok[[Ingatlanok]:[Ingatlanok]]=$H35)*(ROW(Adatok[[Ingatlanok]:[Ingatlanok]])-ROW(Adatok[[#Headers],[Ár]])),COLUMNS($J$25:Z$25))),"")</f>
        <v/>
      </c>
      <c r="Z35" t="str">
        <f>IF(COLUMNS($J$25:AA$25)&lt;=$G35,INDEX(Adatok[[Ár]:[Ár]],_xlfn.AGGREGATE(15,3,(Adatok[[Ingatlanok]:[Ingatlanok]]=$H35)/(Adatok[[Ingatlanok]:[Ingatlanok]]=$H35)*(ROW(Adatok[[Ingatlanok]:[Ingatlanok]])-ROW(Adatok[[#Headers],[Letét, jelzálog]])),COLUMNS($J$25:AA$25))),"")</f>
        <v/>
      </c>
      <c r="AA35" t="str">
        <f>IF(COLUMNS($J$25:AB$25)&lt;=$G35,INDEX(Adatok[[Ár]:[Ár]],_xlfn.AGGREGATE(15,3,(Adatok[[Ingatlanok]:[Ingatlanok]]=$H35)/(Adatok[[Ingatlanok]:[Ingatlanok]]=$H35)*(ROW(Adatok[[Ingatlanok]:[Ingatlanok]])-ROW(Adatok[[#Headers],[Előleg]])),COLUMNS($J$25:AB$25))),"")</f>
        <v/>
      </c>
      <c r="AB35" t="str">
        <f>IF(COLUMNS($J$25:AC$25)&lt;=$G35,INDEX(Adatok[[Ár]:[Ár]],_xlfn.AGGREGATE(15,3,(Adatok[[Ingatlanok]:[Ingatlanok]]=$H35)/(Adatok[[Ingatlanok]:[Ingatlanok]]=$H35)*(ROW(Adatok[[Ingatlanok]:[Ingatlanok]])-ROW(Adatok[[#Headers],[Cashflow]])),COLUMNS($J$25:AC$25))),"")</f>
        <v/>
      </c>
      <c r="AC35" t="str">
        <f>IF(COLUMNS($J$25:AD$25)&lt;=$G35,INDEX(Adatok[[Ár]:[Ár]],_xlfn.AGGREGATE(15,3,(Adatok[[Ingatlanok]:[Ingatlanok]]=$H35)/(Adatok[[Ingatlanok]:[Ingatlanok]]=$H35)*(ROW(Adatok[[Ingatlanok]:[Ingatlanok]])-ROW(Adatok[[#Headers],[Ingatlanok]])),COLUMNS($J$25:AD$25))),"")</f>
        <v/>
      </c>
      <c r="AD35" t="str">
        <f>IF(COLUMNS($J$25:AE$25)&lt;=$G35,INDEX(Adatok[[Ár]:[Ár]],_xlfn.AGGREGATE(15,3,(Adatok[[Ingatlanok]:[Ingatlanok]]=$H35)/(Adatok[[Ingatlanok]:[Ingatlanok]]=$H35)*(ROW(Adatok[[Ingatlanok]:[Ingatlanok]])-ROW(Adatok[[#Headers],[Ár]])),COLUMNS($J$25:AE$25))),"")</f>
        <v/>
      </c>
    </row>
    <row r="36" spans="1:30" x14ac:dyDescent="0.25">
      <c r="A36" s="59" t="s">
        <v>139</v>
      </c>
      <c r="B36" s="46">
        <v>40000</v>
      </c>
      <c r="C36" s="47">
        <v>36000</v>
      </c>
      <c r="D36" s="46">
        <v>4000</v>
      </c>
      <c r="E36" s="47">
        <v>140</v>
      </c>
      <c r="G36">
        <f>COUNTIF(Adatok[Ingatlanok],H36)</f>
        <v>6</v>
      </c>
      <c r="H36" s="57" t="str">
        <f>INDEX(Adatok[Ingatlanok],MATCH(0,INDEX(COUNTIF($H$25:H35,Adatok[Ingatlanok]),),0))</f>
        <v>NÉGYLAKÁSOS HÁZ</v>
      </c>
      <c r="I36">
        <f>IF(COLUMNS($J$25:J$25)&lt;=$G36,INDEX(Adatok[[Ár]:[Ár]],_xlfn.AGGREGATE(15,3,(Adatok[[Ingatlanok]:[Ingatlanok]]=$H36)/(Adatok[[Ingatlanok]:[Ingatlanok]]=$H36)*(ROW(Adatok[[Ingatlanok]:[Ingatlanok]])-ROW(Adatok[[#Headers],[Ingatlanok]])),COLUMNS($J$25:J$25))),"")</f>
        <v>80000</v>
      </c>
      <c r="J36">
        <f>IF(COLUMNS($J$25:K$25)&lt;=$G36,INDEX(Adatok[[Ár]:[Ár]],_xlfn.AGGREGATE(15,3,(Adatok[[Ingatlanok]:[Ingatlanok]]=$H36)/(Adatok[[Ingatlanok]:[Ingatlanok]]=$H36)*(ROW(Adatok[[Ingatlanok]:[Ingatlanok]])-ROW(Adatok[[#Headers],[Ár]])),COLUMNS($J$25:K$25))),"")</f>
        <v>80000</v>
      </c>
      <c r="K36">
        <f>IF(COLUMNS($J$25:L$25)&lt;=$G36,INDEX(Adatok[[Ár]:[Ár]],_xlfn.AGGREGATE(15,3,(Adatok[[Ingatlanok]:[Ingatlanok]]=$H36)/(Adatok[[Ingatlanok]:[Ingatlanok]]=$H36)*(ROW(Adatok[[Ingatlanok]:[Ingatlanok]])-ROW(Adatok[[#Headers],[Letét, jelzálog]])),COLUMNS($J$25:L$25))),"")</f>
        <v>90000</v>
      </c>
      <c r="L36">
        <f>IF(COLUMNS($J$25:M$25)&lt;=$G36,INDEX(Adatok[[Ár]:[Ár]],_xlfn.AGGREGATE(15,3,(Adatok[[Ingatlanok]:[Ingatlanok]]=$H36)/(Adatok[[Ingatlanok]:[Ingatlanok]]=$H36)*(ROW(Adatok[[Ingatlanok]:[Ingatlanok]])-ROW(Adatok[[#Headers],[Előleg]])),COLUMNS($J$25:M$25))),"")</f>
        <v>100000</v>
      </c>
      <c r="M36">
        <f>IF(COLUMNS($J$25:N$25)&lt;=$G36,INDEX(Adatok[[Ár]:[Ár]],_xlfn.AGGREGATE(15,3,(Adatok[[Ingatlanok]:[Ingatlanok]]=$H36)/(Adatok[[Ingatlanok]:[Ingatlanok]]=$H36)*(ROW(Adatok[[Ingatlanok]:[Ingatlanok]])-ROW(Adatok[[#Headers],[Cashflow]])),COLUMNS($J$25:N$25))),"")</f>
        <v>125000</v>
      </c>
      <c r="N36">
        <f>IF(COLUMNS($J$25:O$25)&lt;=$G36,INDEX(Adatok[[Ár]:[Ár]],_xlfn.AGGREGATE(15,3,(Adatok[[Ingatlanok]:[Ingatlanok]]=$H36)/(Adatok[[Ingatlanok]:[Ingatlanok]]=$H36)*(ROW(Adatok[[Ingatlanok]:[Ingatlanok]])-ROW(Adatok[[#Headers],[Ingatlanok]])),COLUMNS($J$25:O$25))),"")</f>
        <v>140000</v>
      </c>
      <c r="O36" t="str">
        <f>IF(COLUMNS($J$25:P$25)&lt;=$G36,INDEX(Adatok[[Ár]:[Ár]],_xlfn.AGGREGATE(15,3,(Adatok[[Ingatlanok]:[Ingatlanok]]=$H36)/(Adatok[[Ingatlanok]:[Ingatlanok]]=$H36)*(ROW(Adatok[[Ingatlanok]:[Ingatlanok]])-ROW(Adatok[[#Headers],[Ár]])),COLUMNS($J$25:P$25))),"")</f>
        <v/>
      </c>
      <c r="P36" t="str">
        <f>IF(COLUMNS($J$25:Q$25)&lt;=$G36,INDEX(Adatok[[Ár]:[Ár]],_xlfn.AGGREGATE(15,3,(Adatok[[Ingatlanok]:[Ingatlanok]]=$H36)/(Adatok[[Ingatlanok]:[Ingatlanok]]=$H36)*(ROW(Adatok[[Ingatlanok]:[Ingatlanok]])-ROW(Adatok[[#Headers],[Letét, jelzálog]])),COLUMNS($J$25:Q$25))),"")</f>
        <v/>
      </c>
      <c r="Q36" t="str">
        <f>IF(COLUMNS($J$25:R$25)&lt;=$G36,INDEX(Adatok[[Ár]:[Ár]],_xlfn.AGGREGATE(15,3,(Adatok[[Ingatlanok]:[Ingatlanok]]=$H36)/(Adatok[[Ingatlanok]:[Ingatlanok]]=$H36)*(ROW(Adatok[[Ingatlanok]:[Ingatlanok]])-ROW(Adatok[[#Headers],[Előleg]])),COLUMNS($J$25:R$25))),"")</f>
        <v/>
      </c>
      <c r="R36" t="str">
        <f>IF(COLUMNS($J$25:S$25)&lt;=$G36,INDEX(Adatok[[Ár]:[Ár]],_xlfn.AGGREGATE(15,3,(Adatok[[Ingatlanok]:[Ingatlanok]]=$H36)/(Adatok[[Ingatlanok]:[Ingatlanok]]=$H36)*(ROW(Adatok[[Ingatlanok]:[Ingatlanok]])-ROW(Adatok[[#Headers],[Cashflow]])),COLUMNS($J$25:S$25))),"")</f>
        <v/>
      </c>
      <c r="S36" t="str">
        <f>IF(COLUMNS($J$25:T$25)&lt;=$G36,INDEX(Adatok[[Ár]:[Ár]],_xlfn.AGGREGATE(15,3,(Adatok[[Ingatlanok]:[Ingatlanok]]=$H36)/(Adatok[[Ingatlanok]:[Ingatlanok]]=$H36)*(ROW(Adatok[[Ingatlanok]:[Ingatlanok]])-ROW(Adatok[[#Headers],[Ingatlanok]])),COLUMNS($J$25:T$25))),"")</f>
        <v/>
      </c>
      <c r="T36" t="str">
        <f>IF(COLUMNS($J$25:U$25)&lt;=$G36,INDEX(Adatok[[Ár]:[Ár]],_xlfn.AGGREGATE(15,3,(Adatok[[Ingatlanok]:[Ingatlanok]]=$H36)/(Adatok[[Ingatlanok]:[Ingatlanok]]=$H36)*(ROW(Adatok[[Ingatlanok]:[Ingatlanok]])-ROW(Adatok[[#Headers],[Ár]])),COLUMNS($J$25:U$25))),"")</f>
        <v/>
      </c>
      <c r="U36" t="str">
        <f>IF(COLUMNS($J$25:V$25)&lt;=$G36,INDEX(Adatok[[Ár]:[Ár]],_xlfn.AGGREGATE(15,3,(Adatok[[Ingatlanok]:[Ingatlanok]]=$H36)/(Adatok[[Ingatlanok]:[Ingatlanok]]=$H36)*(ROW(Adatok[[Ingatlanok]:[Ingatlanok]])-ROW(Adatok[[#Headers],[Letét, jelzálog]])),COLUMNS($J$25:V$25))),"")</f>
        <v/>
      </c>
      <c r="V36" t="str">
        <f>IF(COLUMNS($J$25:W$25)&lt;=$G36,INDEX(Adatok[[Ár]:[Ár]],_xlfn.AGGREGATE(15,3,(Adatok[[Ingatlanok]:[Ingatlanok]]=$H36)/(Adatok[[Ingatlanok]:[Ingatlanok]]=$H36)*(ROW(Adatok[[Ingatlanok]:[Ingatlanok]])-ROW(Adatok[[#Headers],[Előleg]])),COLUMNS($J$25:W$25))),"")</f>
        <v/>
      </c>
      <c r="W36" t="str">
        <f>IF(COLUMNS($J$25:X$25)&lt;=$G36,INDEX(Adatok[[Ár]:[Ár]],_xlfn.AGGREGATE(15,3,(Adatok[[Ingatlanok]:[Ingatlanok]]=$H36)/(Adatok[[Ingatlanok]:[Ingatlanok]]=$H36)*(ROW(Adatok[[Ingatlanok]:[Ingatlanok]])-ROW(Adatok[[#Headers],[Cashflow]])),COLUMNS($J$25:X$25))),"")</f>
        <v/>
      </c>
      <c r="X36" t="str">
        <f>IF(COLUMNS($J$25:Y$25)&lt;=$G36,INDEX(Adatok[[Ár]:[Ár]],_xlfn.AGGREGATE(15,3,(Adatok[[Ingatlanok]:[Ingatlanok]]=$H36)/(Adatok[[Ingatlanok]:[Ingatlanok]]=$H36)*(ROW(Adatok[[Ingatlanok]:[Ingatlanok]])-ROW(Adatok[[#Headers],[Ingatlanok]])),COLUMNS($J$25:Y$25))),"")</f>
        <v/>
      </c>
      <c r="Y36" t="str">
        <f>IF(COLUMNS($J$25:Z$25)&lt;=$G36,INDEX(Adatok[[Ár]:[Ár]],_xlfn.AGGREGATE(15,3,(Adatok[[Ingatlanok]:[Ingatlanok]]=$H36)/(Adatok[[Ingatlanok]:[Ingatlanok]]=$H36)*(ROW(Adatok[[Ingatlanok]:[Ingatlanok]])-ROW(Adatok[[#Headers],[Ár]])),COLUMNS($J$25:Z$25))),"")</f>
        <v/>
      </c>
      <c r="Z36" t="str">
        <f>IF(COLUMNS($J$25:AA$25)&lt;=$G36,INDEX(Adatok[[Ár]:[Ár]],_xlfn.AGGREGATE(15,3,(Adatok[[Ingatlanok]:[Ingatlanok]]=$H36)/(Adatok[[Ingatlanok]:[Ingatlanok]]=$H36)*(ROW(Adatok[[Ingatlanok]:[Ingatlanok]])-ROW(Adatok[[#Headers],[Letét, jelzálog]])),COLUMNS($J$25:AA$25))),"")</f>
        <v/>
      </c>
      <c r="AA36" t="str">
        <f>IF(COLUMNS($J$25:AB$25)&lt;=$G36,INDEX(Adatok[[Ár]:[Ár]],_xlfn.AGGREGATE(15,3,(Adatok[[Ingatlanok]:[Ingatlanok]]=$H36)/(Adatok[[Ingatlanok]:[Ingatlanok]]=$H36)*(ROW(Adatok[[Ingatlanok]:[Ingatlanok]])-ROW(Adatok[[#Headers],[Előleg]])),COLUMNS($J$25:AB$25))),"")</f>
        <v/>
      </c>
      <c r="AB36" t="str">
        <f>IF(COLUMNS($J$25:AC$25)&lt;=$G36,INDEX(Adatok[[Ár]:[Ár]],_xlfn.AGGREGATE(15,3,(Adatok[[Ingatlanok]:[Ingatlanok]]=$H36)/(Adatok[[Ingatlanok]:[Ingatlanok]]=$H36)*(ROW(Adatok[[Ingatlanok]:[Ingatlanok]])-ROW(Adatok[[#Headers],[Cashflow]])),COLUMNS($J$25:AC$25))),"")</f>
        <v/>
      </c>
      <c r="AC36" t="str">
        <f>IF(COLUMNS($J$25:AD$25)&lt;=$G36,INDEX(Adatok[[Ár]:[Ár]],_xlfn.AGGREGATE(15,3,(Adatok[[Ingatlanok]:[Ingatlanok]]=$H36)/(Adatok[[Ingatlanok]:[Ingatlanok]]=$H36)*(ROW(Adatok[[Ingatlanok]:[Ingatlanok]])-ROW(Adatok[[#Headers],[Ingatlanok]])),COLUMNS($J$25:AD$25))),"")</f>
        <v/>
      </c>
      <c r="AD36" t="str">
        <f>IF(COLUMNS($J$25:AE$25)&lt;=$G36,INDEX(Adatok[[Ár]:[Ár]],_xlfn.AGGREGATE(15,3,(Adatok[[Ingatlanok]:[Ingatlanok]]=$H36)/(Adatok[[Ingatlanok]:[Ingatlanok]]=$H36)*(ROW(Adatok[[Ingatlanok]:[Ingatlanok]])-ROW(Adatok[[#Headers],[Ár]])),COLUMNS($J$25:AE$25))),"")</f>
        <v/>
      </c>
    </row>
    <row r="37" spans="1:30" x14ac:dyDescent="0.25">
      <c r="A37" s="59" t="s">
        <v>139</v>
      </c>
      <c r="B37" s="46">
        <v>40000</v>
      </c>
      <c r="C37" s="47">
        <v>35000</v>
      </c>
      <c r="D37" s="46">
        <v>5000</v>
      </c>
      <c r="E37" s="47">
        <v>220</v>
      </c>
      <c r="G37">
        <f>COUNTIF(Adatok[Ingatlanok],H37)</f>
        <v>4</v>
      </c>
      <c r="H37" s="57" t="str">
        <f>INDEX(Adatok[Ingatlanok],MATCH(0,INDEX(COUNTIF($H$25:H36,Adatok[Ingatlanok]),),0))</f>
        <v>AUTOMATA ÜZLET</v>
      </c>
      <c r="I37">
        <f>IF(COLUMNS($J$25:J$25)&lt;=$G37,INDEX(Adatok[[Ár]:[Ár]],_xlfn.AGGREGATE(15,3,(Adatok[[Ingatlanok]:[Ingatlanok]]=$H37)/(Adatok[[Ingatlanok]:[Ingatlanok]]=$H37)*(ROW(Adatok[[Ingatlanok]:[Ingatlanok]])-ROW(Adatok[[#Headers],[Ingatlanok]])),COLUMNS($J$25:J$25))),"")</f>
        <v>100000</v>
      </c>
      <c r="J37">
        <f>IF(COLUMNS($J$25:K$25)&lt;=$G37,INDEX(Adatok[[Ár]:[Ár]],_xlfn.AGGREGATE(15,3,(Adatok[[Ingatlanok]:[Ingatlanok]]=$H37)/(Adatok[[Ingatlanok]:[Ingatlanok]]=$H37)*(ROW(Adatok[[Ingatlanok]:[Ingatlanok]])-ROW(Adatok[[#Headers],[Ár]])),COLUMNS($J$25:K$25))),"")</f>
        <v>125000</v>
      </c>
      <c r="K37">
        <f>IF(COLUMNS($J$25:L$25)&lt;=$G37,INDEX(Adatok[[Ár]:[Ár]],_xlfn.AGGREGATE(15,3,(Adatok[[Ingatlanok]:[Ingatlanok]]=$H37)/(Adatok[[Ingatlanok]:[Ingatlanok]]=$H37)*(ROW(Adatok[[Ingatlanok]:[Ingatlanok]])-ROW(Adatok[[#Headers],[Letét, jelzálog]])),COLUMNS($J$25:L$25))),"")</f>
        <v>150000</v>
      </c>
      <c r="L37">
        <f>IF(COLUMNS($J$25:M$25)&lt;=$G37,INDEX(Adatok[[Ár]:[Ár]],_xlfn.AGGREGATE(15,3,(Adatok[[Ingatlanok]:[Ingatlanok]]=$H37)/(Adatok[[Ingatlanok]:[Ingatlanok]]=$H37)*(ROW(Adatok[[Ingatlanok]:[Ingatlanok]])-ROW(Adatok[[#Headers],[Előleg]])),COLUMNS($J$25:M$25))),"")</f>
        <v>200000</v>
      </c>
      <c r="M37" t="str">
        <f>IF(COLUMNS($J$25:N$25)&lt;=$G37,INDEX(Adatok[[Ár]:[Ár]],_xlfn.AGGREGATE(15,3,(Adatok[[Ingatlanok]:[Ingatlanok]]=$H37)/(Adatok[[Ingatlanok]:[Ingatlanok]]=$H37)*(ROW(Adatok[[Ingatlanok]:[Ingatlanok]])-ROW(Adatok[[#Headers],[Cashflow]])),COLUMNS($J$25:N$25))),"")</f>
        <v/>
      </c>
      <c r="N37" t="str">
        <f>IF(COLUMNS($J$25:O$25)&lt;=$G37,INDEX(Adatok[[Ár]:[Ár]],_xlfn.AGGREGATE(15,3,(Adatok[[Ingatlanok]:[Ingatlanok]]=$H37)/(Adatok[[Ingatlanok]:[Ingatlanok]]=$H37)*(ROW(Adatok[[Ingatlanok]:[Ingatlanok]])-ROW(Adatok[[#Headers],[Ingatlanok]])),COLUMNS($J$25:O$25))),"")</f>
        <v/>
      </c>
      <c r="O37" t="str">
        <f>IF(COLUMNS($J$25:P$25)&lt;=$G37,INDEX(Adatok[[Ár]:[Ár]],_xlfn.AGGREGATE(15,3,(Adatok[[Ingatlanok]:[Ingatlanok]]=$H37)/(Adatok[[Ingatlanok]:[Ingatlanok]]=$H37)*(ROW(Adatok[[Ingatlanok]:[Ingatlanok]])-ROW(Adatok[[#Headers],[Ár]])),COLUMNS($J$25:P$25))),"")</f>
        <v/>
      </c>
      <c r="P37" t="str">
        <f>IF(COLUMNS($J$25:Q$25)&lt;=$G37,INDEX(Adatok[[Ár]:[Ár]],_xlfn.AGGREGATE(15,3,(Adatok[[Ingatlanok]:[Ingatlanok]]=$H37)/(Adatok[[Ingatlanok]:[Ingatlanok]]=$H37)*(ROW(Adatok[[Ingatlanok]:[Ingatlanok]])-ROW(Adatok[[#Headers],[Letét, jelzálog]])),COLUMNS($J$25:Q$25))),"")</f>
        <v/>
      </c>
      <c r="Q37" t="str">
        <f>IF(COLUMNS($J$25:R$25)&lt;=$G37,INDEX(Adatok[[Ár]:[Ár]],_xlfn.AGGREGATE(15,3,(Adatok[[Ingatlanok]:[Ingatlanok]]=$H37)/(Adatok[[Ingatlanok]:[Ingatlanok]]=$H37)*(ROW(Adatok[[Ingatlanok]:[Ingatlanok]])-ROW(Adatok[[#Headers],[Előleg]])),COLUMNS($J$25:R$25))),"")</f>
        <v/>
      </c>
      <c r="R37" t="str">
        <f>IF(COLUMNS($J$25:S$25)&lt;=$G37,INDEX(Adatok[[Ár]:[Ár]],_xlfn.AGGREGATE(15,3,(Adatok[[Ingatlanok]:[Ingatlanok]]=$H37)/(Adatok[[Ingatlanok]:[Ingatlanok]]=$H37)*(ROW(Adatok[[Ingatlanok]:[Ingatlanok]])-ROW(Adatok[[#Headers],[Cashflow]])),COLUMNS($J$25:S$25))),"")</f>
        <v/>
      </c>
      <c r="S37" t="str">
        <f>IF(COLUMNS($J$25:T$25)&lt;=$G37,INDEX(Adatok[[Ár]:[Ár]],_xlfn.AGGREGATE(15,3,(Adatok[[Ingatlanok]:[Ingatlanok]]=$H37)/(Adatok[[Ingatlanok]:[Ingatlanok]]=$H37)*(ROW(Adatok[[Ingatlanok]:[Ingatlanok]])-ROW(Adatok[[#Headers],[Ingatlanok]])),COLUMNS($J$25:T$25))),"")</f>
        <v/>
      </c>
      <c r="T37" t="str">
        <f>IF(COLUMNS($J$25:U$25)&lt;=$G37,INDEX(Adatok[[Ár]:[Ár]],_xlfn.AGGREGATE(15,3,(Adatok[[Ingatlanok]:[Ingatlanok]]=$H37)/(Adatok[[Ingatlanok]:[Ingatlanok]]=$H37)*(ROW(Adatok[[Ingatlanok]:[Ingatlanok]])-ROW(Adatok[[#Headers],[Ár]])),COLUMNS($J$25:U$25))),"")</f>
        <v/>
      </c>
      <c r="U37" t="str">
        <f>IF(COLUMNS($J$25:V$25)&lt;=$G37,INDEX(Adatok[[Ár]:[Ár]],_xlfn.AGGREGATE(15,3,(Adatok[[Ingatlanok]:[Ingatlanok]]=$H37)/(Adatok[[Ingatlanok]:[Ingatlanok]]=$H37)*(ROW(Adatok[[Ingatlanok]:[Ingatlanok]])-ROW(Adatok[[#Headers],[Letét, jelzálog]])),COLUMNS($J$25:V$25))),"")</f>
        <v/>
      </c>
      <c r="V37" t="str">
        <f>IF(COLUMNS($J$25:W$25)&lt;=$G37,INDEX(Adatok[[Ár]:[Ár]],_xlfn.AGGREGATE(15,3,(Adatok[[Ingatlanok]:[Ingatlanok]]=$H37)/(Adatok[[Ingatlanok]:[Ingatlanok]]=$H37)*(ROW(Adatok[[Ingatlanok]:[Ingatlanok]])-ROW(Adatok[[#Headers],[Előleg]])),COLUMNS($J$25:W$25))),"")</f>
        <v/>
      </c>
      <c r="W37" t="str">
        <f>IF(COLUMNS($J$25:X$25)&lt;=$G37,INDEX(Adatok[[Ár]:[Ár]],_xlfn.AGGREGATE(15,3,(Adatok[[Ingatlanok]:[Ingatlanok]]=$H37)/(Adatok[[Ingatlanok]:[Ingatlanok]]=$H37)*(ROW(Adatok[[Ingatlanok]:[Ingatlanok]])-ROW(Adatok[[#Headers],[Cashflow]])),COLUMNS($J$25:X$25))),"")</f>
        <v/>
      </c>
      <c r="X37" t="str">
        <f>IF(COLUMNS($J$25:Y$25)&lt;=$G37,INDEX(Adatok[[Ár]:[Ár]],_xlfn.AGGREGATE(15,3,(Adatok[[Ingatlanok]:[Ingatlanok]]=$H37)/(Adatok[[Ingatlanok]:[Ingatlanok]]=$H37)*(ROW(Adatok[[Ingatlanok]:[Ingatlanok]])-ROW(Adatok[[#Headers],[Ingatlanok]])),COLUMNS($J$25:Y$25))),"")</f>
        <v/>
      </c>
      <c r="Y37" t="str">
        <f>IF(COLUMNS($J$25:Z$25)&lt;=$G37,INDEX(Adatok[[Ár]:[Ár]],_xlfn.AGGREGATE(15,3,(Adatok[[Ingatlanok]:[Ingatlanok]]=$H37)/(Adatok[[Ingatlanok]:[Ingatlanok]]=$H37)*(ROW(Adatok[[Ingatlanok]:[Ingatlanok]])-ROW(Adatok[[#Headers],[Ár]])),COLUMNS($J$25:Z$25))),"")</f>
        <v/>
      </c>
      <c r="Z37" t="str">
        <f>IF(COLUMNS($J$25:AA$25)&lt;=$G37,INDEX(Adatok[[Ár]:[Ár]],_xlfn.AGGREGATE(15,3,(Adatok[[Ingatlanok]:[Ingatlanok]]=$H37)/(Adatok[[Ingatlanok]:[Ingatlanok]]=$H37)*(ROW(Adatok[[Ingatlanok]:[Ingatlanok]])-ROW(Adatok[[#Headers],[Letét, jelzálog]])),COLUMNS($J$25:AA$25))),"")</f>
        <v/>
      </c>
      <c r="AA37" t="str">
        <f>IF(COLUMNS($J$25:AB$25)&lt;=$G37,INDEX(Adatok[[Ár]:[Ár]],_xlfn.AGGREGATE(15,3,(Adatok[[Ingatlanok]:[Ingatlanok]]=$H37)/(Adatok[[Ingatlanok]:[Ingatlanok]]=$H37)*(ROW(Adatok[[Ingatlanok]:[Ingatlanok]])-ROW(Adatok[[#Headers],[Előleg]])),COLUMNS($J$25:AB$25))),"")</f>
        <v/>
      </c>
      <c r="AB37" t="str">
        <f>IF(COLUMNS($J$25:AC$25)&lt;=$G37,INDEX(Adatok[[Ár]:[Ár]],_xlfn.AGGREGATE(15,3,(Adatok[[Ingatlanok]:[Ingatlanok]]=$H37)/(Adatok[[Ingatlanok]:[Ingatlanok]]=$H37)*(ROW(Adatok[[Ingatlanok]:[Ingatlanok]])-ROW(Adatok[[#Headers],[Cashflow]])),COLUMNS($J$25:AC$25))),"")</f>
        <v/>
      </c>
      <c r="AC37" t="str">
        <f>IF(COLUMNS($J$25:AD$25)&lt;=$G37,INDEX(Adatok[[Ár]:[Ár]],_xlfn.AGGREGATE(15,3,(Adatok[[Ingatlanok]:[Ingatlanok]]=$H37)/(Adatok[[Ingatlanok]:[Ingatlanok]]=$H37)*(ROW(Adatok[[Ingatlanok]:[Ingatlanok]])-ROW(Adatok[[#Headers],[Ingatlanok]])),COLUMNS($J$25:AD$25))),"")</f>
        <v/>
      </c>
      <c r="AD37" t="str">
        <f>IF(COLUMNS($J$25:AE$25)&lt;=$G37,INDEX(Adatok[[Ár]:[Ár]],_xlfn.AGGREGATE(15,3,(Adatok[[Ingatlanok]:[Ingatlanok]]=$H37)/(Adatok[[Ingatlanok]:[Ingatlanok]]=$H37)*(ROW(Adatok[[Ingatlanok]:[Ingatlanok]])-ROW(Adatok[[#Headers],[Ár]])),COLUMNS($J$25:AE$25))),"")</f>
        <v/>
      </c>
    </row>
    <row r="38" spans="1:30" x14ac:dyDescent="0.25">
      <c r="A38" s="46" t="s">
        <v>125</v>
      </c>
      <c r="B38" s="46">
        <v>45000</v>
      </c>
      <c r="C38" s="47">
        <v>37000</v>
      </c>
      <c r="D38" s="46">
        <v>8000</v>
      </c>
      <c r="E38" s="47">
        <v>320</v>
      </c>
      <c r="G38">
        <f>COUNTIF(Adatok[Ingatlanok],H38)</f>
        <v>1</v>
      </c>
      <c r="H38" s="57" t="str">
        <f>INDEX(Adatok[Ingatlanok],MATCH(0,INDEX(COUNTIF($H$25:H37,Adatok[Ingatlanok]),),0))</f>
        <v>KIS PANZIÓ</v>
      </c>
      <c r="I38">
        <f>IF(COLUMNS($J$25:J$25)&lt;=$G38,INDEX(Adatok[[Ár]:[Ár]],_xlfn.AGGREGATE(15,3,(Adatok[[Ingatlanok]:[Ingatlanok]]=$H38)/(Adatok[[Ingatlanok]:[Ingatlanok]]=$H38)*(ROW(Adatok[[Ingatlanok]:[Ingatlanok]])-ROW(Adatok[[#Headers],[Ingatlanok]])),COLUMNS($J$25:J$25))),"")</f>
        <v>150000</v>
      </c>
      <c r="J38" t="str">
        <f>IF(COLUMNS($J$25:K$25)&lt;=$G38,INDEX(Adatok[[Ár]:[Ár]],_xlfn.AGGREGATE(15,3,(Adatok[[Ingatlanok]:[Ingatlanok]]=$H38)/(Adatok[[Ingatlanok]:[Ingatlanok]]=$H38)*(ROW(Adatok[[Ingatlanok]:[Ingatlanok]])-ROW(Adatok[[#Headers],[Ár]])),COLUMNS($J$25:K$25))),"")</f>
        <v/>
      </c>
      <c r="K38" t="str">
        <f>IF(COLUMNS($J$25:L$25)&lt;=$G38,INDEX(Adatok[[Ár]:[Ár]],_xlfn.AGGREGATE(15,3,(Adatok[[Ingatlanok]:[Ingatlanok]]=$H38)/(Adatok[[Ingatlanok]:[Ingatlanok]]=$H38)*(ROW(Adatok[[Ingatlanok]:[Ingatlanok]])-ROW(Adatok[[#Headers],[Letét, jelzálog]])),COLUMNS($J$25:L$25))),"")</f>
        <v/>
      </c>
      <c r="L38" t="str">
        <f>IF(COLUMNS($J$25:M$25)&lt;=$G38,INDEX(Adatok[[Ár]:[Ár]],_xlfn.AGGREGATE(15,3,(Adatok[[Ingatlanok]:[Ingatlanok]]=$H38)/(Adatok[[Ingatlanok]:[Ingatlanok]]=$H38)*(ROW(Adatok[[Ingatlanok]:[Ingatlanok]])-ROW(Adatok[[#Headers],[Előleg]])),COLUMNS($J$25:M$25))),"")</f>
        <v/>
      </c>
      <c r="M38" t="str">
        <f>IF(COLUMNS($J$25:N$25)&lt;=$G38,INDEX(Adatok[[Ár]:[Ár]],_xlfn.AGGREGATE(15,3,(Adatok[[Ingatlanok]:[Ingatlanok]]=$H38)/(Adatok[[Ingatlanok]:[Ingatlanok]]=$H38)*(ROW(Adatok[[Ingatlanok]:[Ingatlanok]])-ROW(Adatok[[#Headers],[Cashflow]])),COLUMNS($J$25:N$25))),"")</f>
        <v/>
      </c>
      <c r="N38" t="str">
        <f>IF(COLUMNS($J$25:O$25)&lt;=$G38,INDEX(Adatok[[Ár]:[Ár]],_xlfn.AGGREGATE(15,3,(Adatok[[Ingatlanok]:[Ingatlanok]]=$H38)/(Adatok[[Ingatlanok]:[Ingatlanok]]=$H38)*(ROW(Adatok[[Ingatlanok]:[Ingatlanok]])-ROW(Adatok[[#Headers],[Ingatlanok]])),COLUMNS($J$25:O$25))),"")</f>
        <v/>
      </c>
      <c r="O38" t="str">
        <f>IF(COLUMNS($J$25:P$25)&lt;=$G38,INDEX(Adatok[[Ár]:[Ár]],_xlfn.AGGREGATE(15,3,(Adatok[[Ingatlanok]:[Ingatlanok]]=$H38)/(Adatok[[Ingatlanok]:[Ingatlanok]]=$H38)*(ROW(Adatok[[Ingatlanok]:[Ingatlanok]])-ROW(Adatok[[#Headers],[Ár]])),COLUMNS($J$25:P$25))),"")</f>
        <v/>
      </c>
      <c r="P38" t="str">
        <f>IF(COLUMNS($J$25:Q$25)&lt;=$G38,INDEX(Adatok[[Ár]:[Ár]],_xlfn.AGGREGATE(15,3,(Adatok[[Ingatlanok]:[Ingatlanok]]=$H38)/(Adatok[[Ingatlanok]:[Ingatlanok]]=$H38)*(ROW(Adatok[[Ingatlanok]:[Ingatlanok]])-ROW(Adatok[[#Headers],[Letét, jelzálog]])),COLUMNS($J$25:Q$25))),"")</f>
        <v/>
      </c>
      <c r="Q38" t="str">
        <f>IF(COLUMNS($J$25:R$25)&lt;=$G38,INDEX(Adatok[[Ár]:[Ár]],_xlfn.AGGREGATE(15,3,(Adatok[[Ingatlanok]:[Ingatlanok]]=$H38)/(Adatok[[Ingatlanok]:[Ingatlanok]]=$H38)*(ROW(Adatok[[Ingatlanok]:[Ingatlanok]])-ROW(Adatok[[#Headers],[Előleg]])),COLUMNS($J$25:R$25))),"")</f>
        <v/>
      </c>
      <c r="R38" t="str">
        <f>IF(COLUMNS($J$25:S$25)&lt;=$G38,INDEX(Adatok[[Ár]:[Ár]],_xlfn.AGGREGATE(15,3,(Adatok[[Ingatlanok]:[Ingatlanok]]=$H38)/(Adatok[[Ingatlanok]:[Ingatlanok]]=$H38)*(ROW(Adatok[[Ingatlanok]:[Ingatlanok]])-ROW(Adatok[[#Headers],[Cashflow]])),COLUMNS($J$25:S$25))),"")</f>
        <v/>
      </c>
      <c r="S38" t="str">
        <f>IF(COLUMNS($J$25:T$25)&lt;=$G38,INDEX(Adatok[[Ár]:[Ár]],_xlfn.AGGREGATE(15,3,(Adatok[[Ingatlanok]:[Ingatlanok]]=$H38)/(Adatok[[Ingatlanok]:[Ingatlanok]]=$H38)*(ROW(Adatok[[Ingatlanok]:[Ingatlanok]])-ROW(Adatok[[#Headers],[Ingatlanok]])),COLUMNS($J$25:T$25))),"")</f>
        <v/>
      </c>
      <c r="T38" t="str">
        <f>IF(COLUMNS($J$25:U$25)&lt;=$G38,INDEX(Adatok[[Ár]:[Ár]],_xlfn.AGGREGATE(15,3,(Adatok[[Ingatlanok]:[Ingatlanok]]=$H38)/(Adatok[[Ingatlanok]:[Ingatlanok]]=$H38)*(ROW(Adatok[[Ingatlanok]:[Ingatlanok]])-ROW(Adatok[[#Headers],[Ár]])),COLUMNS($J$25:U$25))),"")</f>
        <v/>
      </c>
      <c r="U38" t="str">
        <f>IF(COLUMNS($J$25:V$25)&lt;=$G38,INDEX(Adatok[[Ár]:[Ár]],_xlfn.AGGREGATE(15,3,(Adatok[[Ingatlanok]:[Ingatlanok]]=$H38)/(Adatok[[Ingatlanok]:[Ingatlanok]]=$H38)*(ROW(Adatok[[Ingatlanok]:[Ingatlanok]])-ROW(Adatok[[#Headers],[Letét, jelzálog]])),COLUMNS($J$25:V$25))),"")</f>
        <v/>
      </c>
      <c r="V38" t="str">
        <f>IF(COLUMNS($J$25:W$25)&lt;=$G38,INDEX(Adatok[[Ár]:[Ár]],_xlfn.AGGREGATE(15,3,(Adatok[[Ingatlanok]:[Ingatlanok]]=$H38)/(Adatok[[Ingatlanok]:[Ingatlanok]]=$H38)*(ROW(Adatok[[Ingatlanok]:[Ingatlanok]])-ROW(Adatok[[#Headers],[Előleg]])),COLUMNS($J$25:W$25))),"")</f>
        <v/>
      </c>
      <c r="W38" t="str">
        <f>IF(COLUMNS($J$25:X$25)&lt;=$G38,INDEX(Adatok[[Ár]:[Ár]],_xlfn.AGGREGATE(15,3,(Adatok[[Ingatlanok]:[Ingatlanok]]=$H38)/(Adatok[[Ingatlanok]:[Ingatlanok]]=$H38)*(ROW(Adatok[[Ingatlanok]:[Ingatlanok]])-ROW(Adatok[[#Headers],[Cashflow]])),COLUMNS($J$25:X$25))),"")</f>
        <v/>
      </c>
      <c r="X38" t="str">
        <f>IF(COLUMNS($J$25:Y$25)&lt;=$G38,INDEX(Adatok[[Ár]:[Ár]],_xlfn.AGGREGATE(15,3,(Adatok[[Ingatlanok]:[Ingatlanok]]=$H38)/(Adatok[[Ingatlanok]:[Ingatlanok]]=$H38)*(ROW(Adatok[[Ingatlanok]:[Ingatlanok]])-ROW(Adatok[[#Headers],[Ingatlanok]])),COLUMNS($J$25:Y$25))),"")</f>
        <v/>
      </c>
      <c r="Y38" t="str">
        <f>IF(COLUMNS($J$25:Z$25)&lt;=$G38,INDEX(Adatok[[Ár]:[Ár]],_xlfn.AGGREGATE(15,3,(Adatok[[Ingatlanok]:[Ingatlanok]]=$H38)/(Adatok[[Ingatlanok]:[Ingatlanok]]=$H38)*(ROW(Adatok[[Ingatlanok]:[Ingatlanok]])-ROW(Adatok[[#Headers],[Ár]])),COLUMNS($J$25:Z$25))),"")</f>
        <v/>
      </c>
      <c r="Z38" t="str">
        <f>IF(COLUMNS($J$25:AA$25)&lt;=$G38,INDEX(Adatok[[Ár]:[Ár]],_xlfn.AGGREGATE(15,3,(Adatok[[Ingatlanok]:[Ingatlanok]]=$H38)/(Adatok[[Ingatlanok]:[Ingatlanok]]=$H38)*(ROW(Adatok[[Ingatlanok]:[Ingatlanok]])-ROW(Adatok[[#Headers],[Letét, jelzálog]])),COLUMNS($J$25:AA$25))),"")</f>
        <v/>
      </c>
      <c r="AA38" t="str">
        <f>IF(COLUMNS($J$25:AB$25)&lt;=$G38,INDEX(Adatok[[Ár]:[Ár]],_xlfn.AGGREGATE(15,3,(Adatok[[Ingatlanok]:[Ingatlanok]]=$H38)/(Adatok[[Ingatlanok]:[Ingatlanok]]=$H38)*(ROW(Adatok[[Ingatlanok]:[Ingatlanok]])-ROW(Adatok[[#Headers],[Előleg]])),COLUMNS($J$25:AB$25))),"")</f>
        <v/>
      </c>
      <c r="AB38" t="str">
        <f>IF(COLUMNS($J$25:AC$25)&lt;=$G38,INDEX(Adatok[[Ár]:[Ár]],_xlfn.AGGREGATE(15,3,(Adatok[[Ingatlanok]:[Ingatlanok]]=$H38)/(Adatok[[Ingatlanok]:[Ingatlanok]]=$H38)*(ROW(Adatok[[Ingatlanok]:[Ingatlanok]])-ROW(Adatok[[#Headers],[Cashflow]])),COLUMNS($J$25:AC$25))),"")</f>
        <v/>
      </c>
      <c r="AC38" t="str">
        <f>IF(COLUMNS($J$25:AD$25)&lt;=$G38,INDEX(Adatok[[Ár]:[Ár]],_xlfn.AGGREGATE(15,3,(Adatok[[Ingatlanok]:[Ingatlanok]]=$H38)/(Adatok[[Ingatlanok]:[Ingatlanok]]=$H38)*(ROW(Adatok[[Ingatlanok]:[Ingatlanok]])-ROW(Adatok[[#Headers],[Ingatlanok]])),COLUMNS($J$25:AD$25))),"")</f>
        <v/>
      </c>
      <c r="AD38" t="str">
        <f>IF(COLUMNS($J$25:AE$25)&lt;=$G38,INDEX(Adatok[[Ár]:[Ár]],_xlfn.AGGREGATE(15,3,(Adatok[[Ingatlanok]:[Ingatlanok]]=$H38)/(Adatok[[Ingatlanok]:[Ingatlanok]]=$H38)*(ROW(Adatok[[Ingatlanok]:[Ingatlanok]])-ROW(Adatok[[#Headers],[Ár]])),COLUMNS($J$25:AE$25))),"")</f>
        <v/>
      </c>
    </row>
    <row r="39" spans="1:30" x14ac:dyDescent="0.25">
      <c r="A39" s="59" t="s">
        <v>138</v>
      </c>
      <c r="B39" s="46">
        <v>45000</v>
      </c>
      <c r="C39" s="47">
        <v>43000</v>
      </c>
      <c r="D39" s="46">
        <v>2000</v>
      </c>
      <c r="E39" s="47">
        <v>250</v>
      </c>
      <c r="G39">
        <f>COUNTIF(Adatok[Ingatlanok],H39)</f>
        <v>4</v>
      </c>
      <c r="H39" s="57" t="str">
        <f>INDEX(Adatok[Ingatlanok],MATCH(0,INDEX(COUNTIF($H$25:H38,Adatok[Ingatlanok]),),0))</f>
        <v xml:space="preserve">NYOLCLAKÁSOS HÁZ </v>
      </c>
      <c r="I39">
        <f>IF(COLUMNS($J$25:J$25)&lt;=$G39,INDEX(Adatok[[Ár]:[Ár]],_xlfn.AGGREGATE(15,3,(Adatok[[Ingatlanok]:[Ingatlanok]]=$H39)/(Adatok[[Ingatlanok]:[Ingatlanok]]=$H39)*(ROW(Adatok[[Ingatlanok]:[Ingatlanok]])-ROW(Adatok[[#Headers],[Ingatlanok]])),COLUMNS($J$25:J$25))),"")</f>
        <v>160000</v>
      </c>
      <c r="J39">
        <f>IF(COLUMNS($J$25:K$25)&lt;=$G39,INDEX(Adatok[[Ár]:[Ár]],_xlfn.AGGREGATE(15,3,(Adatok[[Ingatlanok]:[Ingatlanok]]=$H39)/(Adatok[[Ingatlanok]:[Ingatlanok]]=$H39)*(ROW(Adatok[[Ingatlanok]:[Ingatlanok]])-ROW(Adatok[[#Headers],[Ár]])),COLUMNS($J$25:K$25))),"")</f>
        <v>200000</v>
      </c>
      <c r="K39">
        <f>IF(COLUMNS($J$25:L$25)&lt;=$G39,INDEX(Adatok[[Ár]:[Ár]],_xlfn.AGGREGATE(15,3,(Adatok[[Ingatlanok]:[Ingatlanok]]=$H39)/(Adatok[[Ingatlanok]:[Ingatlanok]]=$H39)*(ROW(Adatok[[Ingatlanok]:[Ingatlanok]])-ROW(Adatok[[#Headers],[Letét, jelzálog]])),COLUMNS($J$25:L$25))),"")</f>
        <v>220000</v>
      </c>
      <c r="L39">
        <f>IF(COLUMNS($J$25:M$25)&lt;=$G39,INDEX(Adatok[[Ár]:[Ár]],_xlfn.AGGREGATE(15,3,(Adatok[[Ingatlanok]:[Ingatlanok]]=$H39)/(Adatok[[Ingatlanok]:[Ingatlanok]]=$H39)*(ROW(Adatok[[Ingatlanok]:[Ingatlanok]])-ROW(Adatok[[#Headers],[Előleg]])),COLUMNS($J$25:M$25))),"")</f>
        <v>240000</v>
      </c>
      <c r="M39" t="str">
        <f>IF(COLUMNS($J$25:N$25)&lt;=$G39,INDEX(Adatok[[Ár]:[Ár]],_xlfn.AGGREGATE(15,3,(Adatok[[Ingatlanok]:[Ingatlanok]]=$H39)/(Adatok[[Ingatlanok]:[Ingatlanok]]=$H39)*(ROW(Adatok[[Ingatlanok]:[Ingatlanok]])-ROW(Adatok[[#Headers],[Cashflow]])),COLUMNS($J$25:N$25))),"")</f>
        <v/>
      </c>
      <c r="N39" t="str">
        <f>IF(COLUMNS($J$25:O$25)&lt;=$G39,INDEX(Adatok[[Ár]:[Ár]],_xlfn.AGGREGATE(15,3,(Adatok[[Ingatlanok]:[Ingatlanok]]=$H39)/(Adatok[[Ingatlanok]:[Ingatlanok]]=$H39)*(ROW(Adatok[[Ingatlanok]:[Ingatlanok]])-ROW(Adatok[[#Headers],[Ingatlanok]])),COLUMNS($J$25:O$25))),"")</f>
        <v/>
      </c>
      <c r="O39" t="str">
        <f>IF(COLUMNS($J$25:P$25)&lt;=$G39,INDEX(Adatok[[Ár]:[Ár]],_xlfn.AGGREGATE(15,3,(Adatok[[Ingatlanok]:[Ingatlanok]]=$H39)/(Adatok[[Ingatlanok]:[Ingatlanok]]=$H39)*(ROW(Adatok[[Ingatlanok]:[Ingatlanok]])-ROW(Adatok[[#Headers],[Ár]])),COLUMNS($J$25:P$25))),"")</f>
        <v/>
      </c>
      <c r="P39" t="str">
        <f>IF(COLUMNS($J$25:Q$25)&lt;=$G39,INDEX(Adatok[[Ár]:[Ár]],_xlfn.AGGREGATE(15,3,(Adatok[[Ingatlanok]:[Ingatlanok]]=$H39)/(Adatok[[Ingatlanok]:[Ingatlanok]]=$H39)*(ROW(Adatok[[Ingatlanok]:[Ingatlanok]])-ROW(Adatok[[#Headers],[Letét, jelzálog]])),COLUMNS($J$25:Q$25))),"")</f>
        <v/>
      </c>
      <c r="Q39" t="str">
        <f>IF(COLUMNS($J$25:R$25)&lt;=$G39,INDEX(Adatok[[Ár]:[Ár]],_xlfn.AGGREGATE(15,3,(Adatok[[Ingatlanok]:[Ingatlanok]]=$H39)/(Adatok[[Ingatlanok]:[Ingatlanok]]=$H39)*(ROW(Adatok[[Ingatlanok]:[Ingatlanok]])-ROW(Adatok[[#Headers],[Előleg]])),COLUMNS($J$25:R$25))),"")</f>
        <v/>
      </c>
      <c r="R39" t="str">
        <f>IF(COLUMNS($J$25:S$25)&lt;=$G39,INDEX(Adatok[[Ár]:[Ár]],_xlfn.AGGREGATE(15,3,(Adatok[[Ingatlanok]:[Ingatlanok]]=$H39)/(Adatok[[Ingatlanok]:[Ingatlanok]]=$H39)*(ROW(Adatok[[Ingatlanok]:[Ingatlanok]])-ROW(Adatok[[#Headers],[Cashflow]])),COLUMNS($J$25:S$25))),"")</f>
        <v/>
      </c>
      <c r="S39" t="str">
        <f>IF(COLUMNS($J$25:T$25)&lt;=$G39,INDEX(Adatok[[Ár]:[Ár]],_xlfn.AGGREGATE(15,3,(Adatok[[Ingatlanok]:[Ingatlanok]]=$H39)/(Adatok[[Ingatlanok]:[Ingatlanok]]=$H39)*(ROW(Adatok[[Ingatlanok]:[Ingatlanok]])-ROW(Adatok[[#Headers],[Ingatlanok]])),COLUMNS($J$25:T$25))),"")</f>
        <v/>
      </c>
      <c r="T39" t="str">
        <f>IF(COLUMNS($J$25:U$25)&lt;=$G39,INDEX(Adatok[[Ár]:[Ár]],_xlfn.AGGREGATE(15,3,(Adatok[[Ingatlanok]:[Ingatlanok]]=$H39)/(Adatok[[Ingatlanok]:[Ingatlanok]]=$H39)*(ROW(Adatok[[Ingatlanok]:[Ingatlanok]])-ROW(Adatok[[#Headers],[Ár]])),COLUMNS($J$25:U$25))),"")</f>
        <v/>
      </c>
      <c r="U39" t="str">
        <f>IF(COLUMNS($J$25:V$25)&lt;=$G39,INDEX(Adatok[[Ár]:[Ár]],_xlfn.AGGREGATE(15,3,(Adatok[[Ingatlanok]:[Ingatlanok]]=$H39)/(Adatok[[Ingatlanok]:[Ingatlanok]]=$H39)*(ROW(Adatok[[Ingatlanok]:[Ingatlanok]])-ROW(Adatok[[#Headers],[Letét, jelzálog]])),COLUMNS($J$25:V$25))),"")</f>
        <v/>
      </c>
      <c r="V39" t="str">
        <f>IF(COLUMNS($J$25:W$25)&lt;=$G39,INDEX(Adatok[[Ár]:[Ár]],_xlfn.AGGREGATE(15,3,(Adatok[[Ingatlanok]:[Ingatlanok]]=$H39)/(Adatok[[Ingatlanok]:[Ingatlanok]]=$H39)*(ROW(Adatok[[Ingatlanok]:[Ingatlanok]])-ROW(Adatok[[#Headers],[Előleg]])),COLUMNS($J$25:W$25))),"")</f>
        <v/>
      </c>
      <c r="W39" t="str">
        <f>IF(COLUMNS($J$25:X$25)&lt;=$G39,INDEX(Adatok[[Ár]:[Ár]],_xlfn.AGGREGATE(15,3,(Adatok[[Ingatlanok]:[Ingatlanok]]=$H39)/(Adatok[[Ingatlanok]:[Ingatlanok]]=$H39)*(ROW(Adatok[[Ingatlanok]:[Ingatlanok]])-ROW(Adatok[[#Headers],[Cashflow]])),COLUMNS($J$25:X$25))),"")</f>
        <v/>
      </c>
      <c r="X39" t="str">
        <f>IF(COLUMNS($J$25:Y$25)&lt;=$G39,INDEX(Adatok[[Ár]:[Ár]],_xlfn.AGGREGATE(15,3,(Adatok[[Ingatlanok]:[Ingatlanok]]=$H39)/(Adatok[[Ingatlanok]:[Ingatlanok]]=$H39)*(ROW(Adatok[[Ingatlanok]:[Ingatlanok]])-ROW(Adatok[[#Headers],[Ingatlanok]])),COLUMNS($J$25:Y$25))),"")</f>
        <v/>
      </c>
      <c r="Y39" t="str">
        <f>IF(COLUMNS($J$25:Z$25)&lt;=$G39,INDEX(Adatok[[Ár]:[Ár]],_xlfn.AGGREGATE(15,3,(Adatok[[Ingatlanok]:[Ingatlanok]]=$H39)/(Adatok[[Ingatlanok]:[Ingatlanok]]=$H39)*(ROW(Adatok[[Ingatlanok]:[Ingatlanok]])-ROW(Adatok[[#Headers],[Ár]])),COLUMNS($J$25:Z$25))),"")</f>
        <v/>
      </c>
      <c r="Z39" t="str">
        <f>IF(COLUMNS($J$25:AA$25)&lt;=$G39,INDEX(Adatok[[Ár]:[Ár]],_xlfn.AGGREGATE(15,3,(Adatok[[Ingatlanok]:[Ingatlanok]]=$H39)/(Adatok[[Ingatlanok]:[Ingatlanok]]=$H39)*(ROW(Adatok[[Ingatlanok]:[Ingatlanok]])-ROW(Adatok[[#Headers],[Letét, jelzálog]])),COLUMNS($J$25:AA$25))),"")</f>
        <v/>
      </c>
      <c r="AA39" t="str">
        <f>IF(COLUMNS($J$25:AB$25)&lt;=$G39,INDEX(Adatok[[Ár]:[Ár]],_xlfn.AGGREGATE(15,3,(Adatok[[Ingatlanok]:[Ingatlanok]]=$H39)/(Adatok[[Ingatlanok]:[Ingatlanok]]=$H39)*(ROW(Adatok[[Ingatlanok]:[Ingatlanok]])-ROW(Adatok[[#Headers],[Előleg]])),COLUMNS($J$25:AB$25))),"")</f>
        <v/>
      </c>
      <c r="AB39" t="str">
        <f>IF(COLUMNS($J$25:AC$25)&lt;=$G39,INDEX(Adatok[[Ár]:[Ár]],_xlfn.AGGREGATE(15,3,(Adatok[[Ingatlanok]:[Ingatlanok]]=$H39)/(Adatok[[Ingatlanok]:[Ingatlanok]]=$H39)*(ROW(Adatok[[Ingatlanok]:[Ingatlanok]])-ROW(Adatok[[#Headers],[Cashflow]])),COLUMNS($J$25:AC$25))),"")</f>
        <v/>
      </c>
      <c r="AC39" t="str">
        <f>IF(COLUMNS($J$25:AD$25)&lt;=$G39,INDEX(Adatok[[Ár]:[Ár]],_xlfn.AGGREGATE(15,3,(Adatok[[Ingatlanok]:[Ingatlanok]]=$H39)/(Adatok[[Ingatlanok]:[Ingatlanok]]=$H39)*(ROW(Adatok[[Ingatlanok]:[Ingatlanok]])-ROW(Adatok[[#Headers],[Ingatlanok]])),COLUMNS($J$25:AD$25))),"")</f>
        <v/>
      </c>
      <c r="AD39" t="str">
        <f>IF(COLUMNS($J$25:AE$25)&lt;=$G39,INDEX(Adatok[[Ár]:[Ár]],_xlfn.AGGREGATE(15,3,(Adatok[[Ingatlanok]:[Ingatlanok]]=$H39)/(Adatok[[Ingatlanok]:[Ingatlanok]]=$H39)*(ROW(Adatok[[Ingatlanok]:[Ingatlanok]])-ROW(Adatok[[#Headers],[Ár]])),COLUMNS($J$25:AE$25))),"")</f>
        <v/>
      </c>
    </row>
    <row r="40" spans="1:30" x14ac:dyDescent="0.25">
      <c r="A40" s="46" t="s">
        <v>125</v>
      </c>
      <c r="B40" s="46">
        <v>50000</v>
      </c>
      <c r="C40" s="47">
        <v>42000</v>
      </c>
      <c r="D40" s="46">
        <v>8000</v>
      </c>
      <c r="E40" s="47">
        <v>240</v>
      </c>
      <c r="G40">
        <f>COUNTIF(Adatok[Ingatlanok],H40)</f>
        <v>1</v>
      </c>
      <c r="H40" s="57" t="str">
        <f>INDEX(Adatok[Ingatlanok],MATCH(0,INDEX(COUNTIF($H$25:H39,Adatok[Ingatlanok]),),0))</f>
        <v>AUTÓMOSÓ</v>
      </c>
      <c r="I40">
        <f>IF(COLUMNS($J$25:J$25)&lt;=$G40,INDEX(Adatok[[Ár]:[Ár]],_xlfn.AGGREGATE(15,3,(Adatok[[Ingatlanok]:[Ingatlanok]]=$H40)/(Adatok[[Ingatlanok]:[Ingatlanok]]=$H40)*(ROW(Adatok[[Ingatlanok]:[Ingatlanok]])-ROW(Adatok[[#Headers],[Ingatlanok]])),COLUMNS($J$25:J$25))),"")</f>
        <v>350000</v>
      </c>
      <c r="J40" t="str">
        <f>IF(COLUMNS($J$25:K$25)&lt;=$G40,INDEX(Adatok[[Ár]:[Ár]],_xlfn.AGGREGATE(15,3,(Adatok[[Ingatlanok]:[Ingatlanok]]=$H40)/(Adatok[[Ingatlanok]:[Ingatlanok]]=$H40)*(ROW(Adatok[[Ingatlanok]:[Ingatlanok]])-ROW(Adatok[[#Headers],[Ár]])),COLUMNS($J$25:K$25))),"")</f>
        <v/>
      </c>
      <c r="K40" t="str">
        <f>IF(COLUMNS($J$25:L$25)&lt;=$G40,INDEX(Adatok[[Ár]:[Ár]],_xlfn.AGGREGATE(15,3,(Adatok[[Ingatlanok]:[Ingatlanok]]=$H40)/(Adatok[[Ingatlanok]:[Ingatlanok]]=$H40)*(ROW(Adatok[[Ingatlanok]:[Ingatlanok]])-ROW(Adatok[[#Headers],[Letét, jelzálog]])),COLUMNS($J$25:L$25))),"")</f>
        <v/>
      </c>
      <c r="L40" t="str">
        <f>IF(COLUMNS($J$25:M$25)&lt;=$G40,INDEX(Adatok[[Ár]:[Ár]],_xlfn.AGGREGATE(15,3,(Adatok[[Ingatlanok]:[Ingatlanok]]=$H40)/(Adatok[[Ingatlanok]:[Ingatlanok]]=$H40)*(ROW(Adatok[[Ingatlanok]:[Ingatlanok]])-ROW(Adatok[[#Headers],[Előleg]])),COLUMNS($J$25:M$25))),"")</f>
        <v/>
      </c>
      <c r="M40" t="str">
        <f>IF(COLUMNS($J$25:N$25)&lt;=$G40,INDEX(Adatok[[Ár]:[Ár]],_xlfn.AGGREGATE(15,3,(Adatok[[Ingatlanok]:[Ingatlanok]]=$H40)/(Adatok[[Ingatlanok]:[Ingatlanok]]=$H40)*(ROW(Adatok[[Ingatlanok]:[Ingatlanok]])-ROW(Adatok[[#Headers],[Cashflow]])),COLUMNS($J$25:N$25))),"")</f>
        <v/>
      </c>
      <c r="N40" t="str">
        <f>IF(COLUMNS($J$25:O$25)&lt;=$G40,INDEX(Adatok[[Ár]:[Ár]],_xlfn.AGGREGATE(15,3,(Adatok[[Ingatlanok]:[Ingatlanok]]=$H40)/(Adatok[[Ingatlanok]:[Ingatlanok]]=$H40)*(ROW(Adatok[[Ingatlanok]:[Ingatlanok]])-ROW(Adatok[[#Headers],[Ingatlanok]])),COLUMNS($J$25:O$25))),"")</f>
        <v/>
      </c>
      <c r="O40" t="str">
        <f>IF(COLUMNS($J$25:P$25)&lt;=$G40,INDEX(Adatok[[Ár]:[Ár]],_xlfn.AGGREGATE(15,3,(Adatok[[Ingatlanok]:[Ingatlanok]]=$H40)/(Adatok[[Ingatlanok]:[Ingatlanok]]=$H40)*(ROW(Adatok[[Ingatlanok]:[Ingatlanok]])-ROW(Adatok[[#Headers],[Ár]])),COLUMNS($J$25:P$25))),"")</f>
        <v/>
      </c>
      <c r="P40" t="str">
        <f>IF(COLUMNS($J$25:Q$25)&lt;=$G40,INDEX(Adatok[[Ár]:[Ár]],_xlfn.AGGREGATE(15,3,(Adatok[[Ingatlanok]:[Ingatlanok]]=$H40)/(Adatok[[Ingatlanok]:[Ingatlanok]]=$H40)*(ROW(Adatok[[Ingatlanok]:[Ingatlanok]])-ROW(Adatok[[#Headers],[Letét, jelzálog]])),COLUMNS($J$25:Q$25))),"")</f>
        <v/>
      </c>
      <c r="Q40" t="str">
        <f>IF(COLUMNS($J$25:R$25)&lt;=$G40,INDEX(Adatok[[Ár]:[Ár]],_xlfn.AGGREGATE(15,3,(Adatok[[Ingatlanok]:[Ingatlanok]]=$H40)/(Adatok[[Ingatlanok]:[Ingatlanok]]=$H40)*(ROW(Adatok[[Ingatlanok]:[Ingatlanok]])-ROW(Adatok[[#Headers],[Előleg]])),COLUMNS($J$25:R$25))),"")</f>
        <v/>
      </c>
      <c r="R40" t="str">
        <f>IF(COLUMNS($J$25:S$25)&lt;=$G40,INDEX(Adatok[[Ár]:[Ár]],_xlfn.AGGREGATE(15,3,(Adatok[[Ingatlanok]:[Ingatlanok]]=$H40)/(Adatok[[Ingatlanok]:[Ingatlanok]]=$H40)*(ROW(Adatok[[Ingatlanok]:[Ingatlanok]])-ROW(Adatok[[#Headers],[Cashflow]])),COLUMNS($J$25:S$25))),"")</f>
        <v/>
      </c>
      <c r="S40" t="str">
        <f>IF(COLUMNS($J$25:T$25)&lt;=$G40,INDEX(Adatok[[Ár]:[Ár]],_xlfn.AGGREGATE(15,3,(Adatok[[Ingatlanok]:[Ingatlanok]]=$H40)/(Adatok[[Ingatlanok]:[Ingatlanok]]=$H40)*(ROW(Adatok[[Ingatlanok]:[Ingatlanok]])-ROW(Adatok[[#Headers],[Ingatlanok]])),COLUMNS($J$25:T$25))),"")</f>
        <v/>
      </c>
      <c r="T40" t="str">
        <f>IF(COLUMNS($J$25:U$25)&lt;=$G40,INDEX(Adatok[[Ár]:[Ár]],_xlfn.AGGREGATE(15,3,(Adatok[[Ingatlanok]:[Ingatlanok]]=$H40)/(Adatok[[Ingatlanok]:[Ingatlanok]]=$H40)*(ROW(Adatok[[Ingatlanok]:[Ingatlanok]])-ROW(Adatok[[#Headers],[Ár]])),COLUMNS($J$25:U$25))),"")</f>
        <v/>
      </c>
      <c r="U40" t="str">
        <f>IF(COLUMNS($J$25:V$25)&lt;=$G40,INDEX(Adatok[[Ár]:[Ár]],_xlfn.AGGREGATE(15,3,(Adatok[[Ingatlanok]:[Ingatlanok]]=$H40)/(Adatok[[Ingatlanok]:[Ingatlanok]]=$H40)*(ROW(Adatok[[Ingatlanok]:[Ingatlanok]])-ROW(Adatok[[#Headers],[Letét, jelzálog]])),COLUMNS($J$25:V$25))),"")</f>
        <v/>
      </c>
      <c r="V40" t="str">
        <f>IF(COLUMNS($J$25:W$25)&lt;=$G40,INDEX(Adatok[[Ár]:[Ár]],_xlfn.AGGREGATE(15,3,(Adatok[[Ingatlanok]:[Ingatlanok]]=$H40)/(Adatok[[Ingatlanok]:[Ingatlanok]]=$H40)*(ROW(Adatok[[Ingatlanok]:[Ingatlanok]])-ROW(Adatok[[#Headers],[Előleg]])),COLUMNS($J$25:W$25))),"")</f>
        <v/>
      </c>
      <c r="W40" t="str">
        <f>IF(COLUMNS($J$25:X$25)&lt;=$G40,INDEX(Adatok[[Ár]:[Ár]],_xlfn.AGGREGATE(15,3,(Adatok[[Ingatlanok]:[Ingatlanok]]=$H40)/(Adatok[[Ingatlanok]:[Ingatlanok]]=$H40)*(ROW(Adatok[[Ingatlanok]:[Ingatlanok]])-ROW(Adatok[[#Headers],[Cashflow]])),COLUMNS($J$25:X$25))),"")</f>
        <v/>
      </c>
      <c r="X40" t="str">
        <f>IF(COLUMNS($J$25:Y$25)&lt;=$G40,INDEX(Adatok[[Ár]:[Ár]],_xlfn.AGGREGATE(15,3,(Adatok[[Ingatlanok]:[Ingatlanok]]=$H40)/(Adatok[[Ingatlanok]:[Ingatlanok]]=$H40)*(ROW(Adatok[[Ingatlanok]:[Ingatlanok]])-ROW(Adatok[[#Headers],[Ingatlanok]])),COLUMNS($J$25:Y$25))),"")</f>
        <v/>
      </c>
      <c r="Y40" t="str">
        <f>IF(COLUMNS($J$25:Z$25)&lt;=$G40,INDEX(Adatok[[Ár]:[Ár]],_xlfn.AGGREGATE(15,3,(Adatok[[Ingatlanok]:[Ingatlanok]]=$H40)/(Adatok[[Ingatlanok]:[Ingatlanok]]=$H40)*(ROW(Adatok[[Ingatlanok]:[Ingatlanok]])-ROW(Adatok[[#Headers],[Ár]])),COLUMNS($J$25:Z$25))),"")</f>
        <v/>
      </c>
      <c r="Z40" t="str">
        <f>IF(COLUMNS($J$25:AA$25)&lt;=$G40,INDEX(Adatok[[Ár]:[Ár]],_xlfn.AGGREGATE(15,3,(Adatok[[Ingatlanok]:[Ingatlanok]]=$H40)/(Adatok[[Ingatlanok]:[Ingatlanok]]=$H40)*(ROW(Adatok[[Ingatlanok]:[Ingatlanok]])-ROW(Adatok[[#Headers],[Letét, jelzálog]])),COLUMNS($J$25:AA$25))),"")</f>
        <v/>
      </c>
      <c r="AA40" t="str">
        <f>IF(COLUMNS($J$25:AB$25)&lt;=$G40,INDEX(Adatok[[Ár]:[Ár]],_xlfn.AGGREGATE(15,3,(Adatok[[Ingatlanok]:[Ingatlanok]]=$H40)/(Adatok[[Ingatlanok]:[Ingatlanok]]=$H40)*(ROW(Adatok[[Ingatlanok]:[Ingatlanok]])-ROW(Adatok[[#Headers],[Előleg]])),COLUMNS($J$25:AB$25))),"")</f>
        <v/>
      </c>
      <c r="AB40" t="str">
        <f>IF(COLUMNS($J$25:AC$25)&lt;=$G40,INDEX(Adatok[[Ár]:[Ár]],_xlfn.AGGREGATE(15,3,(Adatok[[Ingatlanok]:[Ingatlanok]]=$H40)/(Adatok[[Ingatlanok]:[Ingatlanok]]=$H40)*(ROW(Adatok[[Ingatlanok]:[Ingatlanok]])-ROW(Adatok[[#Headers],[Cashflow]])),COLUMNS($J$25:AC$25))),"")</f>
        <v/>
      </c>
      <c r="AC40" t="str">
        <f>IF(COLUMNS($J$25:AD$25)&lt;=$G40,INDEX(Adatok[[Ár]:[Ár]],_xlfn.AGGREGATE(15,3,(Adatok[[Ingatlanok]:[Ingatlanok]]=$H40)/(Adatok[[Ingatlanok]:[Ingatlanok]]=$H40)*(ROW(Adatok[[Ingatlanok]:[Ingatlanok]])-ROW(Adatok[[#Headers],[Ingatlanok]])),COLUMNS($J$25:AD$25))),"")</f>
        <v/>
      </c>
      <c r="AD40" t="str">
        <f>IF(COLUMNS($J$25:AE$25)&lt;=$G40,INDEX(Adatok[[Ár]:[Ár]],_xlfn.AGGREGATE(15,3,(Adatok[[Ingatlanok]:[Ingatlanok]]=$H40)/(Adatok[[Ingatlanok]:[Ingatlanok]]=$H40)*(ROW(Adatok[[Ingatlanok]:[Ingatlanok]])-ROW(Adatok[[#Headers],[Ár]])),COLUMNS($J$25:AE$25))),"")</f>
        <v/>
      </c>
    </row>
    <row r="41" spans="1:30" x14ac:dyDescent="0.25">
      <c r="A41" s="48" t="s">
        <v>135</v>
      </c>
      <c r="B41" s="46">
        <v>50000</v>
      </c>
      <c r="C41" s="47">
        <v>0</v>
      </c>
      <c r="D41" s="46">
        <v>50000</v>
      </c>
      <c r="E41" s="47">
        <v>800</v>
      </c>
      <c r="G41">
        <f>COUNTIF(Adatok[Ingatlanok],H41)</f>
        <v>3</v>
      </c>
      <c r="H41" s="57" t="str">
        <f>INDEX(Adatok[Ingatlanok],MATCH(0,INDEX(COUNTIF($H$25:H40,Adatok[Ingatlanok]),),0))</f>
        <v>APARTMAN HÁZ</v>
      </c>
      <c r="I41">
        <f>IF(COLUMNS($J$25:J$25)&lt;=$G41,INDEX(Adatok[[Ár]:[Ár]],_xlfn.AGGREGATE(15,3,(Adatok[[Ingatlanok]:[Ingatlanok]]=$H41)/(Adatok[[Ingatlanok]:[Ingatlanok]]=$H41)*(ROW(Adatok[[Ingatlanok]:[Ingatlanok]])-ROW(Adatok[[#Headers],[Ingatlanok]])),COLUMNS($J$25:J$25))),"")</f>
        <v>350000</v>
      </c>
      <c r="J41">
        <f>IF(COLUMNS($J$25:K$25)&lt;=$G41,INDEX(Adatok[[Ár]:[Ár]],_xlfn.AGGREGATE(15,3,(Adatok[[Ingatlanok]:[Ingatlanok]]=$H41)/(Adatok[[Ingatlanok]:[Ingatlanok]]=$H41)*(ROW(Adatok[[Ingatlanok]:[Ingatlanok]])-ROW(Adatok[[#Headers],[Ár]])),COLUMNS($J$25:K$25))),"")</f>
        <v>550000</v>
      </c>
      <c r="K41">
        <f>IF(COLUMNS($J$25:L$25)&lt;=$G41,INDEX(Adatok[[Ár]:[Ár]],_xlfn.AGGREGATE(15,3,(Adatok[[Ingatlanok]:[Ingatlanok]]=$H41)/(Adatok[[Ingatlanok]:[Ingatlanok]]=$H41)*(ROW(Adatok[[Ingatlanok]:[Ingatlanok]])-ROW(Adatok[[#Headers],[Letét, jelzálog]])),COLUMNS($J$25:L$25))),"")</f>
        <v>575000</v>
      </c>
      <c r="L41" t="str">
        <f>IF(COLUMNS($J$25:M$25)&lt;=$G41,INDEX(Adatok[[Ár]:[Ár]],_xlfn.AGGREGATE(15,3,(Adatok[[Ingatlanok]:[Ingatlanok]]=$H41)/(Adatok[[Ingatlanok]:[Ingatlanok]]=$H41)*(ROW(Adatok[[Ingatlanok]:[Ingatlanok]])-ROW(Adatok[[#Headers],[Előleg]])),COLUMNS($J$25:M$25))),"")</f>
        <v/>
      </c>
      <c r="M41" t="str">
        <f>IF(COLUMNS($J$25:N$25)&lt;=$G41,INDEX(Adatok[[Ár]:[Ár]],_xlfn.AGGREGATE(15,3,(Adatok[[Ingatlanok]:[Ingatlanok]]=$H41)/(Adatok[[Ingatlanok]:[Ingatlanok]]=$H41)*(ROW(Adatok[[Ingatlanok]:[Ingatlanok]])-ROW(Adatok[[#Headers],[Cashflow]])),COLUMNS($J$25:N$25))),"")</f>
        <v/>
      </c>
      <c r="N41" t="str">
        <f>IF(COLUMNS($J$25:O$25)&lt;=$G41,INDEX(Adatok[[Ár]:[Ár]],_xlfn.AGGREGATE(15,3,(Adatok[[Ingatlanok]:[Ingatlanok]]=$H41)/(Adatok[[Ingatlanok]:[Ingatlanok]]=$H41)*(ROW(Adatok[[Ingatlanok]:[Ingatlanok]])-ROW(Adatok[[#Headers],[Ingatlanok]])),COLUMNS($J$25:O$25))),"")</f>
        <v/>
      </c>
      <c r="O41" t="str">
        <f>IF(COLUMNS($J$25:P$25)&lt;=$G41,INDEX(Adatok[[Ár]:[Ár]],_xlfn.AGGREGATE(15,3,(Adatok[[Ingatlanok]:[Ingatlanok]]=$H41)/(Adatok[[Ingatlanok]:[Ingatlanok]]=$H41)*(ROW(Adatok[[Ingatlanok]:[Ingatlanok]])-ROW(Adatok[[#Headers],[Ár]])),COLUMNS($J$25:P$25))),"")</f>
        <v/>
      </c>
      <c r="P41" t="str">
        <f>IF(COLUMNS($J$25:Q$25)&lt;=$G41,INDEX(Adatok[[Ár]:[Ár]],_xlfn.AGGREGATE(15,3,(Adatok[[Ingatlanok]:[Ingatlanok]]=$H41)/(Adatok[[Ingatlanok]:[Ingatlanok]]=$H41)*(ROW(Adatok[[Ingatlanok]:[Ingatlanok]])-ROW(Adatok[[#Headers],[Letét, jelzálog]])),COLUMNS($J$25:Q$25))),"")</f>
        <v/>
      </c>
      <c r="Q41" t="str">
        <f>IF(COLUMNS($J$25:R$25)&lt;=$G41,INDEX(Adatok[[Ár]:[Ár]],_xlfn.AGGREGATE(15,3,(Adatok[[Ingatlanok]:[Ingatlanok]]=$H41)/(Adatok[[Ingatlanok]:[Ingatlanok]]=$H41)*(ROW(Adatok[[Ingatlanok]:[Ingatlanok]])-ROW(Adatok[[#Headers],[Előleg]])),COLUMNS($J$25:R$25))),"")</f>
        <v/>
      </c>
      <c r="R41" t="str">
        <f>IF(COLUMNS($J$25:S$25)&lt;=$G41,INDEX(Adatok[[Ár]:[Ár]],_xlfn.AGGREGATE(15,3,(Adatok[[Ingatlanok]:[Ingatlanok]]=$H41)/(Adatok[[Ingatlanok]:[Ingatlanok]]=$H41)*(ROW(Adatok[[Ingatlanok]:[Ingatlanok]])-ROW(Adatok[[#Headers],[Cashflow]])),COLUMNS($J$25:S$25))),"")</f>
        <v/>
      </c>
      <c r="S41" t="str">
        <f>IF(COLUMNS($J$25:T$25)&lt;=$G41,INDEX(Adatok[[Ár]:[Ár]],_xlfn.AGGREGATE(15,3,(Adatok[[Ingatlanok]:[Ingatlanok]]=$H41)/(Adatok[[Ingatlanok]:[Ingatlanok]]=$H41)*(ROW(Adatok[[Ingatlanok]:[Ingatlanok]])-ROW(Adatok[[#Headers],[Ingatlanok]])),COLUMNS($J$25:T$25))),"")</f>
        <v/>
      </c>
      <c r="T41" t="str">
        <f>IF(COLUMNS($J$25:U$25)&lt;=$G41,INDEX(Adatok[[Ár]:[Ár]],_xlfn.AGGREGATE(15,3,(Adatok[[Ingatlanok]:[Ingatlanok]]=$H41)/(Adatok[[Ingatlanok]:[Ingatlanok]]=$H41)*(ROW(Adatok[[Ingatlanok]:[Ingatlanok]])-ROW(Adatok[[#Headers],[Ár]])),COLUMNS($J$25:U$25))),"")</f>
        <v/>
      </c>
      <c r="U41" t="str">
        <f>IF(COLUMNS($J$25:V$25)&lt;=$G41,INDEX(Adatok[[Ár]:[Ár]],_xlfn.AGGREGATE(15,3,(Adatok[[Ingatlanok]:[Ingatlanok]]=$H41)/(Adatok[[Ingatlanok]:[Ingatlanok]]=$H41)*(ROW(Adatok[[Ingatlanok]:[Ingatlanok]])-ROW(Adatok[[#Headers],[Letét, jelzálog]])),COLUMNS($J$25:V$25))),"")</f>
        <v/>
      </c>
      <c r="V41" t="str">
        <f>IF(COLUMNS($J$25:W$25)&lt;=$G41,INDEX(Adatok[[Ár]:[Ár]],_xlfn.AGGREGATE(15,3,(Adatok[[Ingatlanok]:[Ingatlanok]]=$H41)/(Adatok[[Ingatlanok]:[Ingatlanok]]=$H41)*(ROW(Adatok[[Ingatlanok]:[Ingatlanok]])-ROW(Adatok[[#Headers],[Előleg]])),COLUMNS($J$25:W$25))),"")</f>
        <v/>
      </c>
      <c r="W41" t="str">
        <f>IF(COLUMNS($J$25:X$25)&lt;=$G41,INDEX(Adatok[[Ár]:[Ár]],_xlfn.AGGREGATE(15,3,(Adatok[[Ingatlanok]:[Ingatlanok]]=$H41)/(Adatok[[Ingatlanok]:[Ingatlanok]]=$H41)*(ROW(Adatok[[Ingatlanok]:[Ingatlanok]])-ROW(Adatok[[#Headers],[Cashflow]])),COLUMNS($J$25:X$25))),"")</f>
        <v/>
      </c>
      <c r="X41" t="str">
        <f>IF(COLUMNS($J$25:Y$25)&lt;=$G41,INDEX(Adatok[[Ár]:[Ár]],_xlfn.AGGREGATE(15,3,(Adatok[[Ingatlanok]:[Ingatlanok]]=$H41)/(Adatok[[Ingatlanok]:[Ingatlanok]]=$H41)*(ROW(Adatok[[Ingatlanok]:[Ingatlanok]])-ROW(Adatok[[#Headers],[Ingatlanok]])),COLUMNS($J$25:Y$25))),"")</f>
        <v/>
      </c>
      <c r="Y41" t="str">
        <f>IF(COLUMNS($J$25:Z$25)&lt;=$G41,INDEX(Adatok[[Ár]:[Ár]],_xlfn.AGGREGATE(15,3,(Adatok[[Ingatlanok]:[Ingatlanok]]=$H41)/(Adatok[[Ingatlanok]:[Ingatlanok]]=$H41)*(ROW(Adatok[[Ingatlanok]:[Ingatlanok]])-ROW(Adatok[[#Headers],[Ár]])),COLUMNS($J$25:Z$25))),"")</f>
        <v/>
      </c>
      <c r="Z41" t="str">
        <f>IF(COLUMNS($J$25:AA$25)&lt;=$G41,INDEX(Adatok[[Ár]:[Ár]],_xlfn.AGGREGATE(15,3,(Adatok[[Ingatlanok]:[Ingatlanok]]=$H41)/(Adatok[[Ingatlanok]:[Ingatlanok]]=$H41)*(ROW(Adatok[[Ingatlanok]:[Ingatlanok]])-ROW(Adatok[[#Headers],[Letét, jelzálog]])),COLUMNS($J$25:AA$25))),"")</f>
        <v/>
      </c>
      <c r="AA41" t="str">
        <f>IF(COLUMNS($J$25:AB$25)&lt;=$G41,INDEX(Adatok[[Ár]:[Ár]],_xlfn.AGGREGATE(15,3,(Adatok[[Ingatlanok]:[Ingatlanok]]=$H41)/(Adatok[[Ingatlanok]:[Ingatlanok]]=$H41)*(ROW(Adatok[[Ingatlanok]:[Ingatlanok]])-ROW(Adatok[[#Headers],[Előleg]])),COLUMNS($J$25:AB$25))),"")</f>
        <v/>
      </c>
      <c r="AB41" t="str">
        <f>IF(COLUMNS($J$25:AC$25)&lt;=$G41,INDEX(Adatok[[Ár]:[Ár]],_xlfn.AGGREGATE(15,3,(Adatok[[Ingatlanok]:[Ingatlanok]]=$H41)/(Adatok[[Ingatlanok]:[Ingatlanok]]=$H41)*(ROW(Adatok[[Ingatlanok]:[Ingatlanok]])-ROW(Adatok[[#Headers],[Cashflow]])),COLUMNS($J$25:AC$25))),"")</f>
        <v/>
      </c>
      <c r="AC41" t="str">
        <f>IF(COLUMNS($J$25:AD$25)&lt;=$G41,INDEX(Adatok[[Ár]:[Ár]],_xlfn.AGGREGATE(15,3,(Adatok[[Ingatlanok]:[Ingatlanok]]=$H41)/(Adatok[[Ingatlanok]:[Ingatlanok]]=$H41)*(ROW(Adatok[[Ingatlanok]:[Ingatlanok]])-ROW(Adatok[[#Headers],[Ingatlanok]])),COLUMNS($J$25:AD$25))),"")</f>
        <v/>
      </c>
      <c r="AD41" t="str">
        <f>IF(COLUMNS($J$25:AE$25)&lt;=$G41,INDEX(Adatok[[Ár]:[Ár]],_xlfn.AGGREGATE(15,3,(Adatok[[Ingatlanok]:[Ingatlanok]]=$H41)/(Adatok[[Ingatlanok]:[Ingatlanok]]=$H41)*(ROW(Adatok[[Ingatlanok]:[Ingatlanok]])-ROW(Adatok[[#Headers],[Ár]])),COLUMNS($J$25:AE$25))),"")</f>
        <v/>
      </c>
    </row>
    <row r="42" spans="1:30" x14ac:dyDescent="0.25">
      <c r="A42" s="48" t="s">
        <v>139</v>
      </c>
      <c r="B42" s="46">
        <v>50000</v>
      </c>
      <c r="C42" s="47">
        <v>45000</v>
      </c>
      <c r="D42" s="46">
        <v>5000</v>
      </c>
      <c r="E42" s="47">
        <v>100</v>
      </c>
      <c r="G42">
        <f>COUNTIF(Adatok[Ingatlanok],H42)</f>
        <v>1</v>
      </c>
      <c r="H42" s="57" t="str">
        <f>INDEX(Adatok[Ingatlanok],MATCH(0,INDEX(COUNTIF($H$25:H41,Adatok[Ingatlanok]),),0))</f>
        <v>PIZZA FRANCHISE</v>
      </c>
      <c r="I42">
        <f>IF(COLUMNS($J$25:J$25)&lt;=$G42,INDEX(Adatok[[Ár]:[Ár]],_xlfn.AGGREGATE(15,3,(Adatok[[Ingatlanok]:[Ingatlanok]]=$H42)/(Adatok[[Ingatlanok]:[Ingatlanok]]=$H42)*(ROW(Adatok[[Ingatlanok]:[Ingatlanok]])-ROW(Adatok[[#Headers],[Ingatlanok]])),COLUMNS($J$25:J$25))),"")</f>
        <v>500000</v>
      </c>
      <c r="J42" t="str">
        <f>IF(COLUMNS($J$25:K$25)&lt;=$G42,INDEX(Adatok[[Ár]:[Ár]],_xlfn.AGGREGATE(15,3,(Adatok[[Ingatlanok]:[Ingatlanok]]=$H42)/(Adatok[[Ingatlanok]:[Ingatlanok]]=$H42)*(ROW(Adatok[[Ingatlanok]:[Ingatlanok]])-ROW(Adatok[[#Headers],[Ár]])),COLUMNS($J$25:K$25))),"")</f>
        <v/>
      </c>
      <c r="K42" t="str">
        <f>IF(COLUMNS($J$25:L$25)&lt;=$G42,INDEX(Adatok[[Ár]:[Ár]],_xlfn.AGGREGATE(15,3,(Adatok[[Ingatlanok]:[Ingatlanok]]=$H42)/(Adatok[[Ingatlanok]:[Ingatlanok]]=$H42)*(ROW(Adatok[[Ingatlanok]:[Ingatlanok]])-ROW(Adatok[[#Headers],[Letét, jelzálog]])),COLUMNS($J$25:L$25))),"")</f>
        <v/>
      </c>
      <c r="L42" t="str">
        <f>IF(COLUMNS($J$25:M$25)&lt;=$G42,INDEX(Adatok[[Ár]:[Ár]],_xlfn.AGGREGATE(15,3,(Adatok[[Ingatlanok]:[Ingatlanok]]=$H42)/(Adatok[[Ingatlanok]:[Ingatlanok]]=$H42)*(ROW(Adatok[[Ingatlanok]:[Ingatlanok]])-ROW(Adatok[[#Headers],[Előleg]])),COLUMNS($J$25:M$25))),"")</f>
        <v/>
      </c>
      <c r="M42" t="str">
        <f>IF(COLUMNS($J$25:N$25)&lt;=$G42,INDEX(Adatok[[Ár]:[Ár]],_xlfn.AGGREGATE(15,3,(Adatok[[Ingatlanok]:[Ingatlanok]]=$H42)/(Adatok[[Ingatlanok]:[Ingatlanok]]=$H42)*(ROW(Adatok[[Ingatlanok]:[Ingatlanok]])-ROW(Adatok[[#Headers],[Cashflow]])),COLUMNS($J$25:N$25))),"")</f>
        <v/>
      </c>
      <c r="N42" t="str">
        <f>IF(COLUMNS($J$25:O$25)&lt;=$G42,INDEX(Adatok[[Ár]:[Ár]],_xlfn.AGGREGATE(15,3,(Adatok[[Ingatlanok]:[Ingatlanok]]=$H42)/(Adatok[[Ingatlanok]:[Ingatlanok]]=$H42)*(ROW(Adatok[[Ingatlanok]:[Ingatlanok]])-ROW(Adatok[[#Headers],[Ingatlanok]])),COLUMNS($J$25:O$25))),"")</f>
        <v/>
      </c>
      <c r="O42" t="str">
        <f>IF(COLUMNS($J$25:P$25)&lt;=$G42,INDEX(Adatok[[Ár]:[Ár]],_xlfn.AGGREGATE(15,3,(Adatok[[Ingatlanok]:[Ingatlanok]]=$H42)/(Adatok[[Ingatlanok]:[Ingatlanok]]=$H42)*(ROW(Adatok[[Ingatlanok]:[Ingatlanok]])-ROW(Adatok[[#Headers],[Ár]])),COLUMNS($J$25:P$25))),"")</f>
        <v/>
      </c>
      <c r="P42" t="str">
        <f>IF(COLUMNS($J$25:Q$25)&lt;=$G42,INDEX(Adatok[[Ár]:[Ár]],_xlfn.AGGREGATE(15,3,(Adatok[[Ingatlanok]:[Ingatlanok]]=$H42)/(Adatok[[Ingatlanok]:[Ingatlanok]]=$H42)*(ROW(Adatok[[Ingatlanok]:[Ingatlanok]])-ROW(Adatok[[#Headers],[Letét, jelzálog]])),COLUMNS($J$25:Q$25))),"")</f>
        <v/>
      </c>
      <c r="Q42" t="str">
        <f>IF(COLUMNS($J$25:R$25)&lt;=$G42,INDEX(Adatok[[Ár]:[Ár]],_xlfn.AGGREGATE(15,3,(Adatok[[Ingatlanok]:[Ingatlanok]]=$H42)/(Adatok[[Ingatlanok]:[Ingatlanok]]=$H42)*(ROW(Adatok[[Ingatlanok]:[Ingatlanok]])-ROW(Adatok[[#Headers],[Előleg]])),COLUMNS($J$25:R$25))),"")</f>
        <v/>
      </c>
      <c r="R42" t="str">
        <f>IF(COLUMNS($J$25:S$25)&lt;=$G42,INDEX(Adatok[[Ár]:[Ár]],_xlfn.AGGREGATE(15,3,(Adatok[[Ingatlanok]:[Ingatlanok]]=$H42)/(Adatok[[Ingatlanok]:[Ingatlanok]]=$H42)*(ROW(Adatok[[Ingatlanok]:[Ingatlanok]])-ROW(Adatok[[#Headers],[Cashflow]])),COLUMNS($J$25:S$25))),"")</f>
        <v/>
      </c>
      <c r="S42" t="str">
        <f>IF(COLUMNS($J$25:T$25)&lt;=$G42,INDEX(Adatok[[Ár]:[Ár]],_xlfn.AGGREGATE(15,3,(Adatok[[Ingatlanok]:[Ingatlanok]]=$H42)/(Adatok[[Ingatlanok]:[Ingatlanok]]=$H42)*(ROW(Adatok[[Ingatlanok]:[Ingatlanok]])-ROW(Adatok[[#Headers],[Ingatlanok]])),COLUMNS($J$25:T$25))),"")</f>
        <v/>
      </c>
      <c r="T42" t="str">
        <f>IF(COLUMNS($J$25:U$25)&lt;=$G42,INDEX(Adatok[[Ár]:[Ár]],_xlfn.AGGREGATE(15,3,(Adatok[[Ingatlanok]:[Ingatlanok]]=$H42)/(Adatok[[Ingatlanok]:[Ingatlanok]]=$H42)*(ROW(Adatok[[Ingatlanok]:[Ingatlanok]])-ROW(Adatok[[#Headers],[Ár]])),COLUMNS($J$25:U$25))),"")</f>
        <v/>
      </c>
      <c r="U42" t="str">
        <f>IF(COLUMNS($J$25:V$25)&lt;=$G42,INDEX(Adatok[[Ár]:[Ár]],_xlfn.AGGREGATE(15,3,(Adatok[[Ingatlanok]:[Ingatlanok]]=$H42)/(Adatok[[Ingatlanok]:[Ingatlanok]]=$H42)*(ROW(Adatok[[Ingatlanok]:[Ingatlanok]])-ROW(Adatok[[#Headers],[Letét, jelzálog]])),COLUMNS($J$25:V$25))),"")</f>
        <v/>
      </c>
      <c r="V42" t="str">
        <f>IF(COLUMNS($J$25:W$25)&lt;=$G42,INDEX(Adatok[[Ár]:[Ár]],_xlfn.AGGREGATE(15,3,(Adatok[[Ingatlanok]:[Ingatlanok]]=$H42)/(Adatok[[Ingatlanok]:[Ingatlanok]]=$H42)*(ROW(Adatok[[Ingatlanok]:[Ingatlanok]])-ROW(Adatok[[#Headers],[Előleg]])),COLUMNS($J$25:W$25))),"")</f>
        <v/>
      </c>
      <c r="W42" t="str">
        <f>IF(COLUMNS($J$25:X$25)&lt;=$G42,INDEX(Adatok[[Ár]:[Ár]],_xlfn.AGGREGATE(15,3,(Adatok[[Ingatlanok]:[Ingatlanok]]=$H42)/(Adatok[[Ingatlanok]:[Ingatlanok]]=$H42)*(ROW(Adatok[[Ingatlanok]:[Ingatlanok]])-ROW(Adatok[[#Headers],[Cashflow]])),COLUMNS($J$25:X$25))),"")</f>
        <v/>
      </c>
      <c r="X42" t="str">
        <f>IF(COLUMNS($J$25:Y$25)&lt;=$G42,INDEX(Adatok[[Ár]:[Ár]],_xlfn.AGGREGATE(15,3,(Adatok[[Ingatlanok]:[Ingatlanok]]=$H42)/(Adatok[[Ingatlanok]:[Ingatlanok]]=$H42)*(ROW(Adatok[[Ingatlanok]:[Ingatlanok]])-ROW(Adatok[[#Headers],[Ingatlanok]])),COLUMNS($J$25:Y$25))),"")</f>
        <v/>
      </c>
      <c r="Y42" t="str">
        <f>IF(COLUMNS($J$25:Z$25)&lt;=$G42,INDEX(Adatok[[Ár]:[Ár]],_xlfn.AGGREGATE(15,3,(Adatok[[Ingatlanok]:[Ingatlanok]]=$H42)/(Adatok[[Ingatlanok]:[Ingatlanok]]=$H42)*(ROW(Adatok[[Ingatlanok]:[Ingatlanok]])-ROW(Adatok[[#Headers],[Ár]])),COLUMNS($J$25:Z$25))),"")</f>
        <v/>
      </c>
      <c r="Z42" t="str">
        <f>IF(COLUMNS($J$25:AA$25)&lt;=$G42,INDEX(Adatok[[Ár]:[Ár]],_xlfn.AGGREGATE(15,3,(Adatok[[Ingatlanok]:[Ingatlanok]]=$H42)/(Adatok[[Ingatlanok]:[Ingatlanok]]=$H42)*(ROW(Adatok[[Ingatlanok]:[Ingatlanok]])-ROW(Adatok[[#Headers],[Letét, jelzálog]])),COLUMNS($J$25:AA$25))),"")</f>
        <v/>
      </c>
      <c r="AA42" t="str">
        <f>IF(COLUMNS($J$25:AB$25)&lt;=$G42,INDEX(Adatok[[Ár]:[Ár]],_xlfn.AGGREGATE(15,3,(Adatok[[Ingatlanok]:[Ingatlanok]]=$H42)/(Adatok[[Ingatlanok]:[Ingatlanok]]=$H42)*(ROW(Adatok[[Ingatlanok]:[Ingatlanok]])-ROW(Adatok[[#Headers],[Előleg]])),COLUMNS($J$25:AB$25))),"")</f>
        <v/>
      </c>
      <c r="AB42" t="str">
        <f>IF(COLUMNS($J$25:AC$25)&lt;=$G42,INDEX(Adatok[[Ár]:[Ár]],_xlfn.AGGREGATE(15,3,(Adatok[[Ingatlanok]:[Ingatlanok]]=$H42)/(Adatok[[Ingatlanok]:[Ingatlanok]]=$H42)*(ROW(Adatok[[Ingatlanok]:[Ingatlanok]])-ROW(Adatok[[#Headers],[Cashflow]])),COLUMNS($J$25:AC$25))),"")</f>
        <v/>
      </c>
      <c r="AC42" t="str">
        <f>IF(COLUMNS($J$25:AD$25)&lt;=$G42,INDEX(Adatok[[Ár]:[Ár]],_xlfn.AGGREGATE(15,3,(Adatok[[Ingatlanok]:[Ingatlanok]]=$H42)/(Adatok[[Ingatlanok]:[Ingatlanok]]=$H42)*(ROW(Adatok[[Ingatlanok]:[Ingatlanok]])-ROW(Adatok[[#Headers],[Ingatlanok]])),COLUMNS($J$25:AD$25))),"")</f>
        <v/>
      </c>
      <c r="AD42" t="str">
        <f>IF(COLUMNS($J$25:AE$25)&lt;=$G42,INDEX(Adatok[[Ár]:[Ár]],_xlfn.AGGREGATE(15,3,(Adatok[[Ingatlanok]:[Ingatlanok]]=$H42)/(Adatok[[Ingatlanok]:[Ingatlanok]]=$H42)*(ROW(Adatok[[Ingatlanok]:[Ingatlanok]])-ROW(Adatok[[#Headers],[Ár]])),COLUMNS($J$25:AE$25))),"")</f>
        <v/>
      </c>
    </row>
    <row r="43" spans="1:30" x14ac:dyDescent="0.25">
      <c r="A43" s="48" t="s">
        <v>136</v>
      </c>
      <c r="B43" s="46">
        <v>50000</v>
      </c>
      <c r="C43" s="47">
        <v>50000</v>
      </c>
      <c r="D43" s="46">
        <v>0</v>
      </c>
      <c r="E43" s="47">
        <v>-100</v>
      </c>
      <c r="G43">
        <f>COUNTIF(Adatok[Ingatlanok],H43)</f>
        <v>1</v>
      </c>
      <c r="H43" s="57" t="str">
        <f>INDEX(Adatok[Ingatlanok],MATCH(0,INDEX(COUNTIF($H$25:H42,Adatok[Ingatlanok]),),0))</f>
        <v>APARTMAN KOMPLEXUM</v>
      </c>
      <c r="I43">
        <f>IF(COLUMNS($J$25:J$25)&lt;=$G43,INDEX(Adatok[[Ár]:[Ár]],_xlfn.AGGREGATE(15,3,(Adatok[[Ingatlanok]:[Ingatlanok]]=$H43)/(Adatok[[Ingatlanok]:[Ingatlanok]]=$H43)*(ROW(Adatok[[Ingatlanok]:[Ingatlanok]])-ROW(Adatok[[#Headers],[Ingatlanok]])),COLUMNS($J$25:J$25))),"")</f>
        <v>1200000</v>
      </c>
      <c r="J43" t="str">
        <f>IF(COLUMNS($J$25:K$25)&lt;=$G43,INDEX(Adatok[[Ár]:[Ár]],_xlfn.AGGREGATE(15,3,(Adatok[[Ingatlanok]:[Ingatlanok]]=$H43)/(Adatok[[Ingatlanok]:[Ingatlanok]]=$H43)*(ROW(Adatok[[Ingatlanok]:[Ingatlanok]])-ROW(Adatok[[#Headers],[Ár]])),COLUMNS($J$25:K$25))),"")</f>
        <v/>
      </c>
      <c r="K43" t="str">
        <f>IF(COLUMNS($J$25:L$25)&lt;=$G43,INDEX(Adatok[[Ár]:[Ár]],_xlfn.AGGREGATE(15,3,(Adatok[[Ingatlanok]:[Ingatlanok]]=$H43)/(Adatok[[Ingatlanok]:[Ingatlanok]]=$H43)*(ROW(Adatok[[Ingatlanok]:[Ingatlanok]])-ROW(Adatok[[#Headers],[Letét, jelzálog]])),COLUMNS($J$25:L$25))),"")</f>
        <v/>
      </c>
      <c r="L43" t="str">
        <f>IF(COLUMNS($J$25:M$25)&lt;=$G43,INDEX(Adatok[[Ár]:[Ár]],_xlfn.AGGREGATE(15,3,(Adatok[[Ingatlanok]:[Ingatlanok]]=$H43)/(Adatok[[Ingatlanok]:[Ingatlanok]]=$H43)*(ROW(Adatok[[Ingatlanok]:[Ingatlanok]])-ROW(Adatok[[#Headers],[Előleg]])),COLUMNS($J$25:M$25))),"")</f>
        <v/>
      </c>
      <c r="M43" t="str">
        <f>IF(COLUMNS($J$25:N$25)&lt;=$G43,INDEX(Adatok[[Ár]:[Ár]],_xlfn.AGGREGATE(15,3,(Adatok[[Ingatlanok]:[Ingatlanok]]=$H43)/(Adatok[[Ingatlanok]:[Ingatlanok]]=$H43)*(ROW(Adatok[[Ingatlanok]:[Ingatlanok]])-ROW(Adatok[[#Headers],[Cashflow]])),COLUMNS($J$25:N$25))),"")</f>
        <v/>
      </c>
      <c r="N43" t="str">
        <f>IF(COLUMNS($J$25:O$25)&lt;=$G43,INDEX(Adatok[[Ár]:[Ár]],_xlfn.AGGREGATE(15,3,(Adatok[[Ingatlanok]:[Ingatlanok]]=$H43)/(Adatok[[Ingatlanok]:[Ingatlanok]]=$H43)*(ROW(Adatok[[Ingatlanok]:[Ingatlanok]])-ROW(Adatok[[#Headers],[Ingatlanok]])),COLUMNS($J$25:O$25))),"")</f>
        <v/>
      </c>
      <c r="O43" t="str">
        <f>IF(COLUMNS($J$25:P$25)&lt;=$G43,INDEX(Adatok[[Ár]:[Ár]],_xlfn.AGGREGATE(15,3,(Adatok[[Ingatlanok]:[Ingatlanok]]=$H43)/(Adatok[[Ingatlanok]:[Ingatlanok]]=$H43)*(ROW(Adatok[[Ingatlanok]:[Ingatlanok]])-ROW(Adatok[[#Headers],[Ár]])),COLUMNS($J$25:P$25))),"")</f>
        <v/>
      </c>
      <c r="P43" t="str">
        <f>IF(COLUMNS($J$25:Q$25)&lt;=$G43,INDEX(Adatok[[Ár]:[Ár]],_xlfn.AGGREGATE(15,3,(Adatok[[Ingatlanok]:[Ingatlanok]]=$H43)/(Adatok[[Ingatlanok]:[Ingatlanok]]=$H43)*(ROW(Adatok[[Ingatlanok]:[Ingatlanok]])-ROW(Adatok[[#Headers],[Letét, jelzálog]])),COLUMNS($J$25:Q$25))),"")</f>
        <v/>
      </c>
      <c r="Q43" t="str">
        <f>IF(COLUMNS($J$25:R$25)&lt;=$G43,INDEX(Adatok[[Ár]:[Ár]],_xlfn.AGGREGATE(15,3,(Adatok[[Ingatlanok]:[Ingatlanok]]=$H43)/(Adatok[[Ingatlanok]:[Ingatlanok]]=$H43)*(ROW(Adatok[[Ingatlanok]:[Ingatlanok]])-ROW(Adatok[[#Headers],[Előleg]])),COLUMNS($J$25:R$25))),"")</f>
        <v/>
      </c>
      <c r="R43" t="str">
        <f>IF(COLUMNS($J$25:S$25)&lt;=$G43,INDEX(Adatok[[Ár]:[Ár]],_xlfn.AGGREGATE(15,3,(Adatok[[Ingatlanok]:[Ingatlanok]]=$H43)/(Adatok[[Ingatlanok]:[Ingatlanok]]=$H43)*(ROW(Adatok[[Ingatlanok]:[Ingatlanok]])-ROW(Adatok[[#Headers],[Cashflow]])),COLUMNS($J$25:S$25))),"")</f>
        <v/>
      </c>
      <c r="S43" t="str">
        <f>IF(COLUMNS($J$25:T$25)&lt;=$G43,INDEX(Adatok[[Ár]:[Ár]],_xlfn.AGGREGATE(15,3,(Adatok[[Ingatlanok]:[Ingatlanok]]=$H43)/(Adatok[[Ingatlanok]:[Ingatlanok]]=$H43)*(ROW(Adatok[[Ingatlanok]:[Ingatlanok]])-ROW(Adatok[[#Headers],[Ingatlanok]])),COLUMNS($J$25:T$25))),"")</f>
        <v/>
      </c>
      <c r="T43" t="str">
        <f>IF(COLUMNS($J$25:U$25)&lt;=$G43,INDEX(Adatok[[Ár]:[Ár]],_xlfn.AGGREGATE(15,3,(Adatok[[Ingatlanok]:[Ingatlanok]]=$H43)/(Adatok[[Ingatlanok]:[Ingatlanok]]=$H43)*(ROW(Adatok[[Ingatlanok]:[Ingatlanok]])-ROW(Adatok[[#Headers],[Ár]])),COLUMNS($J$25:U$25))),"")</f>
        <v/>
      </c>
      <c r="U43" t="str">
        <f>IF(COLUMNS($J$25:V$25)&lt;=$G43,INDEX(Adatok[[Ár]:[Ár]],_xlfn.AGGREGATE(15,3,(Adatok[[Ingatlanok]:[Ingatlanok]]=$H43)/(Adatok[[Ingatlanok]:[Ingatlanok]]=$H43)*(ROW(Adatok[[Ingatlanok]:[Ingatlanok]])-ROW(Adatok[[#Headers],[Letét, jelzálog]])),COLUMNS($J$25:V$25))),"")</f>
        <v/>
      </c>
      <c r="V43" t="str">
        <f>IF(COLUMNS($J$25:W$25)&lt;=$G43,INDEX(Adatok[[Ár]:[Ár]],_xlfn.AGGREGATE(15,3,(Adatok[[Ingatlanok]:[Ingatlanok]]=$H43)/(Adatok[[Ingatlanok]:[Ingatlanok]]=$H43)*(ROW(Adatok[[Ingatlanok]:[Ingatlanok]])-ROW(Adatok[[#Headers],[Előleg]])),COLUMNS($J$25:W$25))),"")</f>
        <v/>
      </c>
      <c r="W43" t="str">
        <f>IF(COLUMNS($J$25:X$25)&lt;=$G43,INDEX(Adatok[[Ár]:[Ár]],_xlfn.AGGREGATE(15,3,(Adatok[[Ingatlanok]:[Ingatlanok]]=$H43)/(Adatok[[Ingatlanok]:[Ingatlanok]]=$H43)*(ROW(Adatok[[Ingatlanok]:[Ingatlanok]])-ROW(Adatok[[#Headers],[Cashflow]])),COLUMNS($J$25:X$25))),"")</f>
        <v/>
      </c>
      <c r="X43" t="str">
        <f>IF(COLUMNS($J$25:Y$25)&lt;=$G43,INDEX(Adatok[[Ár]:[Ár]],_xlfn.AGGREGATE(15,3,(Adatok[[Ingatlanok]:[Ingatlanok]]=$H43)/(Adatok[[Ingatlanok]:[Ingatlanok]]=$H43)*(ROW(Adatok[[Ingatlanok]:[Ingatlanok]])-ROW(Adatok[[#Headers],[Ingatlanok]])),COLUMNS($J$25:Y$25))),"")</f>
        <v/>
      </c>
      <c r="Y43" t="str">
        <f>IF(COLUMNS($J$25:Z$25)&lt;=$G43,INDEX(Adatok[[Ár]:[Ár]],_xlfn.AGGREGATE(15,3,(Adatok[[Ingatlanok]:[Ingatlanok]]=$H43)/(Adatok[[Ingatlanok]:[Ingatlanok]]=$H43)*(ROW(Adatok[[Ingatlanok]:[Ingatlanok]])-ROW(Adatok[[#Headers],[Ár]])),COLUMNS($J$25:Z$25))),"")</f>
        <v/>
      </c>
      <c r="Z43" t="str">
        <f>IF(COLUMNS($J$25:AA$25)&lt;=$G43,INDEX(Adatok[[Ár]:[Ár]],_xlfn.AGGREGATE(15,3,(Adatok[[Ingatlanok]:[Ingatlanok]]=$H43)/(Adatok[[Ingatlanok]:[Ingatlanok]]=$H43)*(ROW(Adatok[[Ingatlanok]:[Ingatlanok]])-ROW(Adatok[[#Headers],[Letét, jelzálog]])),COLUMNS($J$25:AA$25))),"")</f>
        <v/>
      </c>
      <c r="AA43" t="str">
        <f>IF(COLUMNS($J$25:AB$25)&lt;=$G43,INDEX(Adatok[[Ár]:[Ár]],_xlfn.AGGREGATE(15,3,(Adatok[[Ingatlanok]:[Ingatlanok]]=$H43)/(Adatok[[Ingatlanok]:[Ingatlanok]]=$H43)*(ROW(Adatok[[Ingatlanok]:[Ingatlanok]])-ROW(Adatok[[#Headers],[Előleg]])),COLUMNS($J$25:AB$25))),"")</f>
        <v/>
      </c>
      <c r="AB43" t="str">
        <f>IF(COLUMNS($J$25:AC$25)&lt;=$G43,INDEX(Adatok[[Ár]:[Ár]],_xlfn.AGGREGATE(15,3,(Adatok[[Ingatlanok]:[Ingatlanok]]=$H43)/(Adatok[[Ingatlanok]:[Ingatlanok]]=$H43)*(ROW(Adatok[[Ingatlanok]:[Ingatlanok]])-ROW(Adatok[[#Headers],[Cashflow]])),COLUMNS($J$25:AC$25))),"")</f>
        <v/>
      </c>
      <c r="AC43" t="str">
        <f>IF(COLUMNS($J$25:AD$25)&lt;=$G43,INDEX(Adatok[[Ár]:[Ár]],_xlfn.AGGREGATE(15,3,(Adatok[[Ingatlanok]:[Ingatlanok]]=$H43)/(Adatok[[Ingatlanok]:[Ingatlanok]]=$H43)*(ROW(Adatok[[Ingatlanok]:[Ingatlanok]])-ROW(Adatok[[#Headers],[Ingatlanok]])),COLUMNS($J$25:AD$25))),"")</f>
        <v/>
      </c>
      <c r="AD43" t="str">
        <f>IF(COLUMNS($J$25:AE$25)&lt;=$G43,INDEX(Adatok[[Ár]:[Ár]],_xlfn.AGGREGATE(15,3,(Adatok[[Ingatlanok]:[Ingatlanok]]=$H43)/(Adatok[[Ingatlanok]:[Ingatlanok]]=$H43)*(ROW(Adatok[[Ingatlanok]:[Ingatlanok]])-ROW(Adatok[[#Headers],[Ár]])),COLUMNS($J$25:AE$25))),"")</f>
        <v/>
      </c>
    </row>
    <row r="44" spans="1:30" x14ac:dyDescent="0.25">
      <c r="A44" s="59" t="s">
        <v>136</v>
      </c>
      <c r="B44" s="46">
        <v>50000</v>
      </c>
      <c r="C44" s="47">
        <v>50000</v>
      </c>
      <c r="D44" s="46">
        <v>0</v>
      </c>
      <c r="E44" s="47">
        <v>100</v>
      </c>
      <c r="H44" s="57"/>
      <c r="I44" t="str">
        <f>IF(COLUMNS($J$25:J$25)&lt;=$G44,INDEX(Adatok[[Ár]:[Ár]],_xlfn.AGGREGATE(15,3,(Adatok[[Ingatlanok]:[Ingatlanok]]=$H44)/(Adatok[[Ingatlanok]:[Ingatlanok]]=$H44)*(ROW(Adatok[[Ingatlanok]:[Ingatlanok]])-ROW(Adatok[[#Headers],[Ingatlanok]])),COLUMNS($J$25:J$25))),"")</f>
        <v/>
      </c>
      <c r="J44" t="str">
        <f>IF(COLUMNS($J$25:K$25)&lt;=$G44,INDEX(Adatok[[Ár]:[Ár]],_xlfn.AGGREGATE(15,3,(Adatok[[Ingatlanok]:[Ingatlanok]]=$H44)/(Adatok[[Ingatlanok]:[Ingatlanok]]=$H44)*(ROW(Adatok[[Ingatlanok]:[Ingatlanok]])-ROW(Adatok[[#Headers],[Ár]])),COLUMNS($J$25:K$25))),"")</f>
        <v/>
      </c>
      <c r="K44" t="str">
        <f>IF(COLUMNS($J$25:L$25)&lt;=$G44,INDEX(Adatok[[Ár]:[Ár]],_xlfn.AGGREGATE(15,3,(Adatok[[Ingatlanok]:[Ingatlanok]]=$H44)/(Adatok[[Ingatlanok]:[Ingatlanok]]=$H44)*(ROW(Adatok[[Ingatlanok]:[Ingatlanok]])-ROW(Adatok[[#Headers],[Letét, jelzálog]])),COLUMNS($J$25:L$25))),"")</f>
        <v/>
      </c>
      <c r="L44" t="str">
        <f>IF(COLUMNS($J$25:M$25)&lt;=$G44,INDEX(Adatok[[Ár]:[Ár]],_xlfn.AGGREGATE(15,3,(Adatok[[Ingatlanok]:[Ingatlanok]]=$H44)/(Adatok[[Ingatlanok]:[Ingatlanok]]=$H44)*(ROW(Adatok[[Ingatlanok]:[Ingatlanok]])-ROW(Adatok[[#Headers],[Előleg]])),COLUMNS($J$25:M$25))),"")</f>
        <v/>
      </c>
      <c r="M44" t="str">
        <f>IF(COLUMNS($J$25:N$25)&lt;=$G44,INDEX(Adatok[[Ár]:[Ár]],_xlfn.AGGREGATE(15,3,(Adatok[[Ingatlanok]:[Ingatlanok]]=$H44)/(Adatok[[Ingatlanok]:[Ingatlanok]]=$H44)*(ROW(Adatok[[Ingatlanok]:[Ingatlanok]])-ROW(Adatok[[#Headers],[Cashflow]])),COLUMNS($J$25:N$25))),"")</f>
        <v/>
      </c>
      <c r="N44" t="str">
        <f>IF(COLUMNS($J$25:O$25)&lt;=$G44,INDEX(Adatok[[Ár]:[Ár]],_xlfn.AGGREGATE(15,3,(Adatok[[Ingatlanok]:[Ingatlanok]]=$H44)/(Adatok[[Ingatlanok]:[Ingatlanok]]=$H44)*(ROW(Adatok[[Ingatlanok]:[Ingatlanok]])-ROW(Adatok[[#Headers],[Ingatlanok]])),COLUMNS($J$25:O$25))),"")</f>
        <v/>
      </c>
      <c r="O44" t="str">
        <f>IF(COLUMNS($J$25:P$25)&lt;=$G44,INDEX(Adatok[[Ár]:[Ár]],_xlfn.AGGREGATE(15,3,(Adatok[[Ingatlanok]:[Ingatlanok]]=$H44)/(Adatok[[Ingatlanok]:[Ingatlanok]]=$H44)*(ROW(Adatok[[Ingatlanok]:[Ingatlanok]])-ROW(Adatok[[#Headers],[Ár]])),COLUMNS($J$25:P$25))),"")</f>
        <v/>
      </c>
      <c r="P44" t="str">
        <f>IF(COLUMNS($J$25:Q$25)&lt;=$G44,INDEX(Adatok[[Ár]:[Ár]],_xlfn.AGGREGATE(15,3,(Adatok[[Ingatlanok]:[Ingatlanok]]=$H44)/(Adatok[[Ingatlanok]:[Ingatlanok]]=$H44)*(ROW(Adatok[[Ingatlanok]:[Ingatlanok]])-ROW(Adatok[[#Headers],[Letét, jelzálog]])),COLUMNS($J$25:Q$25))),"")</f>
        <v/>
      </c>
      <c r="Q44" t="str">
        <f>IF(COLUMNS($J$25:R$25)&lt;=$G44,INDEX(Adatok[[Ár]:[Ár]],_xlfn.AGGREGATE(15,3,(Adatok[[Ingatlanok]:[Ingatlanok]]=$H44)/(Adatok[[Ingatlanok]:[Ingatlanok]]=$H44)*(ROW(Adatok[[Ingatlanok]:[Ingatlanok]])-ROW(Adatok[[#Headers],[Előleg]])),COLUMNS($J$25:R$25))),"")</f>
        <v/>
      </c>
      <c r="R44" t="str">
        <f>IF(COLUMNS($J$25:S$25)&lt;=$G44,INDEX(Adatok[[Ár]:[Ár]],_xlfn.AGGREGATE(15,3,(Adatok[[Ingatlanok]:[Ingatlanok]]=$H44)/(Adatok[[Ingatlanok]:[Ingatlanok]]=$H44)*(ROW(Adatok[[Ingatlanok]:[Ingatlanok]])-ROW(Adatok[[#Headers],[Cashflow]])),COLUMNS($J$25:S$25))),"")</f>
        <v/>
      </c>
      <c r="S44" t="str">
        <f>IF(COLUMNS($J$25:T$25)&lt;=$G44,INDEX(Adatok[[Ár]:[Ár]],_xlfn.AGGREGATE(15,3,(Adatok[[Ingatlanok]:[Ingatlanok]]=$H44)/(Adatok[[Ingatlanok]:[Ingatlanok]]=$H44)*(ROW(Adatok[[Ingatlanok]:[Ingatlanok]])-ROW(Adatok[[#Headers],[Ingatlanok]])),COLUMNS($J$25:T$25))),"")</f>
        <v/>
      </c>
      <c r="T44" t="str">
        <f>IF(COLUMNS($J$25:U$25)&lt;=$G44,INDEX(Adatok[[Ár]:[Ár]],_xlfn.AGGREGATE(15,3,(Adatok[[Ingatlanok]:[Ingatlanok]]=$H44)/(Adatok[[Ingatlanok]:[Ingatlanok]]=$H44)*(ROW(Adatok[[Ingatlanok]:[Ingatlanok]])-ROW(Adatok[[#Headers],[Ár]])),COLUMNS($J$25:U$25))),"")</f>
        <v/>
      </c>
      <c r="U44" t="str">
        <f>IF(COLUMNS($J$25:V$25)&lt;=$G44,INDEX(Adatok[[Ár]:[Ár]],_xlfn.AGGREGATE(15,3,(Adatok[[Ingatlanok]:[Ingatlanok]]=$H44)/(Adatok[[Ingatlanok]:[Ingatlanok]]=$H44)*(ROW(Adatok[[Ingatlanok]:[Ingatlanok]])-ROW(Adatok[[#Headers],[Letét, jelzálog]])),COLUMNS($J$25:V$25))),"")</f>
        <v/>
      </c>
      <c r="V44" t="str">
        <f>IF(COLUMNS($J$25:W$25)&lt;=$G44,INDEX(Adatok[[Ár]:[Ár]],_xlfn.AGGREGATE(15,3,(Adatok[[Ingatlanok]:[Ingatlanok]]=$H44)/(Adatok[[Ingatlanok]:[Ingatlanok]]=$H44)*(ROW(Adatok[[Ingatlanok]:[Ingatlanok]])-ROW(Adatok[[#Headers],[Előleg]])),COLUMNS($J$25:W$25))),"")</f>
        <v/>
      </c>
      <c r="W44" t="str">
        <f>IF(COLUMNS($J$25:X$25)&lt;=$G44,INDEX(Adatok[[Ár]:[Ár]],_xlfn.AGGREGATE(15,3,(Adatok[[Ingatlanok]:[Ingatlanok]]=$H44)/(Adatok[[Ingatlanok]:[Ingatlanok]]=$H44)*(ROW(Adatok[[Ingatlanok]:[Ingatlanok]])-ROW(Adatok[[#Headers],[Cashflow]])),COLUMNS($J$25:X$25))),"")</f>
        <v/>
      </c>
      <c r="X44" t="str">
        <f>IF(COLUMNS($J$25:Y$25)&lt;=$G44,INDEX(Adatok[[Ár]:[Ár]],_xlfn.AGGREGATE(15,3,(Adatok[[Ingatlanok]:[Ingatlanok]]=$H44)/(Adatok[[Ingatlanok]:[Ingatlanok]]=$H44)*(ROW(Adatok[[Ingatlanok]:[Ingatlanok]])-ROW(Adatok[[#Headers],[Ingatlanok]])),COLUMNS($J$25:Y$25))),"")</f>
        <v/>
      </c>
      <c r="Y44" t="str">
        <f>IF(COLUMNS($J$25:Z$25)&lt;=$G44,INDEX(Adatok[[Ár]:[Ár]],_xlfn.AGGREGATE(15,3,(Adatok[[Ingatlanok]:[Ingatlanok]]=$H44)/(Adatok[[Ingatlanok]:[Ingatlanok]]=$H44)*(ROW(Adatok[[Ingatlanok]:[Ingatlanok]])-ROW(Adatok[[#Headers],[Ár]])),COLUMNS($J$25:Z$25))),"")</f>
        <v/>
      </c>
      <c r="Z44" t="str">
        <f>IF(COLUMNS($J$25:AA$25)&lt;=$G44,INDEX(Adatok[[Ár]:[Ár]],_xlfn.AGGREGATE(15,3,(Adatok[[Ingatlanok]:[Ingatlanok]]=$H44)/(Adatok[[Ingatlanok]:[Ingatlanok]]=$H44)*(ROW(Adatok[[Ingatlanok]:[Ingatlanok]])-ROW(Adatok[[#Headers],[Letét, jelzálog]])),COLUMNS($J$25:AA$25))),"")</f>
        <v/>
      </c>
      <c r="AA44" t="str">
        <f>IF(COLUMNS($J$25:AB$25)&lt;=$G44,INDEX(Adatok[[Ár]:[Ár]],_xlfn.AGGREGATE(15,3,(Adatok[[Ingatlanok]:[Ingatlanok]]=$H44)/(Adatok[[Ingatlanok]:[Ingatlanok]]=$H44)*(ROW(Adatok[[Ingatlanok]:[Ingatlanok]])-ROW(Adatok[[#Headers],[Előleg]])),COLUMNS($J$25:AB$25))),"")</f>
        <v/>
      </c>
      <c r="AB44" t="str">
        <f>IF(COLUMNS($J$25:AC$25)&lt;=$G44,INDEX(Adatok[[Ár]:[Ár]],_xlfn.AGGREGATE(15,3,(Adatok[[Ingatlanok]:[Ingatlanok]]=$H44)/(Adatok[[Ingatlanok]:[Ingatlanok]]=$H44)*(ROW(Adatok[[Ingatlanok]:[Ingatlanok]])-ROW(Adatok[[#Headers],[Cashflow]])),COLUMNS($J$25:AC$25))),"")</f>
        <v/>
      </c>
      <c r="AC44" t="str">
        <f>IF(COLUMNS($J$25:AD$25)&lt;=$G44,INDEX(Adatok[[Ár]:[Ár]],_xlfn.AGGREGATE(15,3,(Adatok[[Ingatlanok]:[Ingatlanok]]=$H44)/(Adatok[[Ingatlanok]:[Ingatlanok]]=$H44)*(ROW(Adatok[[Ingatlanok]:[Ingatlanok]])-ROW(Adatok[[#Headers],[Ingatlanok]])),COLUMNS($J$25:AD$25))),"")</f>
        <v/>
      </c>
      <c r="AD44" t="str">
        <f>IF(COLUMNS($J$25:AE$25)&lt;=$G44,INDEX(Adatok[[Ár]:[Ár]],_xlfn.AGGREGATE(15,3,(Adatok[[Ingatlanok]:[Ingatlanok]]=$H44)/(Adatok[[Ingatlanok]:[Ingatlanok]]=$H44)*(ROW(Adatok[[Ingatlanok]:[Ingatlanok]])-ROW(Adatok[[#Headers],[Ár]])),COLUMNS($J$25:AE$25))),"")</f>
        <v/>
      </c>
    </row>
    <row r="45" spans="1:30" x14ac:dyDescent="0.25">
      <c r="A45" s="48" t="s">
        <v>136</v>
      </c>
      <c r="B45" s="47">
        <v>50000</v>
      </c>
      <c r="C45" s="47">
        <v>46000</v>
      </c>
      <c r="D45" s="47">
        <v>4000</v>
      </c>
      <c r="E45" s="47">
        <v>200</v>
      </c>
      <c r="H45" s="57"/>
      <c r="I45" t="str">
        <f>IF(COLUMNS($J$25:J$25)&lt;=$G45,INDEX(Adatok[[Ár]:[Ár]],_xlfn.AGGREGATE(15,3,(Adatok[[Ingatlanok]:[Ingatlanok]]=$H45)/(Adatok[[Ingatlanok]:[Ingatlanok]]=$H45)*(ROW(Adatok[[Ingatlanok]:[Ingatlanok]])-ROW(Adatok[[#Headers],[Ingatlanok]])),COLUMNS($J$25:J$25))),"")</f>
        <v/>
      </c>
      <c r="J45" t="str">
        <f>IF(COLUMNS($J$25:K$25)&lt;=$G45,INDEX(Adatok[[Ár]:[Ár]],_xlfn.AGGREGATE(15,3,(Adatok[[Ingatlanok]:[Ingatlanok]]=$H45)/(Adatok[[Ingatlanok]:[Ingatlanok]]=$H45)*(ROW(Adatok[[Ingatlanok]:[Ingatlanok]])-ROW(Adatok[[#Headers],[Ár]])),COLUMNS($J$25:K$25))),"")</f>
        <v/>
      </c>
      <c r="K45" t="str">
        <f>IF(COLUMNS($J$25:L$25)&lt;=$G45,INDEX(Adatok[[Ár]:[Ár]],_xlfn.AGGREGATE(15,3,(Adatok[[Ingatlanok]:[Ingatlanok]]=$H45)/(Adatok[[Ingatlanok]:[Ingatlanok]]=$H45)*(ROW(Adatok[[Ingatlanok]:[Ingatlanok]])-ROW(Adatok[[#Headers],[Letét, jelzálog]])),COLUMNS($J$25:L$25))),"")</f>
        <v/>
      </c>
      <c r="L45" t="str">
        <f>IF(COLUMNS($J$25:M$25)&lt;=$G45,INDEX(Adatok[[Ár]:[Ár]],_xlfn.AGGREGATE(15,3,(Adatok[[Ingatlanok]:[Ingatlanok]]=$H45)/(Adatok[[Ingatlanok]:[Ingatlanok]]=$H45)*(ROW(Adatok[[Ingatlanok]:[Ingatlanok]])-ROW(Adatok[[#Headers],[Előleg]])),COLUMNS($J$25:M$25))),"")</f>
        <v/>
      </c>
      <c r="M45" t="str">
        <f>IF(COLUMNS($J$25:N$25)&lt;=$G45,INDEX(Adatok[[Ár]:[Ár]],_xlfn.AGGREGATE(15,3,(Adatok[[Ingatlanok]:[Ingatlanok]]=$H45)/(Adatok[[Ingatlanok]:[Ingatlanok]]=$H45)*(ROW(Adatok[[Ingatlanok]:[Ingatlanok]])-ROW(Adatok[[#Headers],[Cashflow]])),COLUMNS($J$25:N$25))),"")</f>
        <v/>
      </c>
      <c r="N45" t="str">
        <f>IF(COLUMNS($J$25:O$25)&lt;=$G45,INDEX(Adatok[[Ár]:[Ár]],_xlfn.AGGREGATE(15,3,(Adatok[[Ingatlanok]:[Ingatlanok]]=$H45)/(Adatok[[Ingatlanok]:[Ingatlanok]]=$H45)*(ROW(Adatok[[Ingatlanok]:[Ingatlanok]])-ROW(Adatok[[#Headers],[Ingatlanok]])),COLUMNS($J$25:O$25))),"")</f>
        <v/>
      </c>
      <c r="O45" t="str">
        <f>IF(COLUMNS($J$25:P$25)&lt;=$G45,INDEX(Adatok[[Ár]:[Ár]],_xlfn.AGGREGATE(15,3,(Adatok[[Ingatlanok]:[Ingatlanok]]=$H45)/(Adatok[[Ingatlanok]:[Ingatlanok]]=$H45)*(ROW(Adatok[[Ingatlanok]:[Ingatlanok]])-ROW(Adatok[[#Headers],[Ár]])),COLUMNS($J$25:P$25))),"")</f>
        <v/>
      </c>
      <c r="P45" t="str">
        <f>IF(COLUMNS($J$25:Q$25)&lt;=$G45,INDEX(Adatok[[Ár]:[Ár]],_xlfn.AGGREGATE(15,3,(Adatok[[Ingatlanok]:[Ingatlanok]]=$H45)/(Adatok[[Ingatlanok]:[Ingatlanok]]=$H45)*(ROW(Adatok[[Ingatlanok]:[Ingatlanok]])-ROW(Adatok[[#Headers],[Ár]])),COLUMNS($J$25:Q$25))),"")</f>
        <v/>
      </c>
    </row>
    <row r="46" spans="1:30" x14ac:dyDescent="0.25">
      <c r="A46" s="47" t="s">
        <v>125</v>
      </c>
      <c r="B46" s="47">
        <v>60000</v>
      </c>
      <c r="C46" s="47">
        <v>54000</v>
      </c>
      <c r="D46" s="47">
        <v>6000</v>
      </c>
      <c r="E46" s="47">
        <v>300</v>
      </c>
    </row>
    <row r="47" spans="1:30" x14ac:dyDescent="0.25">
      <c r="A47" s="47" t="s">
        <v>125</v>
      </c>
      <c r="B47" s="47">
        <v>60000</v>
      </c>
      <c r="C47" s="47">
        <v>48000</v>
      </c>
      <c r="D47" s="47">
        <v>12000</v>
      </c>
      <c r="E47" s="47">
        <v>400</v>
      </c>
    </row>
    <row r="48" spans="1:30" x14ac:dyDescent="0.25">
      <c r="A48" s="48" t="s">
        <v>139</v>
      </c>
      <c r="B48" s="47">
        <v>60000</v>
      </c>
      <c r="C48" s="47">
        <v>55000</v>
      </c>
      <c r="D48" s="47">
        <v>5000</v>
      </c>
      <c r="E48" s="47">
        <v>-100</v>
      </c>
    </row>
    <row r="49" spans="1:30" x14ac:dyDescent="0.25">
      <c r="A49" s="47" t="s">
        <v>136</v>
      </c>
      <c r="B49" s="47">
        <v>65000</v>
      </c>
      <c r="C49" s="47">
        <v>58000</v>
      </c>
      <c r="D49" s="47">
        <v>7000</v>
      </c>
      <c r="E49" s="47">
        <v>150</v>
      </c>
    </row>
    <row r="50" spans="1:30" x14ac:dyDescent="0.25">
      <c r="A50" s="47" t="s">
        <v>136</v>
      </c>
      <c r="B50" s="47">
        <v>65000</v>
      </c>
      <c r="C50" s="47">
        <v>57000</v>
      </c>
      <c r="D50" s="47">
        <v>8000</v>
      </c>
      <c r="E50" s="47">
        <v>300</v>
      </c>
    </row>
    <row r="51" spans="1:30" x14ac:dyDescent="0.25">
      <c r="A51" s="48" t="s">
        <v>136</v>
      </c>
      <c r="B51" s="47">
        <v>65000</v>
      </c>
      <c r="C51" s="47">
        <v>60000</v>
      </c>
      <c r="D51" s="47">
        <v>5000</v>
      </c>
      <c r="E51" s="47">
        <v>160</v>
      </c>
    </row>
    <row r="52" spans="1:30" x14ac:dyDescent="0.25">
      <c r="A52" s="47" t="s">
        <v>136</v>
      </c>
      <c r="B52" s="47">
        <v>67000</v>
      </c>
      <c r="C52" s="47">
        <v>55000</v>
      </c>
      <c r="D52" s="47">
        <v>12000</v>
      </c>
      <c r="E52" s="47">
        <v>400</v>
      </c>
    </row>
    <row r="53" spans="1:30" x14ac:dyDescent="0.25">
      <c r="A53" s="47" t="s">
        <v>125</v>
      </c>
      <c r="B53" s="47">
        <v>70000</v>
      </c>
      <c r="C53" s="47">
        <v>63000</v>
      </c>
      <c r="D53" s="47">
        <v>7000</v>
      </c>
      <c r="E53" s="47">
        <v>140</v>
      </c>
    </row>
    <row r="54" spans="1:30" x14ac:dyDescent="0.25">
      <c r="A54" s="47" t="s">
        <v>136</v>
      </c>
      <c r="B54" s="47">
        <v>70000</v>
      </c>
      <c r="C54" s="47">
        <v>61000</v>
      </c>
      <c r="D54" s="47">
        <v>9000</v>
      </c>
      <c r="E54" s="47">
        <v>300</v>
      </c>
    </row>
    <row r="55" spans="1:30" x14ac:dyDescent="0.25">
      <c r="A55" s="47" t="s">
        <v>136</v>
      </c>
      <c r="B55" s="47">
        <v>70000</v>
      </c>
      <c r="C55" s="47">
        <v>50000</v>
      </c>
      <c r="D55" s="47">
        <v>20000</v>
      </c>
      <c r="E55" s="47">
        <v>500</v>
      </c>
      <c r="I55" s="58" t="e">
        <f ca="1">OFFSET(Adatok!$H$57,MATCH(Mókuskerék!$A11,Adatok!$H$57:$H$74,0)-1,1,1,COUNT(OFFSET(Adatok!$H$57,MATCH(Mókuskerék!$A11,Adatok!$H$57:$H$74,0)-1,1,,15)))</f>
        <v>#N/A</v>
      </c>
    </row>
    <row r="56" spans="1:30" x14ac:dyDescent="0.25">
      <c r="A56" s="47" t="s">
        <v>136</v>
      </c>
      <c r="B56" s="47">
        <v>75000</v>
      </c>
      <c r="C56" s="47">
        <v>68000</v>
      </c>
      <c r="D56" s="47">
        <v>7000</v>
      </c>
      <c r="E56" s="47">
        <v>300</v>
      </c>
    </row>
    <row r="57" spans="1:30" x14ac:dyDescent="0.25">
      <c r="A57" s="47" t="s">
        <v>123</v>
      </c>
      <c r="B57" s="47">
        <v>80000</v>
      </c>
      <c r="C57" s="47">
        <v>60000</v>
      </c>
      <c r="D57" s="47">
        <v>20000</v>
      </c>
      <c r="E57" s="47">
        <v>400</v>
      </c>
      <c r="G57">
        <f>COUNTIF(Adatok[Ingatlanok],H57)</f>
        <v>1</v>
      </c>
      <c r="H57" s="57" t="str">
        <f>INDEX(Adatok[Ingatlanok],MATCH(0,INDEX(COUNTIF($H$56:H56,Adatok[Ingatlanok]),),0))</f>
        <v>RITKA ARANY ÉRME</v>
      </c>
      <c r="I57">
        <f>IF(COLUMNS($J$25:J$25)&lt;=$G26,INDEX(Adatok[[Cashflow]:[Cashflow]],_xlfn.AGGREGATE(15,3,(Adatok[[Ingatlanok]:[Ingatlanok]]=$H26)/(Adatok[[Ingatlanok]:[Ingatlanok]]=$H26)*(ROW(Adatok[[Ingatlanok]:[Ingatlanok]])-ROW(Adatok[[#Headers],[Ingatlanok]])),COLUMNS($J$25:J$25))),"")</f>
        <v>0</v>
      </c>
      <c r="J57" t="str">
        <f>IF(COLUMNS($J$25:K$25)&lt;=$G26,INDEX(Adatok[[Cashflow]:[Cashflow]],_xlfn.AGGREGATE(15,3,(Adatok[[Ingatlanok]:[Ingatlanok]]=$H26)/(Adatok[[Ingatlanok]:[Ingatlanok]]=$H26)*(ROW(Adatok[[Ingatlanok]:[Ingatlanok]])-ROW(Adatok[[#Headers],[Ár]])),COLUMNS($J$25:K$25))),"")</f>
        <v/>
      </c>
      <c r="K57" t="str">
        <f>IF(COLUMNS($J$25:L$25)&lt;=$G26,INDEX(Adatok[[Cashflow]:[Cashflow]],_xlfn.AGGREGATE(15,3,(Adatok[[Ingatlanok]:[Ingatlanok]]=$H26)/(Adatok[[Ingatlanok]:[Ingatlanok]]=$H26)*(ROW(Adatok[[Ingatlanok]:[Ingatlanok]])-ROW(Adatok[[#Headers],[Letét, jelzálog]])),COLUMNS($J$25:L$25))),"")</f>
        <v/>
      </c>
      <c r="L57" t="str">
        <f>IF(COLUMNS($J$25:M$25)&lt;=$G26,INDEX(Adatok[[Cashflow]:[Cashflow]],_xlfn.AGGREGATE(15,3,(Adatok[[Ingatlanok]:[Ingatlanok]]=$H26)/(Adatok[[Ingatlanok]:[Ingatlanok]]=$H26)*(ROW(Adatok[[Ingatlanok]:[Ingatlanok]])-ROW(Adatok[[#Headers],[Előleg]])),COLUMNS($J$25:M$25))),"")</f>
        <v/>
      </c>
      <c r="M57" t="str">
        <f>IF(COLUMNS($J$25:N$25)&lt;=$G26,INDEX(Adatok[[Cashflow]:[Cashflow]],_xlfn.AGGREGATE(15,3,(Adatok[[Ingatlanok]:[Ingatlanok]]=$H26)/(Adatok[[Ingatlanok]:[Ingatlanok]]=$H26)*(ROW(Adatok[[Ingatlanok]:[Ingatlanok]])-ROW(Adatok[[#Headers],[Cashflow]])),COLUMNS($J$25:N$25))),"")</f>
        <v/>
      </c>
      <c r="N57" t="str">
        <f>IF(COLUMNS($J$25:O$25)&lt;=$G26,INDEX(Adatok[[Cashflow]:[Cashflow]],_xlfn.AGGREGATE(15,3,(Adatok[[Ingatlanok]:[Ingatlanok]]=$H26)/(Adatok[[Ingatlanok]:[Ingatlanok]]=$H26)*(ROW(Adatok[[Ingatlanok]:[Ingatlanok]])-ROW(Adatok[[#Headers],[Ingatlanok]])),COLUMNS($J$25:O$25))),"")</f>
        <v/>
      </c>
      <c r="O57" t="str">
        <f>IF(COLUMNS($J$25:P$25)&lt;=$G26,INDEX(Adatok[[Cashflow]:[Cashflow]],_xlfn.AGGREGATE(15,3,(Adatok[[Ingatlanok]:[Ingatlanok]]=$H26)/(Adatok[[Ingatlanok]:[Ingatlanok]]=$H26)*(ROW(Adatok[[Ingatlanok]:[Ingatlanok]])-ROW(Adatok[[#Headers],[Ár]])),COLUMNS($J$25:P$25))),"")</f>
        <v/>
      </c>
      <c r="P57" t="str">
        <f>IF(COLUMNS($J$25:Q$25)&lt;=$G26,INDEX(Adatok[[Cashflow]:[Cashflow]],_xlfn.AGGREGATE(15,3,(Adatok[[Ingatlanok]:[Ingatlanok]]=$H26)/(Adatok[[Ingatlanok]:[Ingatlanok]]=$H26)*(ROW(Adatok[[Ingatlanok]:[Ingatlanok]])-ROW(Adatok[[#Headers],[Letét, jelzálog]])),COLUMNS($J$25:Q$25))),"")</f>
        <v/>
      </c>
      <c r="Q57" t="str">
        <f>IF(COLUMNS($J$25:R$25)&lt;=$G26,INDEX(Adatok[[Cashflow]:[Cashflow]],_xlfn.AGGREGATE(15,3,(Adatok[[Ingatlanok]:[Ingatlanok]]=$H26)/(Adatok[[Ingatlanok]:[Ingatlanok]]=$H26)*(ROW(Adatok[[Ingatlanok]:[Ingatlanok]])-ROW(Adatok[[#Headers],[Előleg]])),COLUMNS($J$25:R$25))),"")</f>
        <v/>
      </c>
      <c r="R57" t="str">
        <f>IF(COLUMNS($J$25:S$25)&lt;=$G26,INDEX(Adatok[[Cashflow]:[Cashflow]],_xlfn.AGGREGATE(15,3,(Adatok[[Ingatlanok]:[Ingatlanok]]=$H26)/(Adatok[[Ingatlanok]:[Ingatlanok]]=$H26)*(ROW(Adatok[[Ingatlanok]:[Ingatlanok]])-ROW(Adatok[[#Headers],[Cashflow]])),COLUMNS($J$25:S$25))),"")</f>
        <v/>
      </c>
      <c r="S57" t="str">
        <f>IF(COLUMNS($J$25:T$25)&lt;=$G26,INDEX(Adatok[[Cashflow]:[Cashflow]],_xlfn.AGGREGATE(15,3,(Adatok[[Ingatlanok]:[Ingatlanok]]=$H26)/(Adatok[[Ingatlanok]:[Ingatlanok]]=$H26)*(ROW(Adatok[[Ingatlanok]:[Ingatlanok]])-ROW(Adatok[[#Headers],[Ingatlanok]])),COLUMNS($J$25:T$25))),"")</f>
        <v/>
      </c>
      <c r="T57" t="str">
        <f>IF(COLUMNS($J$25:U$25)&lt;=$G26,INDEX(Adatok[[Cashflow]:[Cashflow]],_xlfn.AGGREGATE(15,3,(Adatok[[Ingatlanok]:[Ingatlanok]]=$H26)/(Adatok[[Ingatlanok]:[Ingatlanok]]=$H26)*(ROW(Adatok[[Ingatlanok]:[Ingatlanok]])-ROW(Adatok[[#Headers],[Ár]])),COLUMNS($J$25:U$25))),"")</f>
        <v/>
      </c>
      <c r="U57" t="str">
        <f>IF(COLUMNS($J$25:V$25)&lt;=$G26,INDEX(Adatok[[Cashflow]:[Cashflow]],_xlfn.AGGREGATE(15,3,(Adatok[[Ingatlanok]:[Ingatlanok]]=$H26)/(Adatok[[Ingatlanok]:[Ingatlanok]]=$H26)*(ROW(Adatok[[Ingatlanok]:[Ingatlanok]])-ROW(Adatok[[#Headers],[Letét, jelzálog]])),COLUMNS($J$25:V$25))),"")</f>
        <v/>
      </c>
      <c r="V57" t="str">
        <f>IF(COLUMNS($J$25:W$25)&lt;=$G26,INDEX(Adatok[[Cashflow]:[Cashflow]],_xlfn.AGGREGATE(15,3,(Adatok[[Ingatlanok]:[Ingatlanok]]=$H26)/(Adatok[[Ingatlanok]:[Ingatlanok]]=$H26)*(ROW(Adatok[[Ingatlanok]:[Ingatlanok]])-ROW(Adatok[[#Headers],[Előleg]])),COLUMNS($J$25:W$25))),"")</f>
        <v/>
      </c>
      <c r="W57" t="str">
        <f>IF(COLUMNS($J$25:X$25)&lt;=$G26,INDEX(Adatok[[Cashflow]:[Cashflow]],_xlfn.AGGREGATE(15,3,(Adatok[[Ingatlanok]:[Ingatlanok]]=$H26)/(Adatok[[Ingatlanok]:[Ingatlanok]]=$H26)*(ROW(Adatok[[Ingatlanok]:[Ingatlanok]])-ROW(Adatok[[#Headers],[Cashflow]])),COLUMNS($J$25:X$25))),"")</f>
        <v/>
      </c>
      <c r="X57" t="str">
        <f>IF(COLUMNS($J$25:Y$25)&lt;=$G26,INDEX(Adatok[[Cashflow]:[Cashflow]],_xlfn.AGGREGATE(15,3,(Adatok[[Ingatlanok]:[Ingatlanok]]=$H26)/(Adatok[[Ingatlanok]:[Ingatlanok]]=$H26)*(ROW(Adatok[[Ingatlanok]:[Ingatlanok]])-ROW(Adatok[[#Headers],[Ingatlanok]])),COLUMNS($J$25:Y$25))),"")</f>
        <v/>
      </c>
      <c r="Y57" t="str">
        <f>IF(COLUMNS($J$25:Z$25)&lt;=$G26,INDEX(Adatok[[Cashflow]:[Cashflow]],_xlfn.AGGREGATE(15,3,(Adatok[[Ingatlanok]:[Ingatlanok]]=$H26)/(Adatok[[Ingatlanok]:[Ingatlanok]]=$H26)*(ROW(Adatok[[Ingatlanok]:[Ingatlanok]])-ROW(Adatok[[#Headers],[Ár]])),COLUMNS($J$25:Z$25))),"")</f>
        <v/>
      </c>
      <c r="Z57" t="str">
        <f>IF(COLUMNS($J$25:AA$25)&lt;=$G26,INDEX(Adatok[[Cashflow]:[Cashflow]],_xlfn.AGGREGATE(15,3,(Adatok[[Ingatlanok]:[Ingatlanok]]=$H26)/(Adatok[[Ingatlanok]:[Ingatlanok]]=$H26)*(ROW(Adatok[[Ingatlanok]:[Ingatlanok]])-ROW(Adatok[[#Headers],[Letét, jelzálog]])),COLUMNS($J$25:AA$25))),"")</f>
        <v/>
      </c>
      <c r="AA57" t="str">
        <f>IF(COLUMNS($J$25:AB$25)&lt;=$G26,INDEX(Adatok[[Cashflow]:[Cashflow]],_xlfn.AGGREGATE(15,3,(Adatok[[Ingatlanok]:[Ingatlanok]]=$H26)/(Adatok[[Ingatlanok]:[Ingatlanok]]=$H26)*(ROW(Adatok[[Ingatlanok]:[Ingatlanok]])-ROW(Adatok[[#Headers],[Előleg]])),COLUMNS($J$25:AB$25))),"")</f>
        <v/>
      </c>
      <c r="AB57" t="str">
        <f>IF(COLUMNS($J$25:AC$25)&lt;=$G26,INDEX(Adatok[[Cashflow]:[Cashflow]],_xlfn.AGGREGATE(15,3,(Adatok[[Ingatlanok]:[Ingatlanok]]=$H26)/(Adatok[[Ingatlanok]:[Ingatlanok]]=$H26)*(ROW(Adatok[[Ingatlanok]:[Ingatlanok]])-ROW(Adatok[[#Headers],[Cashflow]])),COLUMNS($J$25:AC$25))),"")</f>
        <v/>
      </c>
      <c r="AC57" t="str">
        <f>IF(COLUMNS($J$25:AD$25)&lt;=$G26,INDEX(Adatok[[Cashflow]:[Cashflow]],_xlfn.AGGREGATE(15,3,(Adatok[[Ingatlanok]:[Ingatlanok]]=$H26)/(Adatok[[Ingatlanok]:[Ingatlanok]]=$H26)*(ROW(Adatok[[Ingatlanok]:[Ingatlanok]])-ROW(Adatok[[#Headers],[Ingatlanok]])),COLUMNS($J$25:AD$25))),"")</f>
        <v/>
      </c>
      <c r="AD57" t="str">
        <f>IF(COLUMNS($J$25:AE$25)&lt;=$G26,INDEX(Adatok[[Cashflow]:[Cashflow]],_xlfn.AGGREGATE(15,3,(Adatok[[Ingatlanok]:[Ingatlanok]]=$H26)/(Adatok[[Ingatlanok]:[Ingatlanok]]=$H26)*(ROW(Adatok[[Ingatlanok]:[Ingatlanok]])-ROW(Adatok[[#Headers],[Ár]])),COLUMNS($J$25:AE$25))),"")</f>
        <v/>
      </c>
    </row>
    <row r="58" spans="1:30" x14ac:dyDescent="0.25">
      <c r="A58" s="47" t="s">
        <v>123</v>
      </c>
      <c r="B58" s="47">
        <v>80000</v>
      </c>
      <c r="C58" s="47">
        <v>64000</v>
      </c>
      <c r="D58" s="47">
        <v>16000</v>
      </c>
      <c r="E58" s="47">
        <v>750</v>
      </c>
      <c r="G58">
        <f>COUNTIF(Adatok[Ingatlanok],H58)</f>
        <v>1</v>
      </c>
      <c r="H58" s="57" t="str">
        <f>INDEX(Adatok[Ingatlanok],MATCH(0,INDEX(COUNTIF($H$56:H57,Adatok[Ingatlanok]),),0))</f>
        <v>INDíTS EL EGY RÉSZIDŐS SAJÁT KISVÁLLALKOZÁST</v>
      </c>
      <c r="I58">
        <f>IF(COLUMNS($J$25:J$25)&lt;=$G27,INDEX(Adatok[[Cashflow]:[Cashflow]],_xlfn.AGGREGATE(15,3,(Adatok[[Ingatlanok]:[Ingatlanok]]=$H27)/(Adatok[[Ingatlanok]:[Ingatlanok]]=$H27)*(ROW(Adatok[[Ingatlanok]:[Ingatlanok]])-ROW(Adatok[[#Headers],[Ingatlanok]])),COLUMNS($J$25:J$25))),"")</f>
        <v>0</v>
      </c>
      <c r="J58" t="str">
        <f>IF(COLUMNS($J$25:K$25)&lt;=$G27,INDEX(Adatok[[Cashflow]:[Cashflow]],_xlfn.AGGREGATE(15,3,(Adatok[[Ingatlanok]:[Ingatlanok]]=$H27)/(Adatok[[Ingatlanok]:[Ingatlanok]]=$H27)*(ROW(Adatok[[Ingatlanok]:[Ingatlanok]])-ROW(Adatok[[#Headers],[Ár]])),COLUMNS($J$25:K$25))),"")</f>
        <v/>
      </c>
      <c r="K58" t="str">
        <f>IF(COLUMNS($J$25:L$25)&lt;=$G27,INDEX(Adatok[[Cashflow]:[Cashflow]],_xlfn.AGGREGATE(15,3,(Adatok[[Ingatlanok]:[Ingatlanok]]=$H27)/(Adatok[[Ingatlanok]:[Ingatlanok]]=$H27)*(ROW(Adatok[[Ingatlanok]:[Ingatlanok]])-ROW(Adatok[[#Headers],[Letét, jelzálog]])),COLUMNS($J$25:L$25))),"")</f>
        <v/>
      </c>
      <c r="L58" t="str">
        <f>IF(COLUMNS($J$25:M$25)&lt;=$G27,INDEX(Adatok[[Cashflow]:[Cashflow]],_xlfn.AGGREGATE(15,3,(Adatok[[Ingatlanok]:[Ingatlanok]]=$H27)/(Adatok[[Ingatlanok]:[Ingatlanok]]=$H27)*(ROW(Adatok[[Ingatlanok]:[Ingatlanok]])-ROW(Adatok[[#Headers],[Előleg]])),COLUMNS($J$25:M$25))),"")</f>
        <v/>
      </c>
      <c r="M58" t="str">
        <f>IF(COLUMNS($J$25:N$25)&lt;=$G27,INDEX(Adatok[[Cashflow]:[Cashflow]],_xlfn.AGGREGATE(15,3,(Adatok[[Ingatlanok]:[Ingatlanok]]=$H27)/(Adatok[[Ingatlanok]:[Ingatlanok]]=$H27)*(ROW(Adatok[[Ingatlanok]:[Ingatlanok]])-ROW(Adatok[[#Headers],[Cashflow]])),COLUMNS($J$25:N$25))),"")</f>
        <v/>
      </c>
      <c r="N58" t="str">
        <f>IF(COLUMNS($J$25:O$25)&lt;=$G27,INDEX(Adatok[[Cashflow]:[Cashflow]],_xlfn.AGGREGATE(15,3,(Adatok[[Ingatlanok]:[Ingatlanok]]=$H27)/(Adatok[[Ingatlanok]:[Ingatlanok]]=$H27)*(ROW(Adatok[[Ingatlanok]:[Ingatlanok]])-ROW(Adatok[[#Headers],[Ingatlanok]])),COLUMNS($J$25:O$25))),"")</f>
        <v/>
      </c>
      <c r="O58" t="str">
        <f>IF(COLUMNS($J$25:P$25)&lt;=$G27,INDEX(Adatok[[Cashflow]:[Cashflow]],_xlfn.AGGREGATE(15,3,(Adatok[[Ingatlanok]:[Ingatlanok]]=$H27)/(Adatok[[Ingatlanok]:[Ingatlanok]]=$H27)*(ROW(Adatok[[Ingatlanok]:[Ingatlanok]])-ROW(Adatok[[#Headers],[Ár]])),COLUMNS($J$25:P$25))),"")</f>
        <v/>
      </c>
      <c r="P58" t="str">
        <f>IF(COLUMNS($J$25:Q$25)&lt;=$G27,INDEX(Adatok[[Cashflow]:[Cashflow]],_xlfn.AGGREGATE(15,3,(Adatok[[Ingatlanok]:[Ingatlanok]]=$H27)/(Adatok[[Ingatlanok]:[Ingatlanok]]=$H27)*(ROW(Adatok[[Ingatlanok]:[Ingatlanok]])-ROW(Adatok[[#Headers],[Letét, jelzálog]])),COLUMNS($J$25:Q$25))),"")</f>
        <v/>
      </c>
      <c r="Q58" t="str">
        <f>IF(COLUMNS($J$25:R$25)&lt;=$G27,INDEX(Adatok[[Cashflow]:[Cashflow]],_xlfn.AGGREGATE(15,3,(Adatok[[Ingatlanok]:[Ingatlanok]]=$H27)/(Adatok[[Ingatlanok]:[Ingatlanok]]=$H27)*(ROW(Adatok[[Ingatlanok]:[Ingatlanok]])-ROW(Adatok[[#Headers],[Előleg]])),COLUMNS($J$25:R$25))),"")</f>
        <v/>
      </c>
      <c r="R58" t="str">
        <f>IF(COLUMNS($J$25:S$25)&lt;=$G27,INDEX(Adatok[[Cashflow]:[Cashflow]],_xlfn.AGGREGATE(15,3,(Adatok[[Ingatlanok]:[Ingatlanok]]=$H27)/(Adatok[[Ingatlanok]:[Ingatlanok]]=$H27)*(ROW(Adatok[[Ingatlanok]:[Ingatlanok]])-ROW(Adatok[[#Headers],[Cashflow]])),COLUMNS($J$25:S$25))),"")</f>
        <v/>
      </c>
      <c r="S58" t="str">
        <f>IF(COLUMNS($J$25:T$25)&lt;=$G27,INDEX(Adatok[[Cashflow]:[Cashflow]],_xlfn.AGGREGATE(15,3,(Adatok[[Ingatlanok]:[Ingatlanok]]=$H27)/(Adatok[[Ingatlanok]:[Ingatlanok]]=$H27)*(ROW(Adatok[[Ingatlanok]:[Ingatlanok]])-ROW(Adatok[[#Headers],[Ingatlanok]])),COLUMNS($J$25:T$25))),"")</f>
        <v/>
      </c>
      <c r="T58" t="str">
        <f>IF(COLUMNS($J$25:U$25)&lt;=$G27,INDEX(Adatok[[Cashflow]:[Cashflow]],_xlfn.AGGREGATE(15,3,(Adatok[[Ingatlanok]:[Ingatlanok]]=$H27)/(Adatok[[Ingatlanok]:[Ingatlanok]]=$H27)*(ROW(Adatok[[Ingatlanok]:[Ingatlanok]])-ROW(Adatok[[#Headers],[Ár]])),COLUMNS($J$25:U$25))),"")</f>
        <v/>
      </c>
      <c r="U58" t="str">
        <f>IF(COLUMNS($J$25:V$25)&lt;=$G27,INDEX(Adatok[[Cashflow]:[Cashflow]],_xlfn.AGGREGATE(15,3,(Adatok[[Ingatlanok]:[Ingatlanok]]=$H27)/(Adatok[[Ingatlanok]:[Ingatlanok]]=$H27)*(ROW(Adatok[[Ingatlanok]:[Ingatlanok]])-ROW(Adatok[[#Headers],[Letét, jelzálog]])),COLUMNS($J$25:V$25))),"")</f>
        <v/>
      </c>
      <c r="V58" t="str">
        <f>IF(COLUMNS($J$25:W$25)&lt;=$G27,INDEX(Adatok[[Cashflow]:[Cashflow]],_xlfn.AGGREGATE(15,3,(Adatok[[Ingatlanok]:[Ingatlanok]]=$H27)/(Adatok[[Ingatlanok]:[Ingatlanok]]=$H27)*(ROW(Adatok[[Ingatlanok]:[Ingatlanok]])-ROW(Adatok[[#Headers],[Előleg]])),COLUMNS($J$25:W$25))),"")</f>
        <v/>
      </c>
      <c r="W58" t="str">
        <f>IF(COLUMNS($J$25:X$25)&lt;=$G27,INDEX(Adatok[[Cashflow]:[Cashflow]],_xlfn.AGGREGATE(15,3,(Adatok[[Ingatlanok]:[Ingatlanok]]=$H27)/(Adatok[[Ingatlanok]:[Ingatlanok]]=$H27)*(ROW(Adatok[[Ingatlanok]:[Ingatlanok]])-ROW(Adatok[[#Headers],[Cashflow]])),COLUMNS($J$25:X$25))),"")</f>
        <v/>
      </c>
      <c r="X58" t="str">
        <f>IF(COLUMNS($J$25:Y$25)&lt;=$G27,INDEX(Adatok[[Cashflow]:[Cashflow]],_xlfn.AGGREGATE(15,3,(Adatok[[Ingatlanok]:[Ingatlanok]]=$H27)/(Adatok[[Ingatlanok]:[Ingatlanok]]=$H27)*(ROW(Adatok[[Ingatlanok]:[Ingatlanok]])-ROW(Adatok[[#Headers],[Ingatlanok]])),COLUMNS($J$25:Y$25))),"")</f>
        <v/>
      </c>
      <c r="Y58" t="str">
        <f>IF(COLUMNS($J$25:Z$25)&lt;=$G27,INDEX(Adatok[[Cashflow]:[Cashflow]],_xlfn.AGGREGATE(15,3,(Adatok[[Ingatlanok]:[Ingatlanok]]=$H27)/(Adatok[[Ingatlanok]:[Ingatlanok]]=$H27)*(ROW(Adatok[[Ingatlanok]:[Ingatlanok]])-ROW(Adatok[[#Headers],[Ár]])),COLUMNS($J$25:Z$25))),"")</f>
        <v/>
      </c>
      <c r="Z58" t="str">
        <f>IF(COLUMNS($J$25:AA$25)&lt;=$G27,INDEX(Adatok[[Cashflow]:[Cashflow]],_xlfn.AGGREGATE(15,3,(Adatok[[Ingatlanok]:[Ingatlanok]]=$H27)/(Adatok[[Ingatlanok]:[Ingatlanok]]=$H27)*(ROW(Adatok[[Ingatlanok]:[Ingatlanok]])-ROW(Adatok[[#Headers],[Letét, jelzálog]])),COLUMNS($J$25:AA$25))),"")</f>
        <v/>
      </c>
      <c r="AA58" t="str">
        <f>IF(COLUMNS($J$25:AB$25)&lt;=$G27,INDEX(Adatok[[Cashflow]:[Cashflow]],_xlfn.AGGREGATE(15,3,(Adatok[[Ingatlanok]:[Ingatlanok]]=$H27)/(Adatok[[Ingatlanok]:[Ingatlanok]]=$H27)*(ROW(Adatok[[Ingatlanok]:[Ingatlanok]])-ROW(Adatok[[#Headers],[Előleg]])),COLUMNS($J$25:AB$25))),"")</f>
        <v/>
      </c>
      <c r="AB58" t="str">
        <f>IF(COLUMNS($J$25:AC$25)&lt;=$G27,INDEX(Adatok[[Cashflow]:[Cashflow]],_xlfn.AGGREGATE(15,3,(Adatok[[Ingatlanok]:[Ingatlanok]]=$H27)/(Adatok[[Ingatlanok]:[Ingatlanok]]=$H27)*(ROW(Adatok[[Ingatlanok]:[Ingatlanok]])-ROW(Adatok[[#Headers],[Cashflow]])),COLUMNS($J$25:AC$25))),"")</f>
        <v/>
      </c>
      <c r="AC58" t="str">
        <f>IF(COLUMNS($J$25:AD$25)&lt;=$G27,INDEX(Adatok[[Cashflow]:[Cashflow]],_xlfn.AGGREGATE(15,3,(Adatok[[Ingatlanok]:[Ingatlanok]]=$H27)/(Adatok[[Ingatlanok]:[Ingatlanok]]=$H27)*(ROW(Adatok[[Ingatlanok]:[Ingatlanok]])-ROW(Adatok[[#Headers],[Ingatlanok]])),COLUMNS($J$25:AD$25))),"")</f>
        <v/>
      </c>
      <c r="AD58" t="str">
        <f>IF(COLUMNS($J$25:AE$25)&lt;=$G27,INDEX(Adatok[[Cashflow]:[Cashflow]],_xlfn.AGGREGATE(15,3,(Adatok[[Ingatlanok]:[Ingatlanok]]=$H27)/(Adatok[[Ingatlanok]:[Ingatlanok]]=$H27)*(ROW(Adatok[[Ingatlanok]:[Ingatlanok]])-ROW(Adatok[[#Headers],[Ár]])),COLUMNS($J$25:AE$25))),"")</f>
        <v/>
      </c>
    </row>
    <row r="59" spans="1:30" x14ac:dyDescent="0.25">
      <c r="A59" s="47" t="s">
        <v>123</v>
      </c>
      <c r="B59" s="47">
        <v>90000</v>
      </c>
      <c r="C59" s="47">
        <v>75000</v>
      </c>
      <c r="D59" s="47">
        <v>15000</v>
      </c>
      <c r="E59" s="47">
        <v>500</v>
      </c>
      <c r="G59">
        <f>COUNTIF(Adatok[Ingatlanok],H59)</f>
        <v>1</v>
      </c>
      <c r="H59" s="57" t="str">
        <f>INDEX(Adatok[Ingatlanok],MATCH(0,INDEX(COUNTIF($H$56:H58,Adatok[Ingatlanok]),),0))</f>
        <v>4 HEKTÁROS MEGMŰVELETLEN TERÜLET</v>
      </c>
      <c r="I59">
        <f>IF(COLUMNS($J$25:J$25)&lt;=$G28,INDEX(Adatok[[Cashflow]:[Cashflow]],_xlfn.AGGREGATE(15,3,(Adatok[[Ingatlanok]:[Ingatlanok]]=$H28)/(Adatok[[Ingatlanok]:[Ingatlanok]]=$H28)*(ROW(Adatok[[Ingatlanok]:[Ingatlanok]])-ROW(Adatok[[#Headers],[Ingatlanok]])),COLUMNS($J$25:J$25))),"")</f>
        <v>0</v>
      </c>
      <c r="J59" t="str">
        <f>IF(COLUMNS($J$25:K$25)&lt;=$G28,INDEX(Adatok[[Cashflow]:[Cashflow]],_xlfn.AGGREGATE(15,3,(Adatok[[Ingatlanok]:[Ingatlanok]]=$H28)/(Adatok[[Ingatlanok]:[Ingatlanok]]=$H28)*(ROW(Adatok[[Ingatlanok]:[Ingatlanok]])-ROW(Adatok[[#Headers],[Ár]])),COLUMNS($J$25:K$25))),"")</f>
        <v/>
      </c>
      <c r="K59" t="str">
        <f>IF(COLUMNS($J$25:L$25)&lt;=$G28,INDEX(Adatok[[Cashflow]:[Cashflow]],_xlfn.AGGREGATE(15,3,(Adatok[[Ingatlanok]:[Ingatlanok]]=$H28)/(Adatok[[Ingatlanok]:[Ingatlanok]]=$H28)*(ROW(Adatok[[Ingatlanok]:[Ingatlanok]])-ROW(Adatok[[#Headers],[Letét, jelzálog]])),COLUMNS($J$25:L$25))),"")</f>
        <v/>
      </c>
      <c r="L59" t="str">
        <f>IF(COLUMNS($J$25:M$25)&lt;=$G28,INDEX(Adatok[[Cashflow]:[Cashflow]],_xlfn.AGGREGATE(15,3,(Adatok[[Ingatlanok]:[Ingatlanok]]=$H28)/(Adatok[[Ingatlanok]:[Ingatlanok]]=$H28)*(ROW(Adatok[[Ingatlanok]:[Ingatlanok]])-ROW(Adatok[[#Headers],[Előleg]])),COLUMNS($J$25:M$25))),"")</f>
        <v/>
      </c>
      <c r="M59" t="str">
        <f>IF(COLUMNS($J$25:N$25)&lt;=$G28,INDEX(Adatok[[Cashflow]:[Cashflow]],_xlfn.AGGREGATE(15,3,(Adatok[[Ingatlanok]:[Ingatlanok]]=$H28)/(Adatok[[Ingatlanok]:[Ingatlanok]]=$H28)*(ROW(Adatok[[Ingatlanok]:[Ingatlanok]])-ROW(Adatok[[#Headers],[Cashflow]])),COLUMNS($J$25:N$25))),"")</f>
        <v/>
      </c>
      <c r="N59" t="str">
        <f>IF(COLUMNS($J$25:O$25)&lt;=$G28,INDEX(Adatok[[Cashflow]:[Cashflow]],_xlfn.AGGREGATE(15,3,(Adatok[[Ingatlanok]:[Ingatlanok]]=$H28)/(Adatok[[Ingatlanok]:[Ingatlanok]]=$H28)*(ROW(Adatok[[Ingatlanok]:[Ingatlanok]])-ROW(Adatok[[#Headers],[Ingatlanok]])),COLUMNS($J$25:O$25))),"")</f>
        <v/>
      </c>
      <c r="O59" t="str">
        <f>IF(COLUMNS($J$25:P$25)&lt;=$G28,INDEX(Adatok[[Cashflow]:[Cashflow]],_xlfn.AGGREGATE(15,3,(Adatok[[Ingatlanok]:[Ingatlanok]]=$H28)/(Adatok[[Ingatlanok]:[Ingatlanok]]=$H28)*(ROW(Adatok[[Ingatlanok]:[Ingatlanok]])-ROW(Adatok[[#Headers],[Ár]])),COLUMNS($J$25:P$25))),"")</f>
        <v/>
      </c>
      <c r="P59" t="str">
        <f>IF(COLUMNS($J$25:Q$25)&lt;=$G28,INDEX(Adatok[[Cashflow]:[Cashflow]],_xlfn.AGGREGATE(15,3,(Adatok[[Ingatlanok]:[Ingatlanok]]=$H28)/(Adatok[[Ingatlanok]:[Ingatlanok]]=$H28)*(ROW(Adatok[[Ingatlanok]:[Ingatlanok]])-ROW(Adatok[[#Headers],[Letét, jelzálog]])),COLUMNS($J$25:Q$25))),"")</f>
        <v/>
      </c>
      <c r="Q59" t="str">
        <f>IF(COLUMNS($J$25:R$25)&lt;=$G28,INDEX(Adatok[[Cashflow]:[Cashflow]],_xlfn.AGGREGATE(15,3,(Adatok[[Ingatlanok]:[Ingatlanok]]=$H28)/(Adatok[[Ingatlanok]:[Ingatlanok]]=$H28)*(ROW(Adatok[[Ingatlanok]:[Ingatlanok]])-ROW(Adatok[[#Headers],[Előleg]])),COLUMNS($J$25:R$25))),"")</f>
        <v/>
      </c>
      <c r="R59" t="str">
        <f>IF(COLUMNS($J$25:S$25)&lt;=$G28,INDEX(Adatok[[Cashflow]:[Cashflow]],_xlfn.AGGREGATE(15,3,(Adatok[[Ingatlanok]:[Ingatlanok]]=$H28)/(Adatok[[Ingatlanok]:[Ingatlanok]]=$H28)*(ROW(Adatok[[Ingatlanok]:[Ingatlanok]])-ROW(Adatok[[#Headers],[Cashflow]])),COLUMNS($J$25:S$25))),"")</f>
        <v/>
      </c>
      <c r="S59" t="str">
        <f>IF(COLUMNS($J$25:T$25)&lt;=$G28,INDEX(Adatok[[Cashflow]:[Cashflow]],_xlfn.AGGREGATE(15,3,(Adatok[[Ingatlanok]:[Ingatlanok]]=$H28)/(Adatok[[Ingatlanok]:[Ingatlanok]]=$H28)*(ROW(Adatok[[Ingatlanok]:[Ingatlanok]])-ROW(Adatok[[#Headers],[Ingatlanok]])),COLUMNS($J$25:T$25))),"")</f>
        <v/>
      </c>
      <c r="T59" t="str">
        <f>IF(COLUMNS($J$25:U$25)&lt;=$G28,INDEX(Adatok[[Cashflow]:[Cashflow]],_xlfn.AGGREGATE(15,3,(Adatok[[Ingatlanok]:[Ingatlanok]]=$H28)/(Adatok[[Ingatlanok]:[Ingatlanok]]=$H28)*(ROW(Adatok[[Ingatlanok]:[Ingatlanok]])-ROW(Adatok[[#Headers],[Ár]])),COLUMNS($J$25:U$25))),"")</f>
        <v/>
      </c>
      <c r="U59" t="str">
        <f>IF(COLUMNS($J$25:V$25)&lt;=$G28,INDEX(Adatok[[Cashflow]:[Cashflow]],_xlfn.AGGREGATE(15,3,(Adatok[[Ingatlanok]:[Ingatlanok]]=$H28)/(Adatok[[Ingatlanok]:[Ingatlanok]]=$H28)*(ROW(Adatok[[Ingatlanok]:[Ingatlanok]])-ROW(Adatok[[#Headers],[Letét, jelzálog]])),COLUMNS($J$25:V$25))),"")</f>
        <v/>
      </c>
      <c r="V59" t="str">
        <f>IF(COLUMNS($J$25:W$25)&lt;=$G28,INDEX(Adatok[[Cashflow]:[Cashflow]],_xlfn.AGGREGATE(15,3,(Adatok[[Ingatlanok]:[Ingatlanok]]=$H28)/(Adatok[[Ingatlanok]:[Ingatlanok]]=$H28)*(ROW(Adatok[[Ingatlanok]:[Ingatlanok]])-ROW(Adatok[[#Headers],[Előleg]])),COLUMNS($J$25:W$25))),"")</f>
        <v/>
      </c>
      <c r="W59" t="str">
        <f>IF(COLUMNS($J$25:X$25)&lt;=$G28,INDEX(Adatok[[Cashflow]:[Cashflow]],_xlfn.AGGREGATE(15,3,(Adatok[[Ingatlanok]:[Ingatlanok]]=$H28)/(Adatok[[Ingatlanok]:[Ingatlanok]]=$H28)*(ROW(Adatok[[Ingatlanok]:[Ingatlanok]])-ROW(Adatok[[#Headers],[Cashflow]])),COLUMNS($J$25:X$25))),"")</f>
        <v/>
      </c>
      <c r="X59" t="str">
        <f>IF(COLUMNS($J$25:Y$25)&lt;=$G28,INDEX(Adatok[[Cashflow]:[Cashflow]],_xlfn.AGGREGATE(15,3,(Adatok[[Ingatlanok]:[Ingatlanok]]=$H28)/(Adatok[[Ingatlanok]:[Ingatlanok]]=$H28)*(ROW(Adatok[[Ingatlanok]:[Ingatlanok]])-ROW(Adatok[[#Headers],[Ingatlanok]])),COLUMNS($J$25:Y$25))),"")</f>
        <v/>
      </c>
      <c r="Y59" t="str">
        <f>IF(COLUMNS($J$25:Z$25)&lt;=$G28,INDEX(Adatok[[Cashflow]:[Cashflow]],_xlfn.AGGREGATE(15,3,(Adatok[[Ingatlanok]:[Ingatlanok]]=$H28)/(Adatok[[Ingatlanok]:[Ingatlanok]]=$H28)*(ROW(Adatok[[Ingatlanok]:[Ingatlanok]])-ROW(Adatok[[#Headers],[Ár]])),COLUMNS($J$25:Z$25))),"")</f>
        <v/>
      </c>
      <c r="Z59" t="str">
        <f>IF(COLUMNS($J$25:AA$25)&lt;=$G28,INDEX(Adatok[[Cashflow]:[Cashflow]],_xlfn.AGGREGATE(15,3,(Adatok[[Ingatlanok]:[Ingatlanok]]=$H28)/(Adatok[[Ingatlanok]:[Ingatlanok]]=$H28)*(ROW(Adatok[[Ingatlanok]:[Ingatlanok]])-ROW(Adatok[[#Headers],[Letét, jelzálog]])),COLUMNS($J$25:AA$25))),"")</f>
        <v/>
      </c>
      <c r="AA59" t="str">
        <f>IF(COLUMNS($J$25:AB$25)&lt;=$G28,INDEX(Adatok[[Cashflow]:[Cashflow]],_xlfn.AGGREGATE(15,3,(Adatok[[Ingatlanok]:[Ingatlanok]]=$H28)/(Adatok[[Ingatlanok]:[Ingatlanok]]=$H28)*(ROW(Adatok[[Ingatlanok]:[Ingatlanok]])-ROW(Adatok[[#Headers],[Előleg]])),COLUMNS($J$25:AB$25))),"")</f>
        <v/>
      </c>
      <c r="AB59" t="str">
        <f>IF(COLUMNS($J$25:AC$25)&lt;=$G28,INDEX(Adatok[[Cashflow]:[Cashflow]],_xlfn.AGGREGATE(15,3,(Adatok[[Ingatlanok]:[Ingatlanok]]=$H28)/(Adatok[[Ingatlanok]:[Ingatlanok]]=$H28)*(ROW(Adatok[[Ingatlanok]:[Ingatlanok]])-ROW(Adatok[[#Headers],[Cashflow]])),COLUMNS($J$25:AC$25))),"")</f>
        <v/>
      </c>
      <c r="AC59" t="str">
        <f>IF(COLUMNS($J$25:AD$25)&lt;=$G28,INDEX(Adatok[[Cashflow]:[Cashflow]],_xlfn.AGGREGATE(15,3,(Adatok[[Ingatlanok]:[Ingatlanok]]=$H28)/(Adatok[[Ingatlanok]:[Ingatlanok]]=$H28)*(ROW(Adatok[[Ingatlanok]:[Ingatlanok]])-ROW(Adatok[[#Headers],[Ingatlanok]])),COLUMNS($J$25:AD$25))),"")</f>
        <v/>
      </c>
      <c r="AD59" t="str">
        <f>IF(COLUMNS($J$25:AE$25)&lt;=$G28,INDEX(Adatok[[Cashflow]:[Cashflow]],_xlfn.AGGREGATE(15,3,(Adatok[[Ingatlanok]:[Ingatlanok]]=$H28)/(Adatok[[Ingatlanok]:[Ingatlanok]]=$H28)*(ROW(Adatok[[Ingatlanok]:[Ingatlanok]])-ROW(Adatok[[#Headers],[Ár]])),COLUMNS($J$25:AE$25))),"")</f>
        <v/>
      </c>
    </row>
    <row r="60" spans="1:30" x14ac:dyDescent="0.25">
      <c r="A60" s="47" t="s">
        <v>123</v>
      </c>
      <c r="B60" s="47">
        <v>100000</v>
      </c>
      <c r="C60" s="47">
        <v>80000</v>
      </c>
      <c r="D60" s="47">
        <v>20000</v>
      </c>
      <c r="E60" s="47">
        <v>800</v>
      </c>
      <c r="G60">
        <f>COUNTIF(Adatok[Ingatlanok],H60)</f>
        <v>1</v>
      </c>
      <c r="H60" s="57" t="str">
        <f>INDEX(Adatok[Ingatlanok],MATCH(0,INDEX(COUNTIF($H$56:H59,Adatok[Ingatlanok]),),0))</f>
        <v>8 HA FÖLDTERÜLET</v>
      </c>
      <c r="I60">
        <f>IF(COLUMNS($J$25:J$25)&lt;=$G29,INDEX(Adatok[[Cashflow]:[Cashflow]],_xlfn.AGGREGATE(15,3,(Adatok[[Ingatlanok]:[Ingatlanok]]=$H29)/(Adatok[[Ingatlanok]:[Ingatlanok]]=$H29)*(ROW(Adatok[[Ingatlanok]:[Ingatlanok]])-ROW(Adatok[[#Headers],[Ingatlanok]])),COLUMNS($J$25:J$25))),"")</f>
        <v>0</v>
      </c>
      <c r="J60" t="str">
        <f>IF(COLUMNS($J$25:K$25)&lt;=$G29,INDEX(Adatok[[Cashflow]:[Cashflow]],_xlfn.AGGREGATE(15,3,(Adatok[[Ingatlanok]:[Ingatlanok]]=$H29)/(Adatok[[Ingatlanok]:[Ingatlanok]]=$H29)*(ROW(Adatok[[Ingatlanok]:[Ingatlanok]])-ROW(Adatok[[#Headers],[Ár]])),COLUMNS($J$25:K$25))),"")</f>
        <v/>
      </c>
      <c r="K60" t="str">
        <f>IF(COLUMNS($J$25:L$25)&lt;=$G29,INDEX(Adatok[[Cashflow]:[Cashflow]],_xlfn.AGGREGATE(15,3,(Adatok[[Ingatlanok]:[Ingatlanok]]=$H29)/(Adatok[[Ingatlanok]:[Ingatlanok]]=$H29)*(ROW(Adatok[[Ingatlanok]:[Ingatlanok]])-ROW(Adatok[[#Headers],[Letét, jelzálog]])),COLUMNS($J$25:L$25))),"")</f>
        <v/>
      </c>
      <c r="L60" t="str">
        <f>IF(COLUMNS($J$25:M$25)&lt;=$G29,INDEX(Adatok[[Cashflow]:[Cashflow]],_xlfn.AGGREGATE(15,3,(Adatok[[Ingatlanok]:[Ingatlanok]]=$H29)/(Adatok[[Ingatlanok]:[Ingatlanok]]=$H29)*(ROW(Adatok[[Ingatlanok]:[Ingatlanok]])-ROW(Adatok[[#Headers],[Előleg]])),COLUMNS($J$25:M$25))),"")</f>
        <v/>
      </c>
      <c r="M60" t="str">
        <f>IF(COLUMNS($J$25:N$25)&lt;=$G29,INDEX(Adatok[[Cashflow]:[Cashflow]],_xlfn.AGGREGATE(15,3,(Adatok[[Ingatlanok]:[Ingatlanok]]=$H29)/(Adatok[[Ingatlanok]:[Ingatlanok]]=$H29)*(ROW(Adatok[[Ingatlanok]:[Ingatlanok]])-ROW(Adatok[[#Headers],[Cashflow]])),COLUMNS($J$25:N$25))),"")</f>
        <v/>
      </c>
      <c r="N60" t="str">
        <f>IF(COLUMNS($J$25:O$25)&lt;=$G29,INDEX(Adatok[[Cashflow]:[Cashflow]],_xlfn.AGGREGATE(15,3,(Adatok[[Ingatlanok]:[Ingatlanok]]=$H29)/(Adatok[[Ingatlanok]:[Ingatlanok]]=$H29)*(ROW(Adatok[[Ingatlanok]:[Ingatlanok]])-ROW(Adatok[[#Headers],[Ingatlanok]])),COLUMNS($J$25:O$25))),"")</f>
        <v/>
      </c>
      <c r="O60" t="str">
        <f>IF(COLUMNS($J$25:P$25)&lt;=$G29,INDEX(Adatok[[Cashflow]:[Cashflow]],_xlfn.AGGREGATE(15,3,(Adatok[[Ingatlanok]:[Ingatlanok]]=$H29)/(Adatok[[Ingatlanok]:[Ingatlanok]]=$H29)*(ROW(Adatok[[Ingatlanok]:[Ingatlanok]])-ROW(Adatok[[#Headers],[Ár]])),COLUMNS($J$25:P$25))),"")</f>
        <v/>
      </c>
      <c r="P60" t="str">
        <f>IF(COLUMNS($J$25:Q$25)&lt;=$G29,INDEX(Adatok[[Cashflow]:[Cashflow]],_xlfn.AGGREGATE(15,3,(Adatok[[Ingatlanok]:[Ingatlanok]]=$H29)/(Adatok[[Ingatlanok]:[Ingatlanok]]=$H29)*(ROW(Adatok[[Ingatlanok]:[Ingatlanok]])-ROW(Adatok[[#Headers],[Letét, jelzálog]])),COLUMNS($J$25:Q$25))),"")</f>
        <v/>
      </c>
      <c r="Q60" t="str">
        <f>IF(COLUMNS($J$25:R$25)&lt;=$G29,INDEX(Adatok[[Cashflow]:[Cashflow]],_xlfn.AGGREGATE(15,3,(Adatok[[Ingatlanok]:[Ingatlanok]]=$H29)/(Adatok[[Ingatlanok]:[Ingatlanok]]=$H29)*(ROW(Adatok[[Ingatlanok]:[Ingatlanok]])-ROW(Adatok[[#Headers],[Előleg]])),COLUMNS($J$25:R$25))),"")</f>
        <v/>
      </c>
      <c r="R60" t="str">
        <f>IF(COLUMNS($J$25:S$25)&lt;=$G29,INDEX(Adatok[[Cashflow]:[Cashflow]],_xlfn.AGGREGATE(15,3,(Adatok[[Ingatlanok]:[Ingatlanok]]=$H29)/(Adatok[[Ingatlanok]:[Ingatlanok]]=$H29)*(ROW(Adatok[[Ingatlanok]:[Ingatlanok]])-ROW(Adatok[[#Headers],[Cashflow]])),COLUMNS($J$25:S$25))),"")</f>
        <v/>
      </c>
      <c r="S60" t="str">
        <f>IF(COLUMNS($J$25:T$25)&lt;=$G29,INDEX(Adatok[[Cashflow]:[Cashflow]],_xlfn.AGGREGATE(15,3,(Adatok[[Ingatlanok]:[Ingatlanok]]=$H29)/(Adatok[[Ingatlanok]:[Ingatlanok]]=$H29)*(ROW(Adatok[[Ingatlanok]:[Ingatlanok]])-ROW(Adatok[[#Headers],[Ingatlanok]])),COLUMNS($J$25:T$25))),"")</f>
        <v/>
      </c>
      <c r="T60" t="str">
        <f>IF(COLUMNS($J$25:U$25)&lt;=$G29,INDEX(Adatok[[Cashflow]:[Cashflow]],_xlfn.AGGREGATE(15,3,(Adatok[[Ingatlanok]:[Ingatlanok]]=$H29)/(Adatok[[Ingatlanok]:[Ingatlanok]]=$H29)*(ROW(Adatok[[Ingatlanok]:[Ingatlanok]])-ROW(Adatok[[#Headers],[Ár]])),COLUMNS($J$25:U$25))),"")</f>
        <v/>
      </c>
      <c r="U60" t="str">
        <f>IF(COLUMNS($J$25:V$25)&lt;=$G29,INDEX(Adatok[[Cashflow]:[Cashflow]],_xlfn.AGGREGATE(15,3,(Adatok[[Ingatlanok]:[Ingatlanok]]=$H29)/(Adatok[[Ingatlanok]:[Ingatlanok]]=$H29)*(ROW(Adatok[[Ingatlanok]:[Ingatlanok]])-ROW(Adatok[[#Headers],[Letét, jelzálog]])),COLUMNS($J$25:V$25))),"")</f>
        <v/>
      </c>
      <c r="V60" t="str">
        <f>IF(COLUMNS($J$25:W$25)&lt;=$G29,INDEX(Adatok[[Cashflow]:[Cashflow]],_xlfn.AGGREGATE(15,3,(Adatok[[Ingatlanok]:[Ingatlanok]]=$H29)/(Adatok[[Ingatlanok]:[Ingatlanok]]=$H29)*(ROW(Adatok[[Ingatlanok]:[Ingatlanok]])-ROW(Adatok[[#Headers],[Előleg]])),COLUMNS($J$25:W$25))),"")</f>
        <v/>
      </c>
      <c r="W60" t="str">
        <f>IF(COLUMNS($J$25:X$25)&lt;=$G29,INDEX(Adatok[[Cashflow]:[Cashflow]],_xlfn.AGGREGATE(15,3,(Adatok[[Ingatlanok]:[Ingatlanok]]=$H29)/(Adatok[[Ingatlanok]:[Ingatlanok]]=$H29)*(ROW(Adatok[[Ingatlanok]:[Ingatlanok]])-ROW(Adatok[[#Headers],[Cashflow]])),COLUMNS($J$25:X$25))),"")</f>
        <v/>
      </c>
      <c r="X60" t="str">
        <f>IF(COLUMNS($J$25:Y$25)&lt;=$G29,INDEX(Adatok[[Cashflow]:[Cashflow]],_xlfn.AGGREGATE(15,3,(Adatok[[Ingatlanok]:[Ingatlanok]]=$H29)/(Adatok[[Ingatlanok]:[Ingatlanok]]=$H29)*(ROW(Adatok[[Ingatlanok]:[Ingatlanok]])-ROW(Adatok[[#Headers],[Ingatlanok]])),COLUMNS($J$25:Y$25))),"")</f>
        <v/>
      </c>
      <c r="Y60" t="str">
        <f>IF(COLUMNS($J$25:Z$25)&lt;=$G29,INDEX(Adatok[[Cashflow]:[Cashflow]],_xlfn.AGGREGATE(15,3,(Adatok[[Ingatlanok]:[Ingatlanok]]=$H29)/(Adatok[[Ingatlanok]:[Ingatlanok]]=$H29)*(ROW(Adatok[[Ingatlanok]:[Ingatlanok]])-ROW(Adatok[[#Headers],[Ár]])),COLUMNS($J$25:Z$25))),"")</f>
        <v/>
      </c>
      <c r="Z60" t="str">
        <f>IF(COLUMNS($J$25:AA$25)&lt;=$G29,INDEX(Adatok[[Cashflow]:[Cashflow]],_xlfn.AGGREGATE(15,3,(Adatok[[Ingatlanok]:[Ingatlanok]]=$H29)/(Adatok[[Ingatlanok]:[Ingatlanok]]=$H29)*(ROW(Adatok[[Ingatlanok]:[Ingatlanok]])-ROW(Adatok[[#Headers],[Letét, jelzálog]])),COLUMNS($J$25:AA$25))),"")</f>
        <v/>
      </c>
      <c r="AA60" t="str">
        <f>IF(COLUMNS($J$25:AB$25)&lt;=$G29,INDEX(Adatok[[Cashflow]:[Cashflow]],_xlfn.AGGREGATE(15,3,(Adatok[[Ingatlanok]:[Ingatlanok]]=$H29)/(Adatok[[Ingatlanok]:[Ingatlanok]]=$H29)*(ROW(Adatok[[Ingatlanok]:[Ingatlanok]])-ROW(Adatok[[#Headers],[Előleg]])),COLUMNS($J$25:AB$25))),"")</f>
        <v/>
      </c>
      <c r="AB60" t="str">
        <f>IF(COLUMNS($J$25:AC$25)&lt;=$G29,INDEX(Adatok[[Cashflow]:[Cashflow]],_xlfn.AGGREGATE(15,3,(Adatok[[Ingatlanok]:[Ingatlanok]]=$H29)/(Adatok[[Ingatlanok]:[Ingatlanok]]=$H29)*(ROW(Adatok[[Ingatlanok]:[Ingatlanok]])-ROW(Adatok[[#Headers],[Cashflow]])),COLUMNS($J$25:AC$25))),"")</f>
        <v/>
      </c>
      <c r="AC60" t="str">
        <f>IF(COLUMNS($J$25:AD$25)&lt;=$G29,INDEX(Adatok[[Cashflow]:[Cashflow]],_xlfn.AGGREGATE(15,3,(Adatok[[Ingatlanok]:[Ingatlanok]]=$H29)/(Adatok[[Ingatlanok]:[Ingatlanok]]=$H29)*(ROW(Adatok[[Ingatlanok]:[Ingatlanok]])-ROW(Adatok[[#Headers],[Ingatlanok]])),COLUMNS($J$25:AD$25))),"")</f>
        <v/>
      </c>
      <c r="AD60" t="str">
        <f>IF(COLUMNS($J$25:AE$25)&lt;=$G29,INDEX(Adatok[[Cashflow]:[Cashflow]],_xlfn.AGGREGATE(15,3,(Adatok[[Ingatlanok]:[Ingatlanok]]=$H29)/(Adatok[[Ingatlanok]:[Ingatlanok]]=$H29)*(ROW(Adatok[[Ingatlanok]:[Ingatlanok]])-ROW(Adatok[[#Headers],[Ár]])),COLUMNS($J$25:AE$25))),"")</f>
        <v/>
      </c>
    </row>
    <row r="61" spans="1:30" x14ac:dyDescent="0.25">
      <c r="A61" s="47" t="s">
        <v>126</v>
      </c>
      <c r="B61" s="47">
        <v>100000</v>
      </c>
      <c r="C61" s="47">
        <v>80000</v>
      </c>
      <c r="D61" s="47">
        <v>20000</v>
      </c>
      <c r="E61" s="47">
        <v>1600</v>
      </c>
      <c r="G61">
        <f>COUNTIF(Adatok[Ingatlanok],H61)</f>
        <v>4</v>
      </c>
      <c r="H61" s="57" t="str">
        <f>INDEX(Adatok[Ingatlanok],MATCH(0,INDEX(COUNTIF($H$56:H60,Adatok[Ingatlanok]),),0))</f>
        <v>CSENDESTÁRS</v>
      </c>
      <c r="I61">
        <f>IF(COLUMNS($J$25:J$25)&lt;=$G30,INDEX(Adatok[[Cashflow]:[Cashflow]],_xlfn.AGGREGATE(15,3,(Adatok[[Ingatlanok]:[Ingatlanok]]=$H30)/(Adatok[[Ingatlanok]:[Ingatlanok]]=$H30)*(ROW(Adatok[[Ingatlanok]:[Ingatlanok]])-ROW(Adatok[[#Headers],[Ingatlanok]])),COLUMNS($J$25:J$25))),"")</f>
        <v>800</v>
      </c>
      <c r="J61">
        <f>IF(COLUMNS($J$25:K$25)&lt;=$G30,INDEX(Adatok[[Cashflow]:[Cashflow]],_xlfn.AGGREGATE(15,3,(Adatok[[Ingatlanok]:[Ingatlanok]]=$H30)/(Adatok[[Ingatlanok]:[Ingatlanok]]=$H30)*(ROW(Adatok[[Ingatlanok]:[Ingatlanok]])-ROW(Adatok[[#Headers],[Ár]])),COLUMNS($J$25:K$25))),"")</f>
        <v>1000</v>
      </c>
      <c r="K61">
        <f>IF(COLUMNS($J$25:L$25)&lt;=$G30,INDEX(Adatok[[Cashflow]:[Cashflow]],_xlfn.AGGREGATE(15,3,(Adatok[[Ingatlanok]:[Ingatlanok]]=$H30)/(Adatok[[Ingatlanok]:[Ingatlanok]]=$H30)*(ROW(Adatok[[Ingatlanok]:[Ingatlanok]])-ROW(Adatok[[#Headers],[Letét, jelzálog]])),COLUMNS($J$25:L$25))),"")</f>
        <v>1000</v>
      </c>
      <c r="L61">
        <f>IF(COLUMNS($J$25:M$25)&lt;=$G30,INDEX(Adatok[[Cashflow]:[Cashflow]],_xlfn.AGGREGATE(15,3,(Adatok[[Ingatlanok]:[Ingatlanok]]=$H30)/(Adatok[[Ingatlanok]:[Ingatlanok]]=$H30)*(ROW(Adatok[[Ingatlanok]:[Ingatlanok]])-ROW(Adatok[[#Headers],[Előleg]])),COLUMNS($J$25:M$25))),"")</f>
        <v>1500</v>
      </c>
      <c r="M61" t="str">
        <f>IF(COLUMNS($J$25:N$25)&lt;=$G30,INDEX(Adatok[[Cashflow]:[Cashflow]],_xlfn.AGGREGATE(15,3,(Adatok[[Ingatlanok]:[Ingatlanok]]=$H30)/(Adatok[[Ingatlanok]:[Ingatlanok]]=$H30)*(ROW(Adatok[[Ingatlanok]:[Ingatlanok]])-ROW(Adatok[[#Headers],[Cashflow]])),COLUMNS($J$25:N$25))),"")</f>
        <v/>
      </c>
      <c r="N61" t="str">
        <f>IF(COLUMNS($J$25:O$25)&lt;=$G30,INDEX(Adatok[[Cashflow]:[Cashflow]],_xlfn.AGGREGATE(15,3,(Adatok[[Ingatlanok]:[Ingatlanok]]=$H30)/(Adatok[[Ingatlanok]:[Ingatlanok]]=$H30)*(ROW(Adatok[[Ingatlanok]:[Ingatlanok]])-ROW(Adatok[[#Headers],[Ingatlanok]])),COLUMNS($J$25:O$25))),"")</f>
        <v/>
      </c>
      <c r="O61" t="str">
        <f>IF(COLUMNS($J$25:P$25)&lt;=$G30,INDEX(Adatok[[Cashflow]:[Cashflow]],_xlfn.AGGREGATE(15,3,(Adatok[[Ingatlanok]:[Ingatlanok]]=$H30)/(Adatok[[Ingatlanok]:[Ingatlanok]]=$H30)*(ROW(Adatok[[Ingatlanok]:[Ingatlanok]])-ROW(Adatok[[#Headers],[Ár]])),COLUMNS($J$25:P$25))),"")</f>
        <v/>
      </c>
      <c r="P61" t="str">
        <f>IF(COLUMNS($J$25:Q$25)&lt;=$G30,INDEX(Adatok[[Cashflow]:[Cashflow]],_xlfn.AGGREGATE(15,3,(Adatok[[Ingatlanok]:[Ingatlanok]]=$H30)/(Adatok[[Ingatlanok]:[Ingatlanok]]=$H30)*(ROW(Adatok[[Ingatlanok]:[Ingatlanok]])-ROW(Adatok[[#Headers],[Letét, jelzálog]])),COLUMNS($J$25:Q$25))),"")</f>
        <v/>
      </c>
      <c r="Q61" t="str">
        <f>IF(COLUMNS($J$25:R$25)&lt;=$G30,INDEX(Adatok[[Cashflow]:[Cashflow]],_xlfn.AGGREGATE(15,3,(Adatok[[Ingatlanok]:[Ingatlanok]]=$H30)/(Adatok[[Ingatlanok]:[Ingatlanok]]=$H30)*(ROW(Adatok[[Ingatlanok]:[Ingatlanok]])-ROW(Adatok[[#Headers],[Előleg]])),COLUMNS($J$25:R$25))),"")</f>
        <v/>
      </c>
      <c r="R61" t="str">
        <f>IF(COLUMNS($J$25:S$25)&lt;=$G30,INDEX(Adatok[[Cashflow]:[Cashflow]],_xlfn.AGGREGATE(15,3,(Adatok[[Ingatlanok]:[Ingatlanok]]=$H30)/(Adatok[[Ingatlanok]:[Ingatlanok]]=$H30)*(ROW(Adatok[[Ingatlanok]:[Ingatlanok]])-ROW(Adatok[[#Headers],[Cashflow]])),COLUMNS($J$25:S$25))),"")</f>
        <v/>
      </c>
      <c r="S61" t="str">
        <f>IF(COLUMNS($J$25:T$25)&lt;=$G30,INDEX(Adatok[[Cashflow]:[Cashflow]],_xlfn.AGGREGATE(15,3,(Adatok[[Ingatlanok]:[Ingatlanok]]=$H30)/(Adatok[[Ingatlanok]:[Ingatlanok]]=$H30)*(ROW(Adatok[[Ingatlanok]:[Ingatlanok]])-ROW(Adatok[[#Headers],[Ingatlanok]])),COLUMNS($J$25:T$25))),"")</f>
        <v/>
      </c>
      <c r="T61" t="str">
        <f>IF(COLUMNS($J$25:U$25)&lt;=$G30,INDEX(Adatok[[Cashflow]:[Cashflow]],_xlfn.AGGREGATE(15,3,(Adatok[[Ingatlanok]:[Ingatlanok]]=$H30)/(Adatok[[Ingatlanok]:[Ingatlanok]]=$H30)*(ROW(Adatok[[Ingatlanok]:[Ingatlanok]])-ROW(Adatok[[#Headers],[Ár]])),COLUMNS($J$25:U$25))),"")</f>
        <v/>
      </c>
      <c r="U61" t="str">
        <f>IF(COLUMNS($J$25:V$25)&lt;=$G30,INDEX(Adatok[[Cashflow]:[Cashflow]],_xlfn.AGGREGATE(15,3,(Adatok[[Ingatlanok]:[Ingatlanok]]=$H30)/(Adatok[[Ingatlanok]:[Ingatlanok]]=$H30)*(ROW(Adatok[[Ingatlanok]:[Ingatlanok]])-ROW(Adatok[[#Headers],[Letét, jelzálog]])),COLUMNS($J$25:V$25))),"")</f>
        <v/>
      </c>
      <c r="V61" t="str">
        <f>IF(COLUMNS($J$25:W$25)&lt;=$G30,INDEX(Adatok[[Cashflow]:[Cashflow]],_xlfn.AGGREGATE(15,3,(Adatok[[Ingatlanok]:[Ingatlanok]]=$H30)/(Adatok[[Ingatlanok]:[Ingatlanok]]=$H30)*(ROW(Adatok[[Ingatlanok]:[Ingatlanok]])-ROW(Adatok[[#Headers],[Előleg]])),COLUMNS($J$25:W$25))),"")</f>
        <v/>
      </c>
      <c r="W61" t="str">
        <f>IF(COLUMNS($J$25:X$25)&lt;=$G30,INDEX(Adatok[[Cashflow]:[Cashflow]],_xlfn.AGGREGATE(15,3,(Adatok[[Ingatlanok]:[Ingatlanok]]=$H30)/(Adatok[[Ingatlanok]:[Ingatlanok]]=$H30)*(ROW(Adatok[[Ingatlanok]:[Ingatlanok]])-ROW(Adatok[[#Headers],[Cashflow]])),COLUMNS($J$25:X$25))),"")</f>
        <v/>
      </c>
      <c r="X61" t="str">
        <f>IF(COLUMNS($J$25:Y$25)&lt;=$G30,INDEX(Adatok[[Cashflow]:[Cashflow]],_xlfn.AGGREGATE(15,3,(Adatok[[Ingatlanok]:[Ingatlanok]]=$H30)/(Adatok[[Ingatlanok]:[Ingatlanok]]=$H30)*(ROW(Adatok[[Ingatlanok]:[Ingatlanok]])-ROW(Adatok[[#Headers],[Ingatlanok]])),COLUMNS($J$25:Y$25))),"")</f>
        <v/>
      </c>
      <c r="Y61" t="str">
        <f>IF(COLUMNS($J$25:Z$25)&lt;=$G30,INDEX(Adatok[[Cashflow]:[Cashflow]],_xlfn.AGGREGATE(15,3,(Adatok[[Ingatlanok]:[Ingatlanok]]=$H30)/(Adatok[[Ingatlanok]:[Ingatlanok]]=$H30)*(ROW(Adatok[[Ingatlanok]:[Ingatlanok]])-ROW(Adatok[[#Headers],[Ár]])),COLUMNS($J$25:Z$25))),"")</f>
        <v/>
      </c>
      <c r="Z61" t="str">
        <f>IF(COLUMNS($J$25:AA$25)&lt;=$G30,INDEX(Adatok[[Cashflow]:[Cashflow]],_xlfn.AGGREGATE(15,3,(Adatok[[Ingatlanok]:[Ingatlanok]]=$H30)/(Adatok[[Ingatlanok]:[Ingatlanok]]=$H30)*(ROW(Adatok[[Ingatlanok]:[Ingatlanok]])-ROW(Adatok[[#Headers],[Letét, jelzálog]])),COLUMNS($J$25:AA$25))),"")</f>
        <v/>
      </c>
      <c r="AA61" t="str">
        <f>IF(COLUMNS($J$25:AB$25)&lt;=$G30,INDEX(Adatok[[Cashflow]:[Cashflow]],_xlfn.AGGREGATE(15,3,(Adatok[[Ingatlanok]:[Ingatlanok]]=$H30)/(Adatok[[Ingatlanok]:[Ingatlanok]]=$H30)*(ROW(Adatok[[Ingatlanok]:[Ingatlanok]])-ROW(Adatok[[#Headers],[Előleg]])),COLUMNS($J$25:AB$25))),"")</f>
        <v/>
      </c>
      <c r="AB61" t="str">
        <f>IF(COLUMNS($J$25:AC$25)&lt;=$G30,INDEX(Adatok[[Cashflow]:[Cashflow]],_xlfn.AGGREGATE(15,3,(Adatok[[Ingatlanok]:[Ingatlanok]]=$H30)/(Adatok[[Ingatlanok]:[Ingatlanok]]=$H30)*(ROW(Adatok[[Ingatlanok]:[Ingatlanok]])-ROW(Adatok[[#Headers],[Cashflow]])),COLUMNS($J$25:AC$25))),"")</f>
        <v/>
      </c>
      <c r="AC61" t="str">
        <f>IF(COLUMNS($J$25:AD$25)&lt;=$G30,INDEX(Adatok[[Cashflow]:[Cashflow]],_xlfn.AGGREGATE(15,3,(Adatok[[Ingatlanok]:[Ingatlanok]]=$H30)/(Adatok[[Ingatlanok]:[Ingatlanok]]=$H30)*(ROW(Adatok[[Ingatlanok]:[Ingatlanok]])-ROW(Adatok[[#Headers],[Ingatlanok]])),COLUMNS($J$25:AD$25))),"")</f>
        <v/>
      </c>
      <c r="AD61" t="str">
        <f>IF(COLUMNS($J$25:AE$25)&lt;=$G30,INDEX(Adatok[[Cashflow]:[Cashflow]],_xlfn.AGGREGATE(15,3,(Adatok[[Ingatlanok]:[Ingatlanok]]=$H30)/(Adatok[[Ingatlanok]:[Ingatlanok]]=$H30)*(ROW(Adatok[[Ingatlanok]:[Ingatlanok]])-ROW(Adatok[[#Headers],[Ár]])),COLUMNS($J$25:AE$25))),"")</f>
        <v/>
      </c>
    </row>
    <row r="62" spans="1:30" x14ac:dyDescent="0.25">
      <c r="A62" s="47" t="s">
        <v>136</v>
      </c>
      <c r="B62" s="47">
        <v>115000</v>
      </c>
      <c r="C62" s="47">
        <v>105000</v>
      </c>
      <c r="D62" s="47">
        <v>10000</v>
      </c>
      <c r="E62" s="47">
        <v>-100</v>
      </c>
      <c r="G62">
        <f>COUNTIF(Adatok[Ingatlanok],H62)</f>
        <v>3</v>
      </c>
      <c r="H62" s="57" t="str">
        <f>INDEX(Adatok[Ingatlanok],MATCH(0,INDEX(COUNTIF($H$56:H61,Adatok[Ingatlanok]),),0))</f>
        <v>NAGYSZERŰ LEHETŐSÉG 3H/2F</v>
      </c>
      <c r="I62">
        <f>IF(COLUMNS($J$25:J$25)&lt;=$G31,INDEX(Adatok[[Cashflow]:[Cashflow]],_xlfn.AGGREGATE(15,3,(Adatok[[Ingatlanok]:[Ingatlanok]]=$H31)/(Adatok[[Ingatlanok]:[Ingatlanok]]=$H31)*(ROW(Adatok[[Ingatlanok]:[Ingatlanok]])-ROW(Adatok[[#Headers],[Ingatlanok]])),COLUMNS($J$25:J$25))),"")</f>
        <v>220</v>
      </c>
      <c r="J62">
        <f>IF(COLUMNS($J$25:K$25)&lt;=$G31,INDEX(Adatok[[Cashflow]:[Cashflow]],_xlfn.AGGREGATE(15,3,(Adatok[[Ingatlanok]:[Ingatlanok]]=$H31)/(Adatok[[Ingatlanok]:[Ingatlanok]]=$H31)*(ROW(Adatok[[Ingatlanok]:[Ingatlanok]])-ROW(Adatok[[#Headers],[Ár]])),COLUMNS($J$25:K$25))),"")</f>
        <v>220</v>
      </c>
      <c r="K62">
        <f>IF(COLUMNS($J$25:L$25)&lt;=$G31,INDEX(Adatok[[Cashflow]:[Cashflow]],_xlfn.AGGREGATE(15,3,(Adatok[[Ingatlanok]:[Ingatlanok]]=$H31)/(Adatok[[Ingatlanok]:[Ingatlanok]]=$H31)*(ROW(Adatok[[Ingatlanok]:[Ingatlanok]])-ROW(Adatok[[#Headers],[Letét, jelzálog]])),COLUMNS($J$25:L$25))),"")</f>
        <v>250</v>
      </c>
      <c r="L62" t="str">
        <f>IF(COLUMNS($J$25:M$25)&lt;=$G31,INDEX(Adatok[[Cashflow]:[Cashflow]],_xlfn.AGGREGATE(15,3,(Adatok[[Ingatlanok]:[Ingatlanok]]=$H31)/(Adatok[[Ingatlanok]:[Ingatlanok]]=$H31)*(ROW(Adatok[[Ingatlanok]:[Ingatlanok]])-ROW(Adatok[[#Headers],[Előleg]])),COLUMNS($J$25:M$25))),"")</f>
        <v/>
      </c>
      <c r="M62" t="str">
        <f>IF(COLUMNS($J$25:N$25)&lt;=$G31,INDEX(Adatok[[Cashflow]:[Cashflow]],_xlfn.AGGREGATE(15,3,(Adatok[[Ingatlanok]:[Ingatlanok]]=$H31)/(Adatok[[Ingatlanok]:[Ingatlanok]]=$H31)*(ROW(Adatok[[Ingatlanok]:[Ingatlanok]])-ROW(Adatok[[#Headers],[Cashflow]])),COLUMNS($J$25:N$25))),"")</f>
        <v/>
      </c>
      <c r="N62" t="str">
        <f>IF(COLUMNS($J$25:O$25)&lt;=$G31,INDEX(Adatok[[Cashflow]:[Cashflow]],_xlfn.AGGREGATE(15,3,(Adatok[[Ingatlanok]:[Ingatlanok]]=$H31)/(Adatok[[Ingatlanok]:[Ingatlanok]]=$H31)*(ROW(Adatok[[Ingatlanok]:[Ingatlanok]])-ROW(Adatok[[#Headers],[Ingatlanok]])),COLUMNS($J$25:O$25))),"")</f>
        <v/>
      </c>
      <c r="O62" t="str">
        <f>IF(COLUMNS($J$25:P$25)&lt;=$G31,INDEX(Adatok[[Cashflow]:[Cashflow]],_xlfn.AGGREGATE(15,3,(Adatok[[Ingatlanok]:[Ingatlanok]]=$H31)/(Adatok[[Ingatlanok]:[Ingatlanok]]=$H31)*(ROW(Adatok[[Ingatlanok]:[Ingatlanok]])-ROW(Adatok[[#Headers],[Ár]])),COLUMNS($J$25:P$25))),"")</f>
        <v/>
      </c>
      <c r="P62" t="str">
        <f>IF(COLUMNS($J$25:Q$25)&lt;=$G31,INDEX(Adatok[[Cashflow]:[Cashflow]],_xlfn.AGGREGATE(15,3,(Adatok[[Ingatlanok]:[Ingatlanok]]=$H31)/(Adatok[[Ingatlanok]:[Ingatlanok]]=$H31)*(ROW(Adatok[[Ingatlanok]:[Ingatlanok]])-ROW(Adatok[[#Headers],[Letét, jelzálog]])),COLUMNS($J$25:Q$25))),"")</f>
        <v/>
      </c>
      <c r="Q62" t="str">
        <f>IF(COLUMNS($J$25:R$25)&lt;=$G31,INDEX(Adatok[[Cashflow]:[Cashflow]],_xlfn.AGGREGATE(15,3,(Adatok[[Ingatlanok]:[Ingatlanok]]=$H31)/(Adatok[[Ingatlanok]:[Ingatlanok]]=$H31)*(ROW(Adatok[[Ingatlanok]:[Ingatlanok]])-ROW(Adatok[[#Headers],[Előleg]])),COLUMNS($J$25:R$25))),"")</f>
        <v/>
      </c>
      <c r="R62" t="str">
        <f>IF(COLUMNS($J$25:S$25)&lt;=$G31,INDEX(Adatok[[Cashflow]:[Cashflow]],_xlfn.AGGREGATE(15,3,(Adatok[[Ingatlanok]:[Ingatlanok]]=$H31)/(Adatok[[Ingatlanok]:[Ingatlanok]]=$H31)*(ROW(Adatok[[Ingatlanok]:[Ingatlanok]])-ROW(Adatok[[#Headers],[Cashflow]])),COLUMNS($J$25:S$25))),"")</f>
        <v/>
      </c>
      <c r="S62" t="str">
        <f>IF(COLUMNS($J$25:T$25)&lt;=$G31,INDEX(Adatok[[Cashflow]:[Cashflow]],_xlfn.AGGREGATE(15,3,(Adatok[[Ingatlanok]:[Ingatlanok]]=$H31)/(Adatok[[Ingatlanok]:[Ingatlanok]]=$H31)*(ROW(Adatok[[Ingatlanok]:[Ingatlanok]])-ROW(Adatok[[#Headers],[Ingatlanok]])),COLUMNS($J$25:T$25))),"")</f>
        <v/>
      </c>
      <c r="T62" t="str">
        <f>IF(COLUMNS($J$25:U$25)&lt;=$G31,INDEX(Adatok[[Cashflow]:[Cashflow]],_xlfn.AGGREGATE(15,3,(Adatok[[Ingatlanok]:[Ingatlanok]]=$H31)/(Adatok[[Ingatlanok]:[Ingatlanok]]=$H31)*(ROW(Adatok[[Ingatlanok]:[Ingatlanok]])-ROW(Adatok[[#Headers],[Ár]])),COLUMNS($J$25:U$25))),"")</f>
        <v/>
      </c>
      <c r="U62" t="str">
        <f>IF(COLUMNS($J$25:V$25)&lt;=$G31,INDEX(Adatok[[Cashflow]:[Cashflow]],_xlfn.AGGREGATE(15,3,(Adatok[[Ingatlanok]:[Ingatlanok]]=$H31)/(Adatok[[Ingatlanok]:[Ingatlanok]]=$H31)*(ROW(Adatok[[Ingatlanok]:[Ingatlanok]])-ROW(Adatok[[#Headers],[Letét, jelzálog]])),COLUMNS($J$25:V$25))),"")</f>
        <v/>
      </c>
      <c r="V62" t="str">
        <f>IF(COLUMNS($J$25:W$25)&lt;=$G31,INDEX(Adatok[[Cashflow]:[Cashflow]],_xlfn.AGGREGATE(15,3,(Adatok[[Ingatlanok]:[Ingatlanok]]=$H31)/(Adatok[[Ingatlanok]:[Ingatlanok]]=$H31)*(ROW(Adatok[[Ingatlanok]:[Ingatlanok]])-ROW(Adatok[[#Headers],[Előleg]])),COLUMNS($J$25:W$25))),"")</f>
        <v/>
      </c>
      <c r="W62" t="str">
        <f>IF(COLUMNS($J$25:X$25)&lt;=$G31,INDEX(Adatok[[Cashflow]:[Cashflow]],_xlfn.AGGREGATE(15,3,(Adatok[[Ingatlanok]:[Ingatlanok]]=$H31)/(Adatok[[Ingatlanok]:[Ingatlanok]]=$H31)*(ROW(Adatok[[Ingatlanok]:[Ingatlanok]])-ROW(Adatok[[#Headers],[Cashflow]])),COLUMNS($J$25:X$25))),"")</f>
        <v/>
      </c>
      <c r="X62" t="str">
        <f>IF(COLUMNS($J$25:Y$25)&lt;=$G31,INDEX(Adatok[[Cashflow]:[Cashflow]],_xlfn.AGGREGATE(15,3,(Adatok[[Ingatlanok]:[Ingatlanok]]=$H31)/(Adatok[[Ingatlanok]:[Ingatlanok]]=$H31)*(ROW(Adatok[[Ingatlanok]:[Ingatlanok]])-ROW(Adatok[[#Headers],[Ingatlanok]])),COLUMNS($J$25:Y$25))),"")</f>
        <v/>
      </c>
      <c r="Y62" t="str">
        <f>IF(COLUMNS($J$25:Z$25)&lt;=$G31,INDEX(Adatok[[Cashflow]:[Cashflow]],_xlfn.AGGREGATE(15,3,(Adatok[[Ingatlanok]:[Ingatlanok]]=$H31)/(Adatok[[Ingatlanok]:[Ingatlanok]]=$H31)*(ROW(Adatok[[Ingatlanok]:[Ingatlanok]])-ROW(Adatok[[#Headers],[Ár]])),COLUMNS($J$25:Z$25))),"")</f>
        <v/>
      </c>
      <c r="Z62" t="str">
        <f>IF(COLUMNS($J$25:AA$25)&lt;=$G31,INDEX(Adatok[[Cashflow]:[Cashflow]],_xlfn.AGGREGATE(15,3,(Adatok[[Ingatlanok]:[Ingatlanok]]=$H31)/(Adatok[[Ingatlanok]:[Ingatlanok]]=$H31)*(ROW(Adatok[[Ingatlanok]:[Ingatlanok]])-ROW(Adatok[[#Headers],[Letét, jelzálog]])),COLUMNS($J$25:AA$25))),"")</f>
        <v/>
      </c>
      <c r="AA62" t="str">
        <f>IF(COLUMNS($J$25:AB$25)&lt;=$G31,INDEX(Adatok[[Cashflow]:[Cashflow]],_xlfn.AGGREGATE(15,3,(Adatok[[Ingatlanok]:[Ingatlanok]]=$H31)/(Adatok[[Ingatlanok]:[Ingatlanok]]=$H31)*(ROW(Adatok[[Ingatlanok]:[Ingatlanok]])-ROW(Adatok[[#Headers],[Előleg]])),COLUMNS($J$25:AB$25))),"")</f>
        <v/>
      </c>
      <c r="AB62" t="str">
        <f>IF(COLUMNS($J$25:AC$25)&lt;=$G31,INDEX(Adatok[[Cashflow]:[Cashflow]],_xlfn.AGGREGATE(15,3,(Adatok[[Ingatlanok]:[Ingatlanok]]=$H31)/(Adatok[[Ingatlanok]:[Ingatlanok]]=$H31)*(ROW(Adatok[[Ingatlanok]:[Ingatlanok]])-ROW(Adatok[[#Headers],[Cashflow]])),COLUMNS($J$25:AC$25))),"")</f>
        <v/>
      </c>
      <c r="AC62" t="str">
        <f>IF(COLUMNS($J$25:AD$25)&lt;=$G31,INDEX(Adatok[[Cashflow]:[Cashflow]],_xlfn.AGGREGATE(15,3,(Adatok[[Ingatlanok]:[Ingatlanok]]=$H31)/(Adatok[[Ingatlanok]:[Ingatlanok]]=$H31)*(ROW(Adatok[[Ingatlanok]:[Ingatlanok]])-ROW(Adatok[[#Headers],[Ingatlanok]])),COLUMNS($J$25:AD$25))),"")</f>
        <v/>
      </c>
      <c r="AD62" t="str">
        <f>IF(COLUMNS($J$25:AE$25)&lt;=$G31,INDEX(Adatok[[Cashflow]:[Cashflow]],_xlfn.AGGREGATE(15,3,(Adatok[[Ingatlanok]:[Ingatlanok]]=$H31)/(Adatok[[Ingatlanok]:[Ingatlanok]]=$H31)*(ROW(Adatok[[Ingatlanok]:[Ingatlanok]])-ROW(Adatok[[#Headers],[Ár]])),COLUMNS($J$25:AE$25))),"")</f>
        <v/>
      </c>
    </row>
    <row r="63" spans="1:30" x14ac:dyDescent="0.25">
      <c r="A63" s="47" t="s">
        <v>136</v>
      </c>
      <c r="B63" s="47">
        <v>125000</v>
      </c>
      <c r="C63" s="47">
        <v>105000</v>
      </c>
      <c r="D63" s="47">
        <v>20000</v>
      </c>
      <c r="E63" s="47">
        <v>-100</v>
      </c>
      <c r="G63">
        <f>COUNTIF(Adatok[Ingatlanok],H63)</f>
        <v>5</v>
      </c>
      <c r="H63" s="57" t="str">
        <f>INDEX(Adatok[Ingatlanok],MATCH(0,INDEX(COUNTIF($H$56:H62,Adatok[Ingatlanok]),),0))</f>
        <v>GARZONLAKÁS 2H/1F</v>
      </c>
      <c r="I63">
        <f>IF(COLUMNS($J$25:J$25)&lt;=$G32,INDEX(Adatok[[Cashflow]:[Cashflow]],_xlfn.AGGREGATE(15,3,(Adatok[[Ingatlanok]:[Ingatlanok]]=$H32)/(Adatok[[Ingatlanok]:[Ingatlanok]]=$H32)*(ROW(Adatok[[Ingatlanok]:[Ingatlanok]])-ROW(Adatok[[#Headers],[Ingatlanok]])),COLUMNS($J$25:J$25))),"")</f>
        <v>140</v>
      </c>
      <c r="J63">
        <f>IF(COLUMNS($J$25:K$25)&lt;=$G32,INDEX(Adatok[[Cashflow]:[Cashflow]],_xlfn.AGGREGATE(15,3,(Adatok[[Ingatlanok]:[Ingatlanok]]=$H32)/(Adatok[[Ingatlanok]:[Ingatlanok]]=$H32)*(ROW(Adatok[[Ingatlanok]:[Ingatlanok]])-ROW(Adatok[[#Headers],[Ár]])),COLUMNS($J$25:K$25))),"")</f>
        <v>220</v>
      </c>
      <c r="K63">
        <f>IF(COLUMNS($J$25:L$25)&lt;=$G32,INDEX(Adatok[[Cashflow]:[Cashflow]],_xlfn.AGGREGATE(15,3,(Adatok[[Ingatlanok]:[Ingatlanok]]=$H32)/(Adatok[[Ingatlanok]:[Ingatlanok]]=$H32)*(ROW(Adatok[[Ingatlanok]:[Ingatlanok]])-ROW(Adatok[[#Headers],[Letét, jelzálog]])),COLUMNS($J$25:L$25))),"")</f>
        <v>100</v>
      </c>
      <c r="L63">
        <f>IF(COLUMNS($J$25:M$25)&lt;=$G32,INDEX(Adatok[[Cashflow]:[Cashflow]],_xlfn.AGGREGATE(15,3,(Adatok[[Ingatlanok]:[Ingatlanok]]=$H32)/(Adatok[[Ingatlanok]:[Ingatlanok]]=$H32)*(ROW(Adatok[[Ingatlanok]:[Ingatlanok]])-ROW(Adatok[[#Headers],[Előleg]])),COLUMNS($J$25:M$25))),"")</f>
        <v>-100</v>
      </c>
      <c r="M63">
        <f>IF(COLUMNS($J$25:N$25)&lt;=$G32,INDEX(Adatok[[Cashflow]:[Cashflow]],_xlfn.AGGREGATE(15,3,(Adatok[[Ingatlanok]:[Ingatlanok]]=$H32)/(Adatok[[Ingatlanok]:[Ingatlanok]]=$H32)*(ROW(Adatok[[Ingatlanok]:[Ingatlanok]])-ROW(Adatok[[#Headers],[Cashflow]])),COLUMNS($J$25:N$25))),"")</f>
        <v>160</v>
      </c>
      <c r="N63" t="str">
        <f>IF(COLUMNS($J$25:O$25)&lt;=$G32,INDEX(Adatok[[Cashflow]:[Cashflow]],_xlfn.AGGREGATE(15,3,(Adatok[[Ingatlanok]:[Ingatlanok]]=$H32)/(Adatok[[Ingatlanok]:[Ingatlanok]]=$H32)*(ROW(Adatok[[Ingatlanok]:[Ingatlanok]])-ROW(Adatok[[#Headers],[Ingatlanok]])),COLUMNS($J$25:O$25))),"")</f>
        <v/>
      </c>
      <c r="O63" t="str">
        <f>IF(COLUMNS($J$25:P$25)&lt;=$G32,INDEX(Adatok[[Cashflow]:[Cashflow]],_xlfn.AGGREGATE(15,3,(Adatok[[Ingatlanok]:[Ingatlanok]]=$H32)/(Adatok[[Ingatlanok]:[Ingatlanok]]=$H32)*(ROW(Adatok[[Ingatlanok]:[Ingatlanok]])-ROW(Adatok[[#Headers],[Ár]])),COLUMNS($J$25:P$25))),"")</f>
        <v/>
      </c>
      <c r="P63" t="str">
        <f>IF(COLUMNS($J$25:Q$25)&lt;=$G32,INDEX(Adatok[[Cashflow]:[Cashflow]],_xlfn.AGGREGATE(15,3,(Adatok[[Ingatlanok]:[Ingatlanok]]=$H32)/(Adatok[[Ingatlanok]:[Ingatlanok]]=$H32)*(ROW(Adatok[[Ingatlanok]:[Ingatlanok]])-ROW(Adatok[[#Headers],[Letét, jelzálog]])),COLUMNS($J$25:Q$25))),"")</f>
        <v/>
      </c>
      <c r="Q63" t="str">
        <f>IF(COLUMNS($J$25:R$25)&lt;=$G32,INDEX(Adatok[[Cashflow]:[Cashflow]],_xlfn.AGGREGATE(15,3,(Adatok[[Ingatlanok]:[Ingatlanok]]=$H32)/(Adatok[[Ingatlanok]:[Ingatlanok]]=$H32)*(ROW(Adatok[[Ingatlanok]:[Ingatlanok]])-ROW(Adatok[[#Headers],[Előleg]])),COLUMNS($J$25:R$25))),"")</f>
        <v/>
      </c>
      <c r="R63" t="str">
        <f>IF(COLUMNS($J$25:S$25)&lt;=$G32,INDEX(Adatok[[Cashflow]:[Cashflow]],_xlfn.AGGREGATE(15,3,(Adatok[[Ingatlanok]:[Ingatlanok]]=$H32)/(Adatok[[Ingatlanok]:[Ingatlanok]]=$H32)*(ROW(Adatok[[Ingatlanok]:[Ingatlanok]])-ROW(Adatok[[#Headers],[Cashflow]])),COLUMNS($J$25:S$25))),"")</f>
        <v/>
      </c>
      <c r="S63" t="str">
        <f>IF(COLUMNS($J$25:T$25)&lt;=$G32,INDEX(Adatok[[Cashflow]:[Cashflow]],_xlfn.AGGREGATE(15,3,(Adatok[[Ingatlanok]:[Ingatlanok]]=$H32)/(Adatok[[Ingatlanok]:[Ingatlanok]]=$H32)*(ROW(Adatok[[Ingatlanok]:[Ingatlanok]])-ROW(Adatok[[#Headers],[Ingatlanok]])),COLUMNS($J$25:T$25))),"")</f>
        <v/>
      </c>
      <c r="T63" t="str">
        <f>IF(COLUMNS($J$25:U$25)&lt;=$G32,INDEX(Adatok[[Cashflow]:[Cashflow]],_xlfn.AGGREGATE(15,3,(Adatok[[Ingatlanok]:[Ingatlanok]]=$H32)/(Adatok[[Ingatlanok]:[Ingatlanok]]=$H32)*(ROW(Adatok[[Ingatlanok]:[Ingatlanok]])-ROW(Adatok[[#Headers],[Ár]])),COLUMNS($J$25:U$25))),"")</f>
        <v/>
      </c>
      <c r="U63" t="str">
        <f>IF(COLUMNS($J$25:V$25)&lt;=$G32,INDEX(Adatok[[Cashflow]:[Cashflow]],_xlfn.AGGREGATE(15,3,(Adatok[[Ingatlanok]:[Ingatlanok]]=$H32)/(Adatok[[Ingatlanok]:[Ingatlanok]]=$H32)*(ROW(Adatok[[Ingatlanok]:[Ingatlanok]])-ROW(Adatok[[#Headers],[Letét, jelzálog]])),COLUMNS($J$25:V$25))),"")</f>
        <v/>
      </c>
      <c r="V63" t="str">
        <f>IF(COLUMNS($J$25:W$25)&lt;=$G32,INDEX(Adatok[[Cashflow]:[Cashflow]],_xlfn.AGGREGATE(15,3,(Adatok[[Ingatlanok]:[Ingatlanok]]=$H32)/(Adatok[[Ingatlanok]:[Ingatlanok]]=$H32)*(ROW(Adatok[[Ingatlanok]:[Ingatlanok]])-ROW(Adatok[[#Headers],[Előleg]])),COLUMNS($J$25:W$25))),"")</f>
        <v/>
      </c>
      <c r="W63" t="str">
        <f>IF(COLUMNS($J$25:X$25)&lt;=$G32,INDEX(Adatok[[Cashflow]:[Cashflow]],_xlfn.AGGREGATE(15,3,(Adatok[[Ingatlanok]:[Ingatlanok]]=$H32)/(Adatok[[Ingatlanok]:[Ingatlanok]]=$H32)*(ROW(Adatok[[Ingatlanok]:[Ingatlanok]])-ROW(Adatok[[#Headers],[Cashflow]])),COLUMNS($J$25:X$25))),"")</f>
        <v/>
      </c>
      <c r="X63" t="str">
        <f>IF(COLUMNS($J$25:Y$25)&lt;=$G32,INDEX(Adatok[[Cashflow]:[Cashflow]],_xlfn.AGGREGATE(15,3,(Adatok[[Ingatlanok]:[Ingatlanok]]=$H32)/(Adatok[[Ingatlanok]:[Ingatlanok]]=$H32)*(ROW(Adatok[[Ingatlanok]:[Ingatlanok]])-ROW(Adatok[[#Headers],[Ingatlanok]])),COLUMNS($J$25:Y$25))),"")</f>
        <v/>
      </c>
      <c r="Y63" t="str">
        <f>IF(COLUMNS($J$25:Z$25)&lt;=$G32,INDEX(Adatok[[Cashflow]:[Cashflow]],_xlfn.AGGREGATE(15,3,(Adatok[[Ingatlanok]:[Ingatlanok]]=$H32)/(Adatok[[Ingatlanok]:[Ingatlanok]]=$H32)*(ROW(Adatok[[Ingatlanok]:[Ingatlanok]])-ROW(Adatok[[#Headers],[Ár]])),COLUMNS($J$25:Z$25))),"")</f>
        <v/>
      </c>
      <c r="Z63" t="str">
        <f>IF(COLUMNS($J$25:AA$25)&lt;=$G32,INDEX(Adatok[[Cashflow]:[Cashflow]],_xlfn.AGGREGATE(15,3,(Adatok[[Ingatlanok]:[Ingatlanok]]=$H32)/(Adatok[[Ingatlanok]:[Ingatlanok]]=$H32)*(ROW(Adatok[[Ingatlanok]:[Ingatlanok]])-ROW(Adatok[[#Headers],[Letét, jelzálog]])),COLUMNS($J$25:AA$25))),"")</f>
        <v/>
      </c>
      <c r="AA63" t="str">
        <f>IF(COLUMNS($J$25:AB$25)&lt;=$G32,INDEX(Adatok[[Cashflow]:[Cashflow]],_xlfn.AGGREGATE(15,3,(Adatok[[Ingatlanok]:[Ingatlanok]]=$H32)/(Adatok[[Ingatlanok]:[Ingatlanok]]=$H32)*(ROW(Adatok[[Ingatlanok]:[Ingatlanok]])-ROW(Adatok[[#Headers],[Előleg]])),COLUMNS($J$25:AB$25))),"")</f>
        <v/>
      </c>
      <c r="AB63" t="str">
        <f>IF(COLUMNS($J$25:AC$25)&lt;=$G32,INDEX(Adatok[[Cashflow]:[Cashflow]],_xlfn.AGGREGATE(15,3,(Adatok[[Ingatlanok]:[Ingatlanok]]=$H32)/(Adatok[[Ingatlanok]:[Ingatlanok]]=$H32)*(ROW(Adatok[[Ingatlanok]:[Ingatlanok]])-ROW(Adatok[[#Headers],[Cashflow]])),COLUMNS($J$25:AC$25))),"")</f>
        <v/>
      </c>
      <c r="AC63" t="str">
        <f>IF(COLUMNS($J$25:AD$25)&lt;=$G32,INDEX(Adatok[[Cashflow]:[Cashflow]],_xlfn.AGGREGATE(15,3,(Adatok[[Ingatlanok]:[Ingatlanok]]=$H32)/(Adatok[[Ingatlanok]:[Ingatlanok]]=$H32)*(ROW(Adatok[[Ingatlanok]:[Ingatlanok]])-ROW(Adatok[[#Headers],[Ingatlanok]])),COLUMNS($J$25:AD$25))),"")</f>
        <v/>
      </c>
      <c r="AD63" t="str">
        <f>IF(COLUMNS($J$25:AE$25)&lt;=$G32,INDEX(Adatok[[Cashflow]:[Cashflow]],_xlfn.AGGREGATE(15,3,(Adatok[[Ingatlanok]:[Ingatlanok]]=$H32)/(Adatok[[Ingatlanok]:[Ingatlanok]]=$H32)*(ROW(Adatok[[Ingatlanok]:[Ingatlanok]])-ROW(Adatok[[#Headers],[Ár]])),COLUMNS($J$25:AE$25))),"")</f>
        <v/>
      </c>
    </row>
    <row r="64" spans="1:30" x14ac:dyDescent="0.25">
      <c r="A64" s="47" t="s">
        <v>123</v>
      </c>
      <c r="B64" s="47">
        <v>125000</v>
      </c>
      <c r="C64" s="47">
        <v>110000</v>
      </c>
      <c r="D64" s="47">
        <v>15000</v>
      </c>
      <c r="E64" s="47">
        <v>600</v>
      </c>
      <c r="G64">
        <f>COUNTIF(Adatok[Ingatlanok],H64)</f>
        <v>5</v>
      </c>
      <c r="H64" s="57" t="str">
        <f>INDEX(Adatok[Ingatlanok],MATCH(0,INDEX(COUNTIF($H$56:H63,Adatok[Ingatlanok]),),0))</f>
        <v xml:space="preserve">KÉTLAKÁSOS HÁZ </v>
      </c>
      <c r="I64">
        <f>IF(COLUMNS($J$25:J$25)&lt;=$G33,INDEX(Adatok[[Cashflow]:[Cashflow]],_xlfn.AGGREGATE(15,3,(Adatok[[Ingatlanok]:[Ingatlanok]]=$H33)/(Adatok[[Ingatlanok]:[Ingatlanok]]=$H33)*(ROW(Adatok[[Ingatlanok]:[Ingatlanok]])-ROW(Adatok[[#Headers],[Ingatlanok]])),COLUMNS($J$25:J$25))),"")</f>
        <v>320</v>
      </c>
      <c r="J64">
        <f>IF(COLUMNS($J$25:K$25)&lt;=$G33,INDEX(Adatok[[Cashflow]:[Cashflow]],_xlfn.AGGREGATE(15,3,(Adatok[[Ingatlanok]:[Ingatlanok]]=$H33)/(Adatok[[Ingatlanok]:[Ingatlanok]]=$H33)*(ROW(Adatok[[Ingatlanok]:[Ingatlanok]])-ROW(Adatok[[#Headers],[Ár]])),COLUMNS($J$25:K$25))),"")</f>
        <v>240</v>
      </c>
      <c r="K64">
        <f>IF(COLUMNS($J$25:L$25)&lt;=$G33,INDEX(Adatok[[Cashflow]:[Cashflow]],_xlfn.AGGREGATE(15,3,(Adatok[[Ingatlanok]:[Ingatlanok]]=$H33)/(Adatok[[Ingatlanok]:[Ingatlanok]]=$H33)*(ROW(Adatok[[Ingatlanok]:[Ingatlanok]])-ROW(Adatok[[#Headers],[Letét, jelzálog]])),COLUMNS($J$25:L$25))),"")</f>
        <v>300</v>
      </c>
      <c r="L64">
        <f>IF(COLUMNS($J$25:M$25)&lt;=$G33,INDEX(Adatok[[Cashflow]:[Cashflow]],_xlfn.AGGREGATE(15,3,(Adatok[[Ingatlanok]:[Ingatlanok]]=$H33)/(Adatok[[Ingatlanok]:[Ingatlanok]]=$H33)*(ROW(Adatok[[Ingatlanok]:[Ingatlanok]])-ROW(Adatok[[#Headers],[Előleg]])),COLUMNS($J$25:M$25))),"")</f>
        <v>400</v>
      </c>
      <c r="M64">
        <f>IF(COLUMNS($J$25:N$25)&lt;=$G33,INDEX(Adatok[[Cashflow]:[Cashflow]],_xlfn.AGGREGATE(15,3,(Adatok[[Ingatlanok]:[Ingatlanok]]=$H33)/(Adatok[[Ingatlanok]:[Ingatlanok]]=$H33)*(ROW(Adatok[[Ingatlanok]:[Ingatlanok]])-ROW(Adatok[[#Headers],[Cashflow]])),COLUMNS($J$25:N$25))),"")</f>
        <v>140</v>
      </c>
      <c r="N64" t="str">
        <f>IF(COLUMNS($J$25:O$25)&lt;=$G33,INDEX(Adatok[[Cashflow]:[Cashflow]],_xlfn.AGGREGATE(15,3,(Adatok[[Ingatlanok]:[Ingatlanok]]=$H33)/(Adatok[[Ingatlanok]:[Ingatlanok]]=$H33)*(ROW(Adatok[[Ingatlanok]:[Ingatlanok]])-ROW(Adatok[[#Headers],[Ingatlanok]])),COLUMNS($J$25:O$25))),"")</f>
        <v/>
      </c>
      <c r="O64" t="str">
        <f>IF(COLUMNS($J$25:P$25)&lt;=$G33,INDEX(Adatok[[Cashflow]:[Cashflow]],_xlfn.AGGREGATE(15,3,(Adatok[[Ingatlanok]:[Ingatlanok]]=$H33)/(Adatok[[Ingatlanok]:[Ingatlanok]]=$H33)*(ROW(Adatok[[Ingatlanok]:[Ingatlanok]])-ROW(Adatok[[#Headers],[Ár]])),COLUMNS($J$25:P$25))),"")</f>
        <v/>
      </c>
      <c r="P64" t="str">
        <f>IF(COLUMNS($J$25:Q$25)&lt;=$G33,INDEX(Adatok[[Cashflow]:[Cashflow]],_xlfn.AGGREGATE(15,3,(Adatok[[Ingatlanok]:[Ingatlanok]]=$H33)/(Adatok[[Ingatlanok]:[Ingatlanok]]=$H33)*(ROW(Adatok[[Ingatlanok]:[Ingatlanok]])-ROW(Adatok[[#Headers],[Letét, jelzálog]])),COLUMNS($J$25:Q$25))),"")</f>
        <v/>
      </c>
      <c r="Q64" t="str">
        <f>IF(COLUMNS($J$25:R$25)&lt;=$G33,INDEX(Adatok[[Cashflow]:[Cashflow]],_xlfn.AGGREGATE(15,3,(Adatok[[Ingatlanok]:[Ingatlanok]]=$H33)/(Adatok[[Ingatlanok]:[Ingatlanok]]=$H33)*(ROW(Adatok[[Ingatlanok]:[Ingatlanok]])-ROW(Adatok[[#Headers],[Előleg]])),COLUMNS($J$25:R$25))),"")</f>
        <v/>
      </c>
      <c r="R64" t="str">
        <f>IF(COLUMNS($J$25:S$25)&lt;=$G33,INDEX(Adatok[[Cashflow]:[Cashflow]],_xlfn.AGGREGATE(15,3,(Adatok[[Ingatlanok]:[Ingatlanok]]=$H33)/(Adatok[[Ingatlanok]:[Ingatlanok]]=$H33)*(ROW(Adatok[[Ingatlanok]:[Ingatlanok]])-ROW(Adatok[[#Headers],[Cashflow]])),COLUMNS($J$25:S$25))),"")</f>
        <v/>
      </c>
      <c r="S64" t="str">
        <f>IF(COLUMNS($J$25:T$25)&lt;=$G33,INDEX(Adatok[[Cashflow]:[Cashflow]],_xlfn.AGGREGATE(15,3,(Adatok[[Ingatlanok]:[Ingatlanok]]=$H33)/(Adatok[[Ingatlanok]:[Ingatlanok]]=$H33)*(ROW(Adatok[[Ingatlanok]:[Ingatlanok]])-ROW(Adatok[[#Headers],[Ingatlanok]])),COLUMNS($J$25:T$25))),"")</f>
        <v/>
      </c>
      <c r="T64" t="str">
        <f>IF(COLUMNS($J$25:U$25)&lt;=$G33,INDEX(Adatok[[Cashflow]:[Cashflow]],_xlfn.AGGREGATE(15,3,(Adatok[[Ingatlanok]:[Ingatlanok]]=$H33)/(Adatok[[Ingatlanok]:[Ingatlanok]]=$H33)*(ROW(Adatok[[Ingatlanok]:[Ingatlanok]])-ROW(Adatok[[#Headers],[Ár]])),COLUMNS($J$25:U$25))),"")</f>
        <v/>
      </c>
      <c r="U64" t="str">
        <f>IF(COLUMNS($J$25:V$25)&lt;=$G33,INDEX(Adatok[[Cashflow]:[Cashflow]],_xlfn.AGGREGATE(15,3,(Adatok[[Ingatlanok]:[Ingatlanok]]=$H33)/(Adatok[[Ingatlanok]:[Ingatlanok]]=$H33)*(ROW(Adatok[[Ingatlanok]:[Ingatlanok]])-ROW(Adatok[[#Headers],[Letét, jelzálog]])),COLUMNS($J$25:V$25))),"")</f>
        <v/>
      </c>
      <c r="V64" t="str">
        <f>IF(COLUMNS($J$25:W$25)&lt;=$G33,INDEX(Adatok[[Cashflow]:[Cashflow]],_xlfn.AGGREGATE(15,3,(Adatok[[Ingatlanok]:[Ingatlanok]]=$H33)/(Adatok[[Ingatlanok]:[Ingatlanok]]=$H33)*(ROW(Adatok[[Ingatlanok]:[Ingatlanok]])-ROW(Adatok[[#Headers],[Előleg]])),COLUMNS($J$25:W$25))),"")</f>
        <v/>
      </c>
      <c r="W64" t="str">
        <f>IF(COLUMNS($J$25:X$25)&lt;=$G33,INDEX(Adatok[[Cashflow]:[Cashflow]],_xlfn.AGGREGATE(15,3,(Adatok[[Ingatlanok]:[Ingatlanok]]=$H33)/(Adatok[[Ingatlanok]:[Ingatlanok]]=$H33)*(ROW(Adatok[[Ingatlanok]:[Ingatlanok]])-ROW(Adatok[[#Headers],[Cashflow]])),COLUMNS($J$25:X$25))),"")</f>
        <v/>
      </c>
      <c r="X64" t="str">
        <f>IF(COLUMNS($J$25:Y$25)&lt;=$G33,INDEX(Adatok[[Cashflow]:[Cashflow]],_xlfn.AGGREGATE(15,3,(Adatok[[Ingatlanok]:[Ingatlanok]]=$H33)/(Adatok[[Ingatlanok]:[Ingatlanok]]=$H33)*(ROW(Adatok[[Ingatlanok]:[Ingatlanok]])-ROW(Adatok[[#Headers],[Ingatlanok]])),COLUMNS($J$25:Y$25))),"")</f>
        <v/>
      </c>
      <c r="Y64" t="str">
        <f>IF(COLUMNS($J$25:Z$25)&lt;=$G33,INDEX(Adatok[[Cashflow]:[Cashflow]],_xlfn.AGGREGATE(15,3,(Adatok[[Ingatlanok]:[Ingatlanok]]=$H33)/(Adatok[[Ingatlanok]:[Ingatlanok]]=$H33)*(ROW(Adatok[[Ingatlanok]:[Ingatlanok]])-ROW(Adatok[[#Headers],[Ár]])),COLUMNS($J$25:Z$25))),"")</f>
        <v/>
      </c>
      <c r="Z64" t="str">
        <f>IF(COLUMNS($J$25:AA$25)&lt;=$G33,INDEX(Adatok[[Cashflow]:[Cashflow]],_xlfn.AGGREGATE(15,3,(Adatok[[Ingatlanok]:[Ingatlanok]]=$H33)/(Adatok[[Ingatlanok]:[Ingatlanok]]=$H33)*(ROW(Adatok[[Ingatlanok]:[Ingatlanok]])-ROW(Adatok[[#Headers],[Letét, jelzálog]])),COLUMNS($J$25:AA$25))),"")</f>
        <v/>
      </c>
      <c r="AA64" t="str">
        <f>IF(COLUMNS($J$25:AB$25)&lt;=$G33,INDEX(Adatok[[Cashflow]:[Cashflow]],_xlfn.AGGREGATE(15,3,(Adatok[[Ingatlanok]:[Ingatlanok]]=$H33)/(Adatok[[Ingatlanok]:[Ingatlanok]]=$H33)*(ROW(Adatok[[Ingatlanok]:[Ingatlanok]])-ROW(Adatok[[#Headers],[Előleg]])),COLUMNS($J$25:AB$25))),"")</f>
        <v/>
      </c>
      <c r="AB64" t="str">
        <f>IF(COLUMNS($J$25:AC$25)&lt;=$G33,INDEX(Adatok[[Cashflow]:[Cashflow]],_xlfn.AGGREGATE(15,3,(Adatok[[Ingatlanok]:[Ingatlanok]]=$H33)/(Adatok[[Ingatlanok]:[Ingatlanok]]=$H33)*(ROW(Adatok[[Ingatlanok]:[Ingatlanok]])-ROW(Adatok[[#Headers],[Cashflow]])),COLUMNS($J$25:AC$25))),"")</f>
        <v/>
      </c>
      <c r="AC64" t="str">
        <f>IF(COLUMNS($J$25:AD$25)&lt;=$G33,INDEX(Adatok[[Cashflow]:[Cashflow]],_xlfn.AGGREGATE(15,3,(Adatok[[Ingatlanok]:[Ingatlanok]]=$H33)/(Adatok[[Ingatlanok]:[Ingatlanok]]=$H33)*(ROW(Adatok[[Ingatlanok]:[Ingatlanok]])-ROW(Adatok[[#Headers],[Ingatlanok]])),COLUMNS($J$25:AD$25))),"")</f>
        <v/>
      </c>
      <c r="AD64" t="str">
        <f>IF(COLUMNS($J$25:AE$25)&lt;=$G33,INDEX(Adatok[[Cashflow]:[Cashflow]],_xlfn.AGGREGATE(15,3,(Adatok[[Ingatlanok]:[Ingatlanok]]=$H33)/(Adatok[[Ingatlanok]:[Ingatlanok]]=$H33)*(ROW(Adatok[[Ingatlanok]:[Ingatlanok]])-ROW(Adatok[[#Headers],[Ár]])),COLUMNS($J$25:AE$25))),"")</f>
        <v/>
      </c>
    </row>
    <row r="65" spans="1:30" x14ac:dyDescent="0.25">
      <c r="A65" s="56" t="s">
        <v>126</v>
      </c>
      <c r="B65" s="56">
        <v>125000</v>
      </c>
      <c r="C65" s="56">
        <v>100000</v>
      </c>
      <c r="D65" s="56">
        <v>25000</v>
      </c>
      <c r="E65" s="56">
        <v>1800</v>
      </c>
      <c r="G65">
        <f>COUNTIF(Adatok[Ingatlanok],H65)</f>
        <v>1</v>
      </c>
      <c r="H65" s="57" t="str">
        <f>INDEX(Adatok[Ingatlanok],MATCH(0,INDEX(COUNTIF($H$56:H64,Adatok[Ingatlanok]),),0))</f>
        <v>KIS BEVÁSÁRLÓ CSARNOK</v>
      </c>
      <c r="I65">
        <f>IF(COLUMNS($J$25:J$25)&lt;=$G34,INDEX(Adatok[[Cashflow]:[Cashflow]],_xlfn.AGGREGATE(15,3,(Adatok[[Ingatlanok]:[Ingatlanok]]=$H34)/(Adatok[[Ingatlanok]:[Ingatlanok]]=$H34)*(ROW(Adatok[[Ingatlanok]:[Ingatlanok]])-ROW(Adatok[[#Headers],[Ingatlanok]])),COLUMNS($J$25:J$25))),"")</f>
        <v>800</v>
      </c>
      <c r="J65" t="str">
        <f>IF(COLUMNS($J$25:K$25)&lt;=$G34,INDEX(Adatok[[Cashflow]:[Cashflow]],_xlfn.AGGREGATE(15,3,(Adatok[[Ingatlanok]:[Ingatlanok]]=$H34)/(Adatok[[Ingatlanok]:[Ingatlanok]]=$H34)*(ROW(Adatok[[Ingatlanok]:[Ingatlanok]])-ROW(Adatok[[#Headers],[Ár]])),COLUMNS($J$25:K$25))),"")</f>
        <v/>
      </c>
      <c r="K65" t="str">
        <f>IF(COLUMNS($J$25:L$25)&lt;=$G34,INDEX(Adatok[[Cashflow]:[Cashflow]],_xlfn.AGGREGATE(15,3,(Adatok[[Ingatlanok]:[Ingatlanok]]=$H34)/(Adatok[[Ingatlanok]:[Ingatlanok]]=$H34)*(ROW(Adatok[[Ingatlanok]:[Ingatlanok]])-ROW(Adatok[[#Headers],[Letét, jelzálog]])),COLUMNS($J$25:L$25))),"")</f>
        <v/>
      </c>
      <c r="L65" t="str">
        <f>IF(COLUMNS($J$25:M$25)&lt;=$G34,INDEX(Adatok[[Cashflow]:[Cashflow]],_xlfn.AGGREGATE(15,3,(Adatok[[Ingatlanok]:[Ingatlanok]]=$H34)/(Adatok[[Ingatlanok]:[Ingatlanok]]=$H34)*(ROW(Adatok[[Ingatlanok]:[Ingatlanok]])-ROW(Adatok[[#Headers],[Előleg]])),COLUMNS($J$25:M$25))),"")</f>
        <v/>
      </c>
      <c r="M65" t="str">
        <f>IF(COLUMNS($J$25:N$25)&lt;=$G34,INDEX(Adatok[[Cashflow]:[Cashflow]],_xlfn.AGGREGATE(15,3,(Adatok[[Ingatlanok]:[Ingatlanok]]=$H34)/(Adatok[[Ingatlanok]:[Ingatlanok]]=$H34)*(ROW(Adatok[[Ingatlanok]:[Ingatlanok]])-ROW(Adatok[[#Headers],[Cashflow]])),COLUMNS($J$25:N$25))),"")</f>
        <v/>
      </c>
      <c r="N65" t="str">
        <f>IF(COLUMNS($J$25:O$25)&lt;=$G34,INDEX(Adatok[[Cashflow]:[Cashflow]],_xlfn.AGGREGATE(15,3,(Adatok[[Ingatlanok]:[Ingatlanok]]=$H34)/(Adatok[[Ingatlanok]:[Ingatlanok]]=$H34)*(ROW(Adatok[[Ingatlanok]:[Ingatlanok]])-ROW(Adatok[[#Headers],[Ingatlanok]])),COLUMNS($J$25:O$25))),"")</f>
        <v/>
      </c>
      <c r="O65" t="str">
        <f>IF(COLUMNS($J$25:P$25)&lt;=$G34,INDEX(Adatok[[Cashflow]:[Cashflow]],_xlfn.AGGREGATE(15,3,(Adatok[[Ingatlanok]:[Ingatlanok]]=$H34)/(Adatok[[Ingatlanok]:[Ingatlanok]]=$H34)*(ROW(Adatok[[Ingatlanok]:[Ingatlanok]])-ROW(Adatok[[#Headers],[Ár]])),COLUMNS($J$25:P$25))),"")</f>
        <v/>
      </c>
      <c r="P65" t="str">
        <f>IF(COLUMNS($J$25:Q$25)&lt;=$G34,INDEX(Adatok[[Cashflow]:[Cashflow]],_xlfn.AGGREGATE(15,3,(Adatok[[Ingatlanok]:[Ingatlanok]]=$H34)/(Adatok[[Ingatlanok]:[Ingatlanok]]=$H34)*(ROW(Adatok[[Ingatlanok]:[Ingatlanok]])-ROW(Adatok[[#Headers],[Letét, jelzálog]])),COLUMNS($J$25:Q$25))),"")</f>
        <v/>
      </c>
      <c r="Q65" t="str">
        <f>IF(COLUMNS($J$25:R$25)&lt;=$G34,INDEX(Adatok[[Cashflow]:[Cashflow]],_xlfn.AGGREGATE(15,3,(Adatok[[Ingatlanok]:[Ingatlanok]]=$H34)/(Adatok[[Ingatlanok]:[Ingatlanok]]=$H34)*(ROW(Adatok[[Ingatlanok]:[Ingatlanok]])-ROW(Adatok[[#Headers],[Előleg]])),COLUMNS($J$25:R$25))),"")</f>
        <v/>
      </c>
      <c r="R65" t="str">
        <f>IF(COLUMNS($J$25:S$25)&lt;=$G34,INDEX(Adatok[[Cashflow]:[Cashflow]],_xlfn.AGGREGATE(15,3,(Adatok[[Ingatlanok]:[Ingatlanok]]=$H34)/(Adatok[[Ingatlanok]:[Ingatlanok]]=$H34)*(ROW(Adatok[[Ingatlanok]:[Ingatlanok]])-ROW(Adatok[[#Headers],[Cashflow]])),COLUMNS($J$25:S$25))),"")</f>
        <v/>
      </c>
      <c r="S65" t="str">
        <f>IF(COLUMNS($J$25:T$25)&lt;=$G34,INDEX(Adatok[[Cashflow]:[Cashflow]],_xlfn.AGGREGATE(15,3,(Adatok[[Ingatlanok]:[Ingatlanok]]=$H34)/(Adatok[[Ingatlanok]:[Ingatlanok]]=$H34)*(ROW(Adatok[[Ingatlanok]:[Ingatlanok]])-ROW(Adatok[[#Headers],[Ingatlanok]])),COLUMNS($J$25:T$25))),"")</f>
        <v/>
      </c>
      <c r="T65" t="str">
        <f>IF(COLUMNS($J$25:U$25)&lt;=$G34,INDEX(Adatok[[Cashflow]:[Cashflow]],_xlfn.AGGREGATE(15,3,(Adatok[[Ingatlanok]:[Ingatlanok]]=$H34)/(Adatok[[Ingatlanok]:[Ingatlanok]]=$H34)*(ROW(Adatok[[Ingatlanok]:[Ingatlanok]])-ROW(Adatok[[#Headers],[Ár]])),COLUMNS($J$25:U$25))),"")</f>
        <v/>
      </c>
      <c r="U65" t="str">
        <f>IF(COLUMNS($J$25:V$25)&lt;=$G34,INDEX(Adatok[[Cashflow]:[Cashflow]],_xlfn.AGGREGATE(15,3,(Adatok[[Ingatlanok]:[Ingatlanok]]=$H34)/(Adatok[[Ingatlanok]:[Ingatlanok]]=$H34)*(ROW(Adatok[[Ingatlanok]:[Ingatlanok]])-ROW(Adatok[[#Headers],[Letét, jelzálog]])),COLUMNS($J$25:V$25))),"")</f>
        <v/>
      </c>
      <c r="V65" t="str">
        <f>IF(COLUMNS($J$25:W$25)&lt;=$G34,INDEX(Adatok[[Cashflow]:[Cashflow]],_xlfn.AGGREGATE(15,3,(Adatok[[Ingatlanok]:[Ingatlanok]]=$H34)/(Adatok[[Ingatlanok]:[Ingatlanok]]=$H34)*(ROW(Adatok[[Ingatlanok]:[Ingatlanok]])-ROW(Adatok[[#Headers],[Előleg]])),COLUMNS($J$25:W$25))),"")</f>
        <v/>
      </c>
      <c r="W65" t="str">
        <f>IF(COLUMNS($J$25:X$25)&lt;=$G34,INDEX(Adatok[[Cashflow]:[Cashflow]],_xlfn.AGGREGATE(15,3,(Adatok[[Ingatlanok]:[Ingatlanok]]=$H34)/(Adatok[[Ingatlanok]:[Ingatlanok]]=$H34)*(ROW(Adatok[[Ingatlanok]:[Ingatlanok]])-ROW(Adatok[[#Headers],[Cashflow]])),COLUMNS($J$25:X$25))),"")</f>
        <v/>
      </c>
      <c r="X65" t="str">
        <f>IF(COLUMNS($J$25:Y$25)&lt;=$G34,INDEX(Adatok[[Cashflow]:[Cashflow]],_xlfn.AGGREGATE(15,3,(Adatok[[Ingatlanok]:[Ingatlanok]]=$H34)/(Adatok[[Ingatlanok]:[Ingatlanok]]=$H34)*(ROW(Adatok[[Ingatlanok]:[Ingatlanok]])-ROW(Adatok[[#Headers],[Ingatlanok]])),COLUMNS($J$25:Y$25))),"")</f>
        <v/>
      </c>
      <c r="Y65" t="str">
        <f>IF(COLUMNS($J$25:Z$25)&lt;=$G34,INDEX(Adatok[[Cashflow]:[Cashflow]],_xlfn.AGGREGATE(15,3,(Adatok[[Ingatlanok]:[Ingatlanok]]=$H34)/(Adatok[[Ingatlanok]:[Ingatlanok]]=$H34)*(ROW(Adatok[[Ingatlanok]:[Ingatlanok]])-ROW(Adatok[[#Headers],[Ár]])),COLUMNS($J$25:Z$25))),"")</f>
        <v/>
      </c>
      <c r="Z65" t="str">
        <f>IF(COLUMNS($J$25:AA$25)&lt;=$G34,INDEX(Adatok[[Cashflow]:[Cashflow]],_xlfn.AGGREGATE(15,3,(Adatok[[Ingatlanok]:[Ingatlanok]]=$H34)/(Adatok[[Ingatlanok]:[Ingatlanok]]=$H34)*(ROW(Adatok[[Ingatlanok]:[Ingatlanok]])-ROW(Adatok[[#Headers],[Letét, jelzálog]])),COLUMNS($J$25:AA$25))),"")</f>
        <v/>
      </c>
      <c r="AA65" t="str">
        <f>IF(COLUMNS($J$25:AB$25)&lt;=$G34,INDEX(Adatok[[Cashflow]:[Cashflow]],_xlfn.AGGREGATE(15,3,(Adatok[[Ingatlanok]:[Ingatlanok]]=$H34)/(Adatok[[Ingatlanok]:[Ingatlanok]]=$H34)*(ROW(Adatok[[Ingatlanok]:[Ingatlanok]])-ROW(Adatok[[#Headers],[Előleg]])),COLUMNS($J$25:AB$25))),"")</f>
        <v/>
      </c>
      <c r="AB65" t="str">
        <f>IF(COLUMNS($J$25:AC$25)&lt;=$G34,INDEX(Adatok[[Cashflow]:[Cashflow]],_xlfn.AGGREGATE(15,3,(Adatok[[Ingatlanok]:[Ingatlanok]]=$H34)/(Adatok[[Ingatlanok]:[Ingatlanok]]=$H34)*(ROW(Adatok[[Ingatlanok]:[Ingatlanok]])-ROW(Adatok[[#Headers],[Cashflow]])),COLUMNS($J$25:AC$25))),"")</f>
        <v/>
      </c>
      <c r="AC65" t="str">
        <f>IF(COLUMNS($J$25:AD$25)&lt;=$G34,INDEX(Adatok[[Cashflow]:[Cashflow]],_xlfn.AGGREGATE(15,3,(Adatok[[Ingatlanok]:[Ingatlanok]]=$H34)/(Adatok[[Ingatlanok]:[Ingatlanok]]=$H34)*(ROW(Adatok[[Ingatlanok]:[Ingatlanok]])-ROW(Adatok[[#Headers],[Ingatlanok]])),COLUMNS($J$25:AD$25))),"")</f>
        <v/>
      </c>
      <c r="AD65" t="str">
        <f>IF(COLUMNS($J$25:AE$25)&lt;=$G34,INDEX(Adatok[[Cashflow]:[Cashflow]],_xlfn.AGGREGATE(15,3,(Adatok[[Ingatlanok]:[Ingatlanok]]=$H34)/(Adatok[[Ingatlanok]:[Ingatlanok]]=$H34)*(ROW(Adatok[[Ingatlanok]:[Ingatlanok]])-ROW(Adatok[[#Headers],[Ár]])),COLUMNS($J$25:AE$25))),"")</f>
        <v/>
      </c>
    </row>
    <row r="66" spans="1:30" x14ac:dyDescent="0.25">
      <c r="A66" s="56" t="s">
        <v>123</v>
      </c>
      <c r="B66" s="56">
        <v>140000</v>
      </c>
      <c r="C66" s="56">
        <v>108000</v>
      </c>
      <c r="D66" s="56">
        <v>32000</v>
      </c>
      <c r="E66" s="56">
        <v>2000</v>
      </c>
      <c r="G66">
        <f>COUNTIF(Adatok[Ingatlanok],H66)</f>
        <v>13</v>
      </c>
      <c r="H66" s="57" t="str">
        <f>INDEX(Adatok[Ingatlanok],MATCH(0,INDEX(COUNTIF($H$56:H65,Adatok[Ingatlanok]),),0))</f>
        <v>CSALÁDI HÁZ 3H/2F</v>
      </c>
      <c r="I66">
        <f>IF(COLUMNS($J$25:J$25)&lt;=$G35,INDEX(Adatok[[Cashflow]:[Cashflow]],_xlfn.AGGREGATE(15,3,(Adatok[[Ingatlanok]:[Ingatlanok]]=$H35)/(Adatok[[Ingatlanok]:[Ingatlanok]]=$H35)*(ROW(Adatok[[Ingatlanok]:[Ingatlanok]])-ROW(Adatok[[#Headers],[Ingatlanok]])),COLUMNS($J$25:J$25))),"")</f>
        <v>-100</v>
      </c>
      <c r="J66">
        <f>IF(COLUMNS($J$25:K$25)&lt;=$G35,INDEX(Adatok[[Cashflow]:[Cashflow]],_xlfn.AGGREGATE(15,3,(Adatok[[Ingatlanok]:[Ingatlanok]]=$H35)/(Adatok[[Ingatlanok]:[Ingatlanok]]=$H35)*(ROW(Adatok[[Ingatlanok]:[Ingatlanok]])-ROW(Adatok[[#Headers],[Ár]])),COLUMNS($J$25:K$25))),"")</f>
        <v>100</v>
      </c>
      <c r="K66">
        <f>IF(COLUMNS($J$25:L$25)&lt;=$G35,INDEX(Adatok[[Cashflow]:[Cashflow]],_xlfn.AGGREGATE(15,3,(Adatok[[Ingatlanok]:[Ingatlanok]]=$H35)/(Adatok[[Ingatlanok]:[Ingatlanok]]=$H35)*(ROW(Adatok[[Ingatlanok]:[Ingatlanok]])-ROW(Adatok[[#Headers],[Letét, jelzálog]])),COLUMNS($J$25:L$25))),"")</f>
        <v>200</v>
      </c>
      <c r="L66">
        <f>IF(COLUMNS($J$25:M$25)&lt;=$G35,INDEX(Adatok[[Cashflow]:[Cashflow]],_xlfn.AGGREGATE(15,3,(Adatok[[Ingatlanok]:[Ingatlanok]]=$H35)/(Adatok[[Ingatlanok]:[Ingatlanok]]=$H35)*(ROW(Adatok[[Ingatlanok]:[Ingatlanok]])-ROW(Adatok[[#Headers],[Előleg]])),COLUMNS($J$25:M$25))),"")</f>
        <v>150</v>
      </c>
      <c r="M66">
        <f>IF(COLUMNS($J$25:N$25)&lt;=$G35,INDEX(Adatok[[Cashflow]:[Cashflow]],_xlfn.AGGREGATE(15,3,(Adatok[[Ingatlanok]:[Ingatlanok]]=$H35)/(Adatok[[Ingatlanok]:[Ingatlanok]]=$H35)*(ROW(Adatok[[Ingatlanok]:[Ingatlanok]])-ROW(Adatok[[#Headers],[Cashflow]])),COLUMNS($J$25:N$25))),"")</f>
        <v>300</v>
      </c>
      <c r="N66">
        <f>IF(COLUMNS($J$25:O$25)&lt;=$G35,INDEX(Adatok[[Cashflow]:[Cashflow]],_xlfn.AGGREGATE(15,3,(Adatok[[Ingatlanok]:[Ingatlanok]]=$H35)/(Adatok[[Ingatlanok]:[Ingatlanok]]=$H35)*(ROW(Adatok[[Ingatlanok]:[Ingatlanok]])-ROW(Adatok[[#Headers],[Ingatlanok]])),COLUMNS($J$25:O$25))),"")</f>
        <v>160</v>
      </c>
      <c r="O66">
        <f>IF(COLUMNS($J$25:P$25)&lt;=$G35,INDEX(Adatok[[Cashflow]:[Cashflow]],_xlfn.AGGREGATE(15,3,(Adatok[[Ingatlanok]:[Ingatlanok]]=$H35)/(Adatok[[Ingatlanok]:[Ingatlanok]]=$H35)*(ROW(Adatok[[Ingatlanok]:[Ingatlanok]])-ROW(Adatok[[#Headers],[Ár]])),COLUMNS($J$25:P$25))),"")</f>
        <v>400</v>
      </c>
      <c r="P66">
        <f>IF(COLUMNS($J$25:Q$25)&lt;=$G35,INDEX(Adatok[[Cashflow]:[Cashflow]],_xlfn.AGGREGATE(15,3,(Adatok[[Ingatlanok]:[Ingatlanok]]=$H35)/(Adatok[[Ingatlanok]:[Ingatlanok]]=$H35)*(ROW(Adatok[[Ingatlanok]:[Ingatlanok]])-ROW(Adatok[[#Headers],[Letét, jelzálog]])),COLUMNS($J$25:Q$25))),"")</f>
        <v>300</v>
      </c>
      <c r="Q66">
        <f>IF(COLUMNS($J$25:R$25)&lt;=$G35,INDEX(Adatok[[Cashflow]:[Cashflow]],_xlfn.AGGREGATE(15,3,(Adatok[[Ingatlanok]:[Ingatlanok]]=$H35)/(Adatok[[Ingatlanok]:[Ingatlanok]]=$H35)*(ROW(Adatok[[Ingatlanok]:[Ingatlanok]])-ROW(Adatok[[#Headers],[Előleg]])),COLUMNS($J$25:R$25))),"")</f>
        <v>500</v>
      </c>
      <c r="R66">
        <f>IF(COLUMNS($J$25:S$25)&lt;=$G35,INDEX(Adatok[[Cashflow]:[Cashflow]],_xlfn.AGGREGATE(15,3,(Adatok[[Ingatlanok]:[Ingatlanok]]=$H35)/(Adatok[[Ingatlanok]:[Ingatlanok]]=$H35)*(ROW(Adatok[[Ingatlanok]:[Ingatlanok]])-ROW(Adatok[[#Headers],[Cashflow]])),COLUMNS($J$25:S$25))),"")</f>
        <v>300</v>
      </c>
      <c r="S66">
        <f>IF(COLUMNS($J$25:T$25)&lt;=$G35,INDEX(Adatok[[Cashflow]:[Cashflow]],_xlfn.AGGREGATE(15,3,(Adatok[[Ingatlanok]:[Ingatlanok]]=$H35)/(Adatok[[Ingatlanok]:[Ingatlanok]]=$H35)*(ROW(Adatok[[Ingatlanok]:[Ingatlanok]])-ROW(Adatok[[#Headers],[Ingatlanok]])),COLUMNS($J$25:T$25))),"")</f>
        <v>-100</v>
      </c>
      <c r="T66">
        <f>IF(COLUMNS($J$25:U$25)&lt;=$G35,INDEX(Adatok[[Cashflow]:[Cashflow]],_xlfn.AGGREGATE(15,3,(Adatok[[Ingatlanok]:[Ingatlanok]]=$H35)/(Adatok[[Ingatlanok]:[Ingatlanok]]=$H35)*(ROW(Adatok[[Ingatlanok]:[Ingatlanok]])-ROW(Adatok[[#Headers],[Ár]])),COLUMNS($J$25:U$25))),"")</f>
        <v>-100</v>
      </c>
      <c r="U66">
        <f>IF(COLUMNS($J$25:V$25)&lt;=$G35,INDEX(Adatok[[Cashflow]:[Cashflow]],_xlfn.AGGREGATE(15,3,(Adatok[[Ingatlanok]:[Ingatlanok]]=$H35)/(Adatok[[Ingatlanok]:[Ingatlanok]]=$H35)*(ROW(Adatok[[Ingatlanok]:[Ingatlanok]])-ROW(Adatok[[#Headers],[Letét, jelzálog]])),COLUMNS($J$25:V$25))),"")</f>
        <v>100</v>
      </c>
      <c r="V66" t="str">
        <f>IF(COLUMNS($J$25:W$25)&lt;=$G35,INDEX(Adatok[[Cashflow]:[Cashflow]],_xlfn.AGGREGATE(15,3,(Adatok[[Ingatlanok]:[Ingatlanok]]=$H35)/(Adatok[[Ingatlanok]:[Ingatlanok]]=$H35)*(ROW(Adatok[[Ingatlanok]:[Ingatlanok]])-ROW(Adatok[[#Headers],[Előleg]])),COLUMNS($J$25:W$25))),"")</f>
        <v/>
      </c>
      <c r="W66" t="str">
        <f>IF(COLUMNS($J$25:X$25)&lt;=$G35,INDEX(Adatok[[Cashflow]:[Cashflow]],_xlfn.AGGREGATE(15,3,(Adatok[[Ingatlanok]:[Ingatlanok]]=$H35)/(Adatok[[Ingatlanok]:[Ingatlanok]]=$H35)*(ROW(Adatok[[Ingatlanok]:[Ingatlanok]])-ROW(Adatok[[#Headers],[Cashflow]])),COLUMNS($J$25:X$25))),"")</f>
        <v/>
      </c>
      <c r="X66" t="str">
        <f>IF(COLUMNS($J$25:Y$25)&lt;=$G35,INDEX(Adatok[[Cashflow]:[Cashflow]],_xlfn.AGGREGATE(15,3,(Adatok[[Ingatlanok]:[Ingatlanok]]=$H35)/(Adatok[[Ingatlanok]:[Ingatlanok]]=$H35)*(ROW(Adatok[[Ingatlanok]:[Ingatlanok]])-ROW(Adatok[[#Headers],[Ingatlanok]])),COLUMNS($J$25:Y$25))),"")</f>
        <v/>
      </c>
      <c r="Y66" t="str">
        <f>IF(COLUMNS($J$25:Z$25)&lt;=$G35,INDEX(Adatok[[Cashflow]:[Cashflow]],_xlfn.AGGREGATE(15,3,(Adatok[[Ingatlanok]:[Ingatlanok]]=$H35)/(Adatok[[Ingatlanok]:[Ingatlanok]]=$H35)*(ROW(Adatok[[Ingatlanok]:[Ingatlanok]])-ROW(Adatok[[#Headers],[Ár]])),COLUMNS($J$25:Z$25))),"")</f>
        <v/>
      </c>
      <c r="Z66" t="str">
        <f>IF(COLUMNS($J$25:AA$25)&lt;=$G35,INDEX(Adatok[[Cashflow]:[Cashflow]],_xlfn.AGGREGATE(15,3,(Adatok[[Ingatlanok]:[Ingatlanok]]=$H35)/(Adatok[[Ingatlanok]:[Ingatlanok]]=$H35)*(ROW(Adatok[[Ingatlanok]:[Ingatlanok]])-ROW(Adatok[[#Headers],[Letét, jelzálog]])),COLUMNS($J$25:AA$25))),"")</f>
        <v/>
      </c>
      <c r="AA66" t="str">
        <f>IF(COLUMNS($J$25:AB$25)&lt;=$G35,INDEX(Adatok[[Cashflow]:[Cashflow]],_xlfn.AGGREGATE(15,3,(Adatok[[Ingatlanok]:[Ingatlanok]]=$H35)/(Adatok[[Ingatlanok]:[Ingatlanok]]=$H35)*(ROW(Adatok[[Ingatlanok]:[Ingatlanok]])-ROW(Adatok[[#Headers],[Előleg]])),COLUMNS($J$25:AB$25))),"")</f>
        <v/>
      </c>
      <c r="AB66" t="str">
        <f>IF(COLUMNS($J$25:AC$25)&lt;=$G35,INDEX(Adatok[[Cashflow]:[Cashflow]],_xlfn.AGGREGATE(15,3,(Adatok[[Ingatlanok]:[Ingatlanok]]=$H35)/(Adatok[[Ingatlanok]:[Ingatlanok]]=$H35)*(ROW(Adatok[[Ingatlanok]:[Ingatlanok]])-ROW(Adatok[[#Headers],[Cashflow]])),COLUMNS($J$25:AC$25))),"")</f>
        <v/>
      </c>
      <c r="AC66" t="str">
        <f>IF(COLUMNS($J$25:AD$25)&lt;=$G35,INDEX(Adatok[[Cashflow]:[Cashflow]],_xlfn.AGGREGATE(15,3,(Adatok[[Ingatlanok]:[Ingatlanok]]=$H35)/(Adatok[[Ingatlanok]:[Ingatlanok]]=$H35)*(ROW(Adatok[[Ingatlanok]:[Ingatlanok]])-ROW(Adatok[[#Headers],[Ingatlanok]])),COLUMNS($J$25:AD$25))),"")</f>
        <v/>
      </c>
      <c r="AD66" t="str">
        <f>IF(COLUMNS($J$25:AE$25)&lt;=$G35,INDEX(Adatok[[Cashflow]:[Cashflow]],_xlfn.AGGREGATE(15,3,(Adatok[[Ingatlanok]:[Ingatlanok]]=$H35)/(Adatok[[Ingatlanok]:[Ingatlanok]]=$H35)*(ROW(Adatok[[Ingatlanok]:[Ingatlanok]])-ROW(Adatok[[#Headers],[Ár]])),COLUMNS($J$25:AE$25))),"")</f>
        <v/>
      </c>
    </row>
    <row r="67" spans="1:30" x14ac:dyDescent="0.25">
      <c r="A67" s="56" t="s">
        <v>134</v>
      </c>
      <c r="B67" s="56">
        <v>150000</v>
      </c>
      <c r="C67" s="56">
        <v>120000</v>
      </c>
      <c r="D67" s="56">
        <v>30000</v>
      </c>
      <c r="E67" s="56">
        <v>1000</v>
      </c>
      <c r="G67">
        <f>COUNTIF(Adatok[Ingatlanok],H67)</f>
        <v>6</v>
      </c>
      <c r="H67" s="57" t="str">
        <f>INDEX(Adatok[Ingatlanok],MATCH(0,INDEX(COUNTIF($H$56:H66,Adatok[Ingatlanok]),),0))</f>
        <v>NÉGYLAKÁSOS HÁZ</v>
      </c>
      <c r="I67">
        <f>IF(COLUMNS($J$25:J$25)&lt;=$G36,INDEX(Adatok[[Cashflow]:[Cashflow]],_xlfn.AGGREGATE(15,3,(Adatok[[Ingatlanok]:[Ingatlanok]]=$H36)/(Adatok[[Ingatlanok]:[Ingatlanok]]=$H36)*(ROW(Adatok[[Ingatlanok]:[Ingatlanok]])-ROW(Adatok[[#Headers],[Ingatlanok]])),COLUMNS($J$25:J$25))),"")</f>
        <v>400</v>
      </c>
      <c r="J67">
        <f>IF(COLUMNS($J$25:K$25)&lt;=$G36,INDEX(Adatok[[Cashflow]:[Cashflow]],_xlfn.AGGREGATE(15,3,(Adatok[[Ingatlanok]:[Ingatlanok]]=$H36)/(Adatok[[Ingatlanok]:[Ingatlanok]]=$H36)*(ROW(Adatok[[Ingatlanok]:[Ingatlanok]])-ROW(Adatok[[#Headers],[Ár]])),COLUMNS($J$25:K$25))),"")</f>
        <v>750</v>
      </c>
      <c r="K67">
        <f>IF(COLUMNS($J$25:L$25)&lt;=$G36,INDEX(Adatok[[Cashflow]:[Cashflow]],_xlfn.AGGREGATE(15,3,(Adatok[[Ingatlanok]:[Ingatlanok]]=$H36)/(Adatok[[Ingatlanok]:[Ingatlanok]]=$H36)*(ROW(Adatok[[Ingatlanok]:[Ingatlanok]])-ROW(Adatok[[#Headers],[Letét, jelzálog]])),COLUMNS($J$25:L$25))),"")</f>
        <v>500</v>
      </c>
      <c r="L67">
        <f>IF(COLUMNS($J$25:M$25)&lt;=$G36,INDEX(Adatok[[Cashflow]:[Cashflow]],_xlfn.AGGREGATE(15,3,(Adatok[[Ingatlanok]:[Ingatlanok]]=$H36)/(Adatok[[Ingatlanok]:[Ingatlanok]]=$H36)*(ROW(Adatok[[Ingatlanok]:[Ingatlanok]])-ROW(Adatok[[#Headers],[Előleg]])),COLUMNS($J$25:M$25))),"")</f>
        <v>800</v>
      </c>
      <c r="M67">
        <f>IF(COLUMNS($J$25:N$25)&lt;=$G36,INDEX(Adatok[[Cashflow]:[Cashflow]],_xlfn.AGGREGATE(15,3,(Adatok[[Ingatlanok]:[Ingatlanok]]=$H36)/(Adatok[[Ingatlanok]:[Ingatlanok]]=$H36)*(ROW(Adatok[[Ingatlanok]:[Ingatlanok]])-ROW(Adatok[[#Headers],[Cashflow]])),COLUMNS($J$25:N$25))),"")</f>
        <v>600</v>
      </c>
      <c r="N67">
        <f>IF(COLUMNS($J$25:O$25)&lt;=$G36,INDEX(Adatok[[Cashflow]:[Cashflow]],_xlfn.AGGREGATE(15,3,(Adatok[[Ingatlanok]:[Ingatlanok]]=$H36)/(Adatok[[Ingatlanok]:[Ingatlanok]]=$H36)*(ROW(Adatok[[Ingatlanok]:[Ingatlanok]])-ROW(Adatok[[#Headers],[Ingatlanok]])),COLUMNS($J$25:O$25))),"")</f>
        <v>2000</v>
      </c>
      <c r="O67" t="str">
        <f>IF(COLUMNS($J$25:P$25)&lt;=$G36,INDEX(Adatok[[Cashflow]:[Cashflow]],_xlfn.AGGREGATE(15,3,(Adatok[[Ingatlanok]:[Ingatlanok]]=$H36)/(Adatok[[Ingatlanok]:[Ingatlanok]]=$H36)*(ROW(Adatok[[Ingatlanok]:[Ingatlanok]])-ROW(Adatok[[#Headers],[Ár]])),COLUMNS($J$25:P$25))),"")</f>
        <v/>
      </c>
      <c r="P67" t="str">
        <f>IF(COLUMNS($J$25:Q$25)&lt;=$G36,INDEX(Adatok[[Cashflow]:[Cashflow]],_xlfn.AGGREGATE(15,3,(Adatok[[Ingatlanok]:[Ingatlanok]]=$H36)/(Adatok[[Ingatlanok]:[Ingatlanok]]=$H36)*(ROW(Adatok[[Ingatlanok]:[Ingatlanok]])-ROW(Adatok[[#Headers],[Letét, jelzálog]])),COLUMNS($J$25:Q$25))),"")</f>
        <v/>
      </c>
      <c r="Q67" t="str">
        <f>IF(COLUMNS($J$25:R$25)&lt;=$G36,INDEX(Adatok[[Cashflow]:[Cashflow]],_xlfn.AGGREGATE(15,3,(Adatok[[Ingatlanok]:[Ingatlanok]]=$H36)/(Adatok[[Ingatlanok]:[Ingatlanok]]=$H36)*(ROW(Adatok[[Ingatlanok]:[Ingatlanok]])-ROW(Adatok[[#Headers],[Előleg]])),COLUMNS($J$25:R$25))),"")</f>
        <v/>
      </c>
      <c r="R67" t="str">
        <f>IF(COLUMNS($J$25:S$25)&lt;=$G36,INDEX(Adatok[[Cashflow]:[Cashflow]],_xlfn.AGGREGATE(15,3,(Adatok[[Ingatlanok]:[Ingatlanok]]=$H36)/(Adatok[[Ingatlanok]:[Ingatlanok]]=$H36)*(ROW(Adatok[[Ingatlanok]:[Ingatlanok]])-ROW(Adatok[[#Headers],[Cashflow]])),COLUMNS($J$25:S$25))),"")</f>
        <v/>
      </c>
      <c r="S67" t="str">
        <f>IF(COLUMNS($J$25:T$25)&lt;=$G36,INDEX(Adatok[[Cashflow]:[Cashflow]],_xlfn.AGGREGATE(15,3,(Adatok[[Ingatlanok]:[Ingatlanok]]=$H36)/(Adatok[[Ingatlanok]:[Ingatlanok]]=$H36)*(ROW(Adatok[[Ingatlanok]:[Ingatlanok]])-ROW(Adatok[[#Headers],[Ingatlanok]])),COLUMNS($J$25:T$25))),"")</f>
        <v/>
      </c>
      <c r="T67" t="str">
        <f>IF(COLUMNS($J$25:U$25)&lt;=$G36,INDEX(Adatok[[Cashflow]:[Cashflow]],_xlfn.AGGREGATE(15,3,(Adatok[[Ingatlanok]:[Ingatlanok]]=$H36)/(Adatok[[Ingatlanok]:[Ingatlanok]]=$H36)*(ROW(Adatok[[Ingatlanok]:[Ingatlanok]])-ROW(Adatok[[#Headers],[Ár]])),COLUMNS($J$25:U$25))),"")</f>
        <v/>
      </c>
      <c r="U67" t="str">
        <f>IF(COLUMNS($J$25:V$25)&lt;=$G36,INDEX(Adatok[[Cashflow]:[Cashflow]],_xlfn.AGGREGATE(15,3,(Adatok[[Ingatlanok]:[Ingatlanok]]=$H36)/(Adatok[[Ingatlanok]:[Ingatlanok]]=$H36)*(ROW(Adatok[[Ingatlanok]:[Ingatlanok]])-ROW(Adatok[[#Headers],[Letét, jelzálog]])),COLUMNS($J$25:V$25))),"")</f>
        <v/>
      </c>
      <c r="V67" t="str">
        <f>IF(COLUMNS($J$25:W$25)&lt;=$G36,INDEX(Adatok[[Cashflow]:[Cashflow]],_xlfn.AGGREGATE(15,3,(Adatok[[Ingatlanok]:[Ingatlanok]]=$H36)/(Adatok[[Ingatlanok]:[Ingatlanok]]=$H36)*(ROW(Adatok[[Ingatlanok]:[Ingatlanok]])-ROW(Adatok[[#Headers],[Előleg]])),COLUMNS($J$25:W$25))),"")</f>
        <v/>
      </c>
      <c r="W67" t="str">
        <f>IF(COLUMNS($J$25:X$25)&lt;=$G36,INDEX(Adatok[[Cashflow]:[Cashflow]],_xlfn.AGGREGATE(15,3,(Adatok[[Ingatlanok]:[Ingatlanok]]=$H36)/(Adatok[[Ingatlanok]:[Ingatlanok]]=$H36)*(ROW(Adatok[[Ingatlanok]:[Ingatlanok]])-ROW(Adatok[[#Headers],[Cashflow]])),COLUMNS($J$25:X$25))),"")</f>
        <v/>
      </c>
      <c r="X67" t="str">
        <f>IF(COLUMNS($J$25:Y$25)&lt;=$G36,INDEX(Adatok[[Cashflow]:[Cashflow]],_xlfn.AGGREGATE(15,3,(Adatok[[Ingatlanok]:[Ingatlanok]]=$H36)/(Adatok[[Ingatlanok]:[Ingatlanok]]=$H36)*(ROW(Adatok[[Ingatlanok]:[Ingatlanok]])-ROW(Adatok[[#Headers],[Ingatlanok]])),COLUMNS($J$25:Y$25))),"")</f>
        <v/>
      </c>
      <c r="Y67" t="str">
        <f>IF(COLUMNS($J$25:Z$25)&lt;=$G36,INDEX(Adatok[[Cashflow]:[Cashflow]],_xlfn.AGGREGATE(15,3,(Adatok[[Ingatlanok]:[Ingatlanok]]=$H36)/(Adatok[[Ingatlanok]:[Ingatlanok]]=$H36)*(ROW(Adatok[[Ingatlanok]:[Ingatlanok]])-ROW(Adatok[[#Headers],[Ár]])),COLUMNS($J$25:Z$25))),"")</f>
        <v/>
      </c>
      <c r="Z67" t="str">
        <f>IF(COLUMNS($J$25:AA$25)&lt;=$G36,INDEX(Adatok[[Cashflow]:[Cashflow]],_xlfn.AGGREGATE(15,3,(Adatok[[Ingatlanok]:[Ingatlanok]]=$H36)/(Adatok[[Ingatlanok]:[Ingatlanok]]=$H36)*(ROW(Adatok[[Ingatlanok]:[Ingatlanok]])-ROW(Adatok[[#Headers],[Letét, jelzálog]])),COLUMNS($J$25:AA$25))),"")</f>
        <v/>
      </c>
      <c r="AA67" t="str">
        <f>IF(COLUMNS($J$25:AB$25)&lt;=$G36,INDEX(Adatok[[Cashflow]:[Cashflow]],_xlfn.AGGREGATE(15,3,(Adatok[[Ingatlanok]:[Ingatlanok]]=$H36)/(Adatok[[Ingatlanok]:[Ingatlanok]]=$H36)*(ROW(Adatok[[Ingatlanok]:[Ingatlanok]])-ROW(Adatok[[#Headers],[Előleg]])),COLUMNS($J$25:AB$25))),"")</f>
        <v/>
      </c>
      <c r="AB67" t="str">
        <f>IF(COLUMNS($J$25:AC$25)&lt;=$G36,INDEX(Adatok[[Cashflow]:[Cashflow]],_xlfn.AGGREGATE(15,3,(Adatok[[Ingatlanok]:[Ingatlanok]]=$H36)/(Adatok[[Ingatlanok]:[Ingatlanok]]=$H36)*(ROW(Adatok[[Ingatlanok]:[Ingatlanok]])-ROW(Adatok[[#Headers],[Cashflow]])),COLUMNS($J$25:AC$25))),"")</f>
        <v/>
      </c>
      <c r="AC67" t="str">
        <f>IF(COLUMNS($J$25:AD$25)&lt;=$G36,INDEX(Adatok[[Cashflow]:[Cashflow]],_xlfn.AGGREGATE(15,3,(Adatok[[Ingatlanok]:[Ingatlanok]]=$H36)/(Adatok[[Ingatlanok]:[Ingatlanok]]=$H36)*(ROW(Adatok[[Ingatlanok]:[Ingatlanok]])-ROW(Adatok[[#Headers],[Ingatlanok]])),COLUMNS($J$25:AD$25))),"")</f>
        <v/>
      </c>
      <c r="AD67" t="str">
        <f>IF(COLUMNS($J$25:AE$25)&lt;=$G36,INDEX(Adatok[[Cashflow]:[Cashflow]],_xlfn.AGGREGATE(15,3,(Adatok[[Ingatlanok]:[Ingatlanok]]=$H36)/(Adatok[[Ingatlanok]:[Ingatlanok]]=$H36)*(ROW(Adatok[[Ingatlanok]:[Ingatlanok]])-ROW(Adatok[[#Headers],[Ár]])),COLUMNS($J$25:AE$25))),"")</f>
        <v/>
      </c>
    </row>
    <row r="68" spans="1:30" x14ac:dyDescent="0.25">
      <c r="A68" s="56" t="s">
        <v>126</v>
      </c>
      <c r="B68" s="56">
        <v>150000</v>
      </c>
      <c r="C68" s="56">
        <v>120000</v>
      </c>
      <c r="D68" s="56">
        <v>30000</v>
      </c>
      <c r="E68" s="56">
        <v>2500</v>
      </c>
      <c r="G68">
        <f>COUNTIF(Adatok[Ingatlanok],H68)</f>
        <v>4</v>
      </c>
      <c r="H68" s="57" t="str">
        <f>INDEX(Adatok[Ingatlanok],MATCH(0,INDEX(COUNTIF($H$56:H67,Adatok[Ingatlanok]),),0))</f>
        <v>AUTOMATA ÜZLET</v>
      </c>
      <c r="I68">
        <f>IF(COLUMNS($J$25:J$25)&lt;=$G37,INDEX(Adatok[[Cashflow]:[Cashflow]],_xlfn.AGGREGATE(15,3,(Adatok[[Ingatlanok]:[Ingatlanok]]=$H37)/(Adatok[[Ingatlanok]:[Ingatlanok]]=$H37)*(ROW(Adatok[[Ingatlanok]:[Ingatlanok]])-ROW(Adatok[[#Headers],[Ingatlanok]])),COLUMNS($J$25:J$25))),"")</f>
        <v>1600</v>
      </c>
      <c r="J68">
        <f>IF(COLUMNS($J$25:K$25)&lt;=$G37,INDEX(Adatok[[Cashflow]:[Cashflow]],_xlfn.AGGREGATE(15,3,(Adatok[[Ingatlanok]:[Ingatlanok]]=$H37)/(Adatok[[Ingatlanok]:[Ingatlanok]]=$H37)*(ROW(Adatok[[Ingatlanok]:[Ingatlanok]])-ROW(Adatok[[#Headers],[Ár]])),COLUMNS($J$25:K$25))),"")</f>
        <v>1800</v>
      </c>
      <c r="K68">
        <f>IF(COLUMNS($J$25:L$25)&lt;=$G37,INDEX(Adatok[[Cashflow]:[Cashflow]],_xlfn.AGGREGATE(15,3,(Adatok[[Ingatlanok]:[Ingatlanok]]=$H37)/(Adatok[[Ingatlanok]:[Ingatlanok]]=$H37)*(ROW(Adatok[[Ingatlanok]:[Ingatlanok]])-ROW(Adatok[[#Headers],[Letét, jelzálog]])),COLUMNS($J$25:L$25))),"")</f>
        <v>2500</v>
      </c>
      <c r="L68">
        <f>IF(COLUMNS($J$25:M$25)&lt;=$G37,INDEX(Adatok[[Cashflow]:[Cashflow]],_xlfn.AGGREGATE(15,3,(Adatok[[Ingatlanok]:[Ingatlanok]]=$H37)/(Adatok[[Ingatlanok]:[Ingatlanok]]=$H37)*(ROW(Adatok[[Ingatlanok]:[Ingatlanok]])-ROW(Adatok[[#Headers],[Előleg]])),COLUMNS($J$25:M$25))),"")</f>
        <v>2700</v>
      </c>
      <c r="M68" t="str">
        <f>IF(COLUMNS($J$25:N$25)&lt;=$G37,INDEX(Adatok[[Cashflow]:[Cashflow]],_xlfn.AGGREGATE(15,3,(Adatok[[Ingatlanok]:[Ingatlanok]]=$H37)/(Adatok[[Ingatlanok]:[Ingatlanok]]=$H37)*(ROW(Adatok[[Ingatlanok]:[Ingatlanok]])-ROW(Adatok[[#Headers],[Cashflow]])),COLUMNS($J$25:N$25))),"")</f>
        <v/>
      </c>
      <c r="N68" t="str">
        <f>IF(COLUMNS($J$25:O$25)&lt;=$G37,INDEX(Adatok[[Cashflow]:[Cashflow]],_xlfn.AGGREGATE(15,3,(Adatok[[Ingatlanok]:[Ingatlanok]]=$H37)/(Adatok[[Ingatlanok]:[Ingatlanok]]=$H37)*(ROW(Adatok[[Ingatlanok]:[Ingatlanok]])-ROW(Adatok[[#Headers],[Ingatlanok]])),COLUMNS($J$25:O$25))),"")</f>
        <v/>
      </c>
      <c r="O68" t="str">
        <f>IF(COLUMNS($J$25:P$25)&lt;=$G37,INDEX(Adatok[[Cashflow]:[Cashflow]],_xlfn.AGGREGATE(15,3,(Adatok[[Ingatlanok]:[Ingatlanok]]=$H37)/(Adatok[[Ingatlanok]:[Ingatlanok]]=$H37)*(ROW(Adatok[[Ingatlanok]:[Ingatlanok]])-ROW(Adatok[[#Headers],[Ár]])),COLUMNS($J$25:P$25))),"")</f>
        <v/>
      </c>
      <c r="P68" t="str">
        <f>IF(COLUMNS($J$25:Q$25)&lt;=$G37,INDEX(Adatok[[Cashflow]:[Cashflow]],_xlfn.AGGREGATE(15,3,(Adatok[[Ingatlanok]:[Ingatlanok]]=$H37)/(Adatok[[Ingatlanok]:[Ingatlanok]]=$H37)*(ROW(Adatok[[Ingatlanok]:[Ingatlanok]])-ROW(Adatok[[#Headers],[Letét, jelzálog]])),COLUMNS($J$25:Q$25))),"")</f>
        <v/>
      </c>
      <c r="Q68" t="str">
        <f>IF(COLUMNS($J$25:R$25)&lt;=$G37,INDEX(Adatok[[Cashflow]:[Cashflow]],_xlfn.AGGREGATE(15,3,(Adatok[[Ingatlanok]:[Ingatlanok]]=$H37)/(Adatok[[Ingatlanok]:[Ingatlanok]]=$H37)*(ROW(Adatok[[Ingatlanok]:[Ingatlanok]])-ROW(Adatok[[#Headers],[Előleg]])),COLUMNS($J$25:R$25))),"")</f>
        <v/>
      </c>
      <c r="R68" t="str">
        <f>IF(COLUMNS($J$25:S$25)&lt;=$G37,INDEX(Adatok[[Cashflow]:[Cashflow]],_xlfn.AGGREGATE(15,3,(Adatok[[Ingatlanok]:[Ingatlanok]]=$H37)/(Adatok[[Ingatlanok]:[Ingatlanok]]=$H37)*(ROW(Adatok[[Ingatlanok]:[Ingatlanok]])-ROW(Adatok[[#Headers],[Cashflow]])),COLUMNS($J$25:S$25))),"")</f>
        <v/>
      </c>
      <c r="S68" t="str">
        <f>IF(COLUMNS($J$25:T$25)&lt;=$G37,INDEX(Adatok[[Cashflow]:[Cashflow]],_xlfn.AGGREGATE(15,3,(Adatok[[Ingatlanok]:[Ingatlanok]]=$H37)/(Adatok[[Ingatlanok]:[Ingatlanok]]=$H37)*(ROW(Adatok[[Ingatlanok]:[Ingatlanok]])-ROW(Adatok[[#Headers],[Ingatlanok]])),COLUMNS($J$25:T$25))),"")</f>
        <v/>
      </c>
      <c r="T68" t="str">
        <f>IF(COLUMNS($J$25:U$25)&lt;=$G37,INDEX(Adatok[[Cashflow]:[Cashflow]],_xlfn.AGGREGATE(15,3,(Adatok[[Ingatlanok]:[Ingatlanok]]=$H37)/(Adatok[[Ingatlanok]:[Ingatlanok]]=$H37)*(ROW(Adatok[[Ingatlanok]:[Ingatlanok]])-ROW(Adatok[[#Headers],[Ár]])),COLUMNS($J$25:U$25))),"")</f>
        <v/>
      </c>
      <c r="U68" t="str">
        <f>IF(COLUMNS($J$25:V$25)&lt;=$G37,INDEX(Adatok[[Cashflow]:[Cashflow]],_xlfn.AGGREGATE(15,3,(Adatok[[Ingatlanok]:[Ingatlanok]]=$H37)/(Adatok[[Ingatlanok]:[Ingatlanok]]=$H37)*(ROW(Adatok[[Ingatlanok]:[Ingatlanok]])-ROW(Adatok[[#Headers],[Letét, jelzálog]])),COLUMNS($J$25:V$25))),"")</f>
        <v/>
      </c>
      <c r="V68" t="str">
        <f>IF(COLUMNS($J$25:W$25)&lt;=$G37,INDEX(Adatok[[Cashflow]:[Cashflow]],_xlfn.AGGREGATE(15,3,(Adatok[[Ingatlanok]:[Ingatlanok]]=$H37)/(Adatok[[Ingatlanok]:[Ingatlanok]]=$H37)*(ROW(Adatok[[Ingatlanok]:[Ingatlanok]])-ROW(Adatok[[#Headers],[Előleg]])),COLUMNS($J$25:W$25))),"")</f>
        <v/>
      </c>
      <c r="W68" t="str">
        <f>IF(COLUMNS($J$25:X$25)&lt;=$G37,INDEX(Adatok[[Cashflow]:[Cashflow]],_xlfn.AGGREGATE(15,3,(Adatok[[Ingatlanok]:[Ingatlanok]]=$H37)/(Adatok[[Ingatlanok]:[Ingatlanok]]=$H37)*(ROW(Adatok[[Ingatlanok]:[Ingatlanok]])-ROW(Adatok[[#Headers],[Cashflow]])),COLUMNS($J$25:X$25))),"")</f>
        <v/>
      </c>
      <c r="X68" t="str">
        <f>IF(COLUMNS($J$25:Y$25)&lt;=$G37,INDEX(Adatok[[Cashflow]:[Cashflow]],_xlfn.AGGREGATE(15,3,(Adatok[[Ingatlanok]:[Ingatlanok]]=$H37)/(Adatok[[Ingatlanok]:[Ingatlanok]]=$H37)*(ROW(Adatok[[Ingatlanok]:[Ingatlanok]])-ROW(Adatok[[#Headers],[Ingatlanok]])),COLUMNS($J$25:Y$25))),"")</f>
        <v/>
      </c>
      <c r="Y68" t="str">
        <f>IF(COLUMNS($J$25:Z$25)&lt;=$G37,INDEX(Adatok[[Cashflow]:[Cashflow]],_xlfn.AGGREGATE(15,3,(Adatok[[Ingatlanok]:[Ingatlanok]]=$H37)/(Adatok[[Ingatlanok]:[Ingatlanok]]=$H37)*(ROW(Adatok[[Ingatlanok]:[Ingatlanok]])-ROW(Adatok[[#Headers],[Ár]])),COLUMNS($J$25:Z$25))),"")</f>
        <v/>
      </c>
      <c r="Z68" t="str">
        <f>IF(COLUMNS($J$25:AA$25)&lt;=$G37,INDEX(Adatok[[Cashflow]:[Cashflow]],_xlfn.AGGREGATE(15,3,(Adatok[[Ingatlanok]:[Ingatlanok]]=$H37)/(Adatok[[Ingatlanok]:[Ingatlanok]]=$H37)*(ROW(Adatok[[Ingatlanok]:[Ingatlanok]])-ROW(Adatok[[#Headers],[Letét, jelzálog]])),COLUMNS($J$25:AA$25))),"")</f>
        <v/>
      </c>
      <c r="AA68" t="str">
        <f>IF(COLUMNS($J$25:AB$25)&lt;=$G37,INDEX(Adatok[[Cashflow]:[Cashflow]],_xlfn.AGGREGATE(15,3,(Adatok[[Ingatlanok]:[Ingatlanok]]=$H37)/(Adatok[[Ingatlanok]:[Ingatlanok]]=$H37)*(ROW(Adatok[[Ingatlanok]:[Ingatlanok]])-ROW(Adatok[[#Headers],[Előleg]])),COLUMNS($J$25:AB$25))),"")</f>
        <v/>
      </c>
      <c r="AB68" t="str">
        <f>IF(COLUMNS($J$25:AC$25)&lt;=$G37,INDEX(Adatok[[Cashflow]:[Cashflow]],_xlfn.AGGREGATE(15,3,(Adatok[[Ingatlanok]:[Ingatlanok]]=$H37)/(Adatok[[Ingatlanok]:[Ingatlanok]]=$H37)*(ROW(Adatok[[Ingatlanok]:[Ingatlanok]])-ROW(Adatok[[#Headers],[Cashflow]])),COLUMNS($J$25:AC$25))),"")</f>
        <v/>
      </c>
      <c r="AC68" t="str">
        <f>IF(COLUMNS($J$25:AD$25)&lt;=$G37,INDEX(Adatok[[Cashflow]:[Cashflow]],_xlfn.AGGREGATE(15,3,(Adatok[[Ingatlanok]:[Ingatlanok]]=$H37)/(Adatok[[Ingatlanok]:[Ingatlanok]]=$H37)*(ROW(Adatok[[Ingatlanok]:[Ingatlanok]])-ROW(Adatok[[#Headers],[Ingatlanok]])),COLUMNS($J$25:AD$25))),"")</f>
        <v/>
      </c>
      <c r="AD68" t="str">
        <f>IF(COLUMNS($J$25:AE$25)&lt;=$G37,INDEX(Adatok[[Cashflow]:[Cashflow]],_xlfn.AGGREGATE(15,3,(Adatok[[Ingatlanok]:[Ingatlanok]]=$H37)/(Adatok[[Ingatlanok]:[Ingatlanok]]=$H37)*(ROW(Adatok[[Ingatlanok]:[Ingatlanok]])-ROW(Adatok[[#Headers],[Ár]])),COLUMNS($J$25:AE$25))),"")</f>
        <v/>
      </c>
    </row>
    <row r="69" spans="1:30" x14ac:dyDescent="0.25">
      <c r="A69" s="56" t="s">
        <v>124</v>
      </c>
      <c r="B69" s="56">
        <v>160000</v>
      </c>
      <c r="C69" s="56">
        <v>128000</v>
      </c>
      <c r="D69" s="56">
        <v>32000</v>
      </c>
      <c r="E69" s="56">
        <v>1700</v>
      </c>
      <c r="G69">
        <f>COUNTIF(Adatok[Ingatlanok],H69)</f>
        <v>1</v>
      </c>
      <c r="H69" s="57" t="str">
        <f>INDEX(Adatok[Ingatlanok],MATCH(0,INDEX(COUNTIF($H$56:H68,Adatok[Ingatlanok]),),0))</f>
        <v>KIS PANZIÓ</v>
      </c>
      <c r="I69">
        <f>IF(COLUMNS($J$25:J$25)&lt;=$G38,INDEX(Adatok[[Cashflow]:[Cashflow]],_xlfn.AGGREGATE(15,3,(Adatok[[Ingatlanok]:[Ingatlanok]]=$H38)/(Adatok[[Ingatlanok]:[Ingatlanok]]=$H38)*(ROW(Adatok[[Ingatlanok]:[Ingatlanok]])-ROW(Adatok[[#Headers],[Ingatlanok]])),COLUMNS($J$25:J$25))),"")</f>
        <v>1000</v>
      </c>
      <c r="J69" t="str">
        <f>IF(COLUMNS($J$25:K$25)&lt;=$G38,INDEX(Adatok[[Cashflow]:[Cashflow]],_xlfn.AGGREGATE(15,3,(Adatok[[Ingatlanok]:[Ingatlanok]]=$H38)/(Adatok[[Ingatlanok]:[Ingatlanok]]=$H38)*(ROW(Adatok[[Ingatlanok]:[Ingatlanok]])-ROW(Adatok[[#Headers],[Ár]])),COLUMNS($J$25:K$25))),"")</f>
        <v/>
      </c>
      <c r="K69" t="str">
        <f>IF(COLUMNS($J$25:L$25)&lt;=$G38,INDEX(Adatok[[Cashflow]:[Cashflow]],_xlfn.AGGREGATE(15,3,(Adatok[[Ingatlanok]:[Ingatlanok]]=$H38)/(Adatok[[Ingatlanok]:[Ingatlanok]]=$H38)*(ROW(Adatok[[Ingatlanok]:[Ingatlanok]])-ROW(Adatok[[#Headers],[Letét, jelzálog]])),COLUMNS($J$25:L$25))),"")</f>
        <v/>
      </c>
      <c r="L69" t="str">
        <f>IF(COLUMNS($J$25:M$25)&lt;=$G38,INDEX(Adatok[[Cashflow]:[Cashflow]],_xlfn.AGGREGATE(15,3,(Adatok[[Ingatlanok]:[Ingatlanok]]=$H38)/(Adatok[[Ingatlanok]:[Ingatlanok]]=$H38)*(ROW(Adatok[[Ingatlanok]:[Ingatlanok]])-ROW(Adatok[[#Headers],[Előleg]])),COLUMNS($J$25:M$25))),"")</f>
        <v/>
      </c>
      <c r="M69" t="str">
        <f>IF(COLUMNS($J$25:N$25)&lt;=$G38,INDEX(Adatok[[Cashflow]:[Cashflow]],_xlfn.AGGREGATE(15,3,(Adatok[[Ingatlanok]:[Ingatlanok]]=$H38)/(Adatok[[Ingatlanok]:[Ingatlanok]]=$H38)*(ROW(Adatok[[Ingatlanok]:[Ingatlanok]])-ROW(Adatok[[#Headers],[Cashflow]])),COLUMNS($J$25:N$25))),"")</f>
        <v/>
      </c>
      <c r="N69" t="str">
        <f>IF(COLUMNS($J$25:O$25)&lt;=$G38,INDEX(Adatok[[Cashflow]:[Cashflow]],_xlfn.AGGREGATE(15,3,(Adatok[[Ingatlanok]:[Ingatlanok]]=$H38)/(Adatok[[Ingatlanok]:[Ingatlanok]]=$H38)*(ROW(Adatok[[Ingatlanok]:[Ingatlanok]])-ROW(Adatok[[#Headers],[Ingatlanok]])),COLUMNS($J$25:O$25))),"")</f>
        <v/>
      </c>
      <c r="O69" t="str">
        <f>IF(COLUMNS($J$25:P$25)&lt;=$G38,INDEX(Adatok[[Cashflow]:[Cashflow]],_xlfn.AGGREGATE(15,3,(Adatok[[Ingatlanok]:[Ingatlanok]]=$H38)/(Adatok[[Ingatlanok]:[Ingatlanok]]=$H38)*(ROW(Adatok[[Ingatlanok]:[Ingatlanok]])-ROW(Adatok[[#Headers],[Ár]])),COLUMNS($J$25:P$25))),"")</f>
        <v/>
      </c>
      <c r="P69" t="str">
        <f>IF(COLUMNS($J$25:Q$25)&lt;=$G38,INDEX(Adatok[[Cashflow]:[Cashflow]],_xlfn.AGGREGATE(15,3,(Adatok[[Ingatlanok]:[Ingatlanok]]=$H38)/(Adatok[[Ingatlanok]:[Ingatlanok]]=$H38)*(ROW(Adatok[[Ingatlanok]:[Ingatlanok]])-ROW(Adatok[[#Headers],[Letét, jelzálog]])),COLUMNS($J$25:Q$25))),"")</f>
        <v/>
      </c>
      <c r="Q69" t="str">
        <f>IF(COLUMNS($J$25:R$25)&lt;=$G38,INDEX(Adatok[[Cashflow]:[Cashflow]],_xlfn.AGGREGATE(15,3,(Adatok[[Ingatlanok]:[Ingatlanok]]=$H38)/(Adatok[[Ingatlanok]:[Ingatlanok]]=$H38)*(ROW(Adatok[[Ingatlanok]:[Ingatlanok]])-ROW(Adatok[[#Headers],[Előleg]])),COLUMNS($J$25:R$25))),"")</f>
        <v/>
      </c>
      <c r="R69" t="str">
        <f>IF(COLUMNS($J$25:S$25)&lt;=$G38,INDEX(Adatok[[Cashflow]:[Cashflow]],_xlfn.AGGREGATE(15,3,(Adatok[[Ingatlanok]:[Ingatlanok]]=$H38)/(Adatok[[Ingatlanok]:[Ingatlanok]]=$H38)*(ROW(Adatok[[Ingatlanok]:[Ingatlanok]])-ROW(Adatok[[#Headers],[Cashflow]])),COLUMNS($J$25:S$25))),"")</f>
        <v/>
      </c>
      <c r="S69" t="str">
        <f>IF(COLUMNS($J$25:T$25)&lt;=$G38,INDEX(Adatok[[Cashflow]:[Cashflow]],_xlfn.AGGREGATE(15,3,(Adatok[[Ingatlanok]:[Ingatlanok]]=$H38)/(Adatok[[Ingatlanok]:[Ingatlanok]]=$H38)*(ROW(Adatok[[Ingatlanok]:[Ingatlanok]])-ROW(Adatok[[#Headers],[Ingatlanok]])),COLUMNS($J$25:T$25))),"")</f>
        <v/>
      </c>
      <c r="T69" t="str">
        <f>IF(COLUMNS($J$25:U$25)&lt;=$G38,INDEX(Adatok[[Cashflow]:[Cashflow]],_xlfn.AGGREGATE(15,3,(Adatok[[Ingatlanok]:[Ingatlanok]]=$H38)/(Adatok[[Ingatlanok]:[Ingatlanok]]=$H38)*(ROW(Adatok[[Ingatlanok]:[Ingatlanok]])-ROW(Adatok[[#Headers],[Ár]])),COLUMNS($J$25:U$25))),"")</f>
        <v/>
      </c>
      <c r="U69" t="str">
        <f>IF(COLUMNS($J$25:V$25)&lt;=$G38,INDEX(Adatok[[Cashflow]:[Cashflow]],_xlfn.AGGREGATE(15,3,(Adatok[[Ingatlanok]:[Ingatlanok]]=$H38)/(Adatok[[Ingatlanok]:[Ingatlanok]]=$H38)*(ROW(Adatok[[Ingatlanok]:[Ingatlanok]])-ROW(Adatok[[#Headers],[Letét, jelzálog]])),COLUMNS($J$25:V$25))),"")</f>
        <v/>
      </c>
      <c r="V69" t="str">
        <f>IF(COLUMNS($J$25:W$25)&lt;=$G38,INDEX(Adatok[[Cashflow]:[Cashflow]],_xlfn.AGGREGATE(15,3,(Adatok[[Ingatlanok]:[Ingatlanok]]=$H38)/(Adatok[[Ingatlanok]:[Ingatlanok]]=$H38)*(ROW(Adatok[[Ingatlanok]:[Ingatlanok]])-ROW(Adatok[[#Headers],[Előleg]])),COLUMNS($J$25:W$25))),"")</f>
        <v/>
      </c>
      <c r="W69" t="str">
        <f>IF(COLUMNS($J$25:X$25)&lt;=$G38,INDEX(Adatok[[Cashflow]:[Cashflow]],_xlfn.AGGREGATE(15,3,(Adatok[[Ingatlanok]:[Ingatlanok]]=$H38)/(Adatok[[Ingatlanok]:[Ingatlanok]]=$H38)*(ROW(Adatok[[Ingatlanok]:[Ingatlanok]])-ROW(Adatok[[#Headers],[Cashflow]])),COLUMNS($J$25:X$25))),"")</f>
        <v/>
      </c>
      <c r="X69" t="str">
        <f>IF(COLUMNS($J$25:Y$25)&lt;=$G38,INDEX(Adatok[[Cashflow]:[Cashflow]],_xlfn.AGGREGATE(15,3,(Adatok[[Ingatlanok]:[Ingatlanok]]=$H38)/(Adatok[[Ingatlanok]:[Ingatlanok]]=$H38)*(ROW(Adatok[[Ingatlanok]:[Ingatlanok]])-ROW(Adatok[[#Headers],[Ingatlanok]])),COLUMNS($J$25:Y$25))),"")</f>
        <v/>
      </c>
      <c r="Y69" t="str">
        <f>IF(COLUMNS($J$25:Z$25)&lt;=$G38,INDEX(Adatok[[Cashflow]:[Cashflow]],_xlfn.AGGREGATE(15,3,(Adatok[[Ingatlanok]:[Ingatlanok]]=$H38)/(Adatok[[Ingatlanok]:[Ingatlanok]]=$H38)*(ROW(Adatok[[Ingatlanok]:[Ingatlanok]])-ROW(Adatok[[#Headers],[Ár]])),COLUMNS($J$25:Z$25))),"")</f>
        <v/>
      </c>
      <c r="Z69" t="str">
        <f>IF(COLUMNS($J$25:AA$25)&lt;=$G38,INDEX(Adatok[[Cashflow]:[Cashflow]],_xlfn.AGGREGATE(15,3,(Adatok[[Ingatlanok]:[Ingatlanok]]=$H38)/(Adatok[[Ingatlanok]:[Ingatlanok]]=$H38)*(ROW(Adatok[[Ingatlanok]:[Ingatlanok]])-ROW(Adatok[[#Headers],[Letét, jelzálog]])),COLUMNS($J$25:AA$25))),"")</f>
        <v/>
      </c>
      <c r="AA69" t="str">
        <f>IF(COLUMNS($J$25:AB$25)&lt;=$G38,INDEX(Adatok[[Cashflow]:[Cashflow]],_xlfn.AGGREGATE(15,3,(Adatok[[Ingatlanok]:[Ingatlanok]]=$H38)/(Adatok[[Ingatlanok]:[Ingatlanok]]=$H38)*(ROW(Adatok[[Ingatlanok]:[Ingatlanok]])-ROW(Adatok[[#Headers],[Előleg]])),COLUMNS($J$25:AB$25))),"")</f>
        <v/>
      </c>
      <c r="AB69" t="str">
        <f>IF(COLUMNS($J$25:AC$25)&lt;=$G38,INDEX(Adatok[[Cashflow]:[Cashflow]],_xlfn.AGGREGATE(15,3,(Adatok[[Ingatlanok]:[Ingatlanok]]=$H38)/(Adatok[[Ingatlanok]:[Ingatlanok]]=$H38)*(ROW(Adatok[[Ingatlanok]:[Ingatlanok]])-ROW(Adatok[[#Headers],[Cashflow]])),COLUMNS($J$25:AC$25))),"")</f>
        <v/>
      </c>
      <c r="AC69" t="str">
        <f>IF(COLUMNS($J$25:AD$25)&lt;=$G38,INDEX(Adatok[[Cashflow]:[Cashflow]],_xlfn.AGGREGATE(15,3,(Adatok[[Ingatlanok]:[Ingatlanok]]=$H38)/(Adatok[[Ingatlanok]:[Ingatlanok]]=$H38)*(ROW(Adatok[[Ingatlanok]:[Ingatlanok]])-ROW(Adatok[[#Headers],[Ingatlanok]])),COLUMNS($J$25:AD$25))),"")</f>
        <v/>
      </c>
      <c r="AD69" t="str">
        <f>IF(COLUMNS($J$25:AE$25)&lt;=$G38,INDEX(Adatok[[Cashflow]:[Cashflow]],_xlfn.AGGREGATE(15,3,(Adatok[[Ingatlanok]:[Ingatlanok]]=$H38)/(Adatok[[Ingatlanok]:[Ingatlanok]]=$H38)*(ROW(Adatok[[Ingatlanok]:[Ingatlanok]])-ROW(Adatok[[#Headers],[Ár]])),COLUMNS($J$25:AE$25))),"")</f>
        <v/>
      </c>
    </row>
    <row r="70" spans="1:30" x14ac:dyDescent="0.25">
      <c r="A70" s="56" t="s">
        <v>124</v>
      </c>
      <c r="B70" s="47">
        <v>200000</v>
      </c>
      <c r="C70" s="47">
        <v>160000</v>
      </c>
      <c r="D70" s="47">
        <v>40000</v>
      </c>
      <c r="E70" s="47">
        <v>1600</v>
      </c>
      <c r="G70">
        <f>COUNTIF(Adatok[Ingatlanok],H70)</f>
        <v>4</v>
      </c>
      <c r="H70" s="57" t="str">
        <f>INDEX(Adatok[Ingatlanok],MATCH(0,INDEX(COUNTIF($H$56:H69,Adatok[Ingatlanok]),),0))</f>
        <v xml:space="preserve">NYOLCLAKÁSOS HÁZ </v>
      </c>
      <c r="I70">
        <f>IF(COLUMNS($J$25:J$25)&lt;=$G39,INDEX(Adatok[[Cashflow]:[Cashflow]],_xlfn.AGGREGATE(15,3,(Adatok[[Ingatlanok]:[Ingatlanok]]=$H39)/(Adatok[[Ingatlanok]:[Ingatlanok]]=$H39)*(ROW(Adatok[[Ingatlanok]:[Ingatlanok]])-ROW(Adatok[[#Headers],[Ingatlanok]])),COLUMNS($J$25:J$25))),"")</f>
        <v>1700</v>
      </c>
      <c r="J70">
        <f>IF(COLUMNS($J$25:K$25)&lt;=$G39,INDEX(Adatok[[Cashflow]:[Cashflow]],_xlfn.AGGREGATE(15,3,(Adatok[[Ingatlanok]:[Ingatlanok]]=$H39)/(Adatok[[Ingatlanok]:[Ingatlanok]]=$H39)*(ROW(Adatok[[Ingatlanok]:[Ingatlanok]])-ROW(Adatok[[#Headers],[Ár]])),COLUMNS($J$25:K$25))),"")</f>
        <v>1600</v>
      </c>
      <c r="K70">
        <f>IF(COLUMNS($J$25:L$25)&lt;=$G39,INDEX(Adatok[[Cashflow]:[Cashflow]],_xlfn.AGGREGATE(15,3,(Adatok[[Ingatlanok]:[Ingatlanok]]=$H39)/(Adatok[[Ingatlanok]:[Ingatlanok]]=$H39)*(ROW(Adatok[[Ingatlanok]:[Ingatlanok]])-ROW(Adatok[[#Headers],[Letét, jelzálog]])),COLUMNS($J$25:L$25))),"")</f>
        <v>1700</v>
      </c>
      <c r="L70">
        <f>IF(COLUMNS($J$25:M$25)&lt;=$G39,INDEX(Adatok[[Cashflow]:[Cashflow]],_xlfn.AGGREGATE(15,3,(Adatok[[Ingatlanok]:[Ingatlanok]]=$H39)/(Adatok[[Ingatlanok]:[Ingatlanok]]=$H39)*(ROW(Adatok[[Ingatlanok]:[Ingatlanok]])-ROW(Adatok[[#Headers],[Előleg]])),COLUMNS($J$25:M$25))),"")</f>
        <v>950</v>
      </c>
      <c r="M70" t="str">
        <f>IF(COLUMNS($J$25:N$25)&lt;=$G39,INDEX(Adatok[[Cashflow]:[Cashflow]],_xlfn.AGGREGATE(15,3,(Adatok[[Ingatlanok]:[Ingatlanok]]=$H39)/(Adatok[[Ingatlanok]:[Ingatlanok]]=$H39)*(ROW(Adatok[[Ingatlanok]:[Ingatlanok]])-ROW(Adatok[[#Headers],[Cashflow]])),COLUMNS($J$25:N$25))),"")</f>
        <v/>
      </c>
      <c r="N70" t="str">
        <f>IF(COLUMNS($J$25:O$25)&lt;=$G39,INDEX(Adatok[[Cashflow]:[Cashflow]],_xlfn.AGGREGATE(15,3,(Adatok[[Ingatlanok]:[Ingatlanok]]=$H39)/(Adatok[[Ingatlanok]:[Ingatlanok]]=$H39)*(ROW(Adatok[[Ingatlanok]:[Ingatlanok]])-ROW(Adatok[[#Headers],[Ingatlanok]])),COLUMNS($J$25:O$25))),"")</f>
        <v/>
      </c>
      <c r="O70" t="str">
        <f>IF(COLUMNS($J$25:P$25)&lt;=$G39,INDEX(Adatok[[Cashflow]:[Cashflow]],_xlfn.AGGREGATE(15,3,(Adatok[[Ingatlanok]:[Ingatlanok]]=$H39)/(Adatok[[Ingatlanok]:[Ingatlanok]]=$H39)*(ROW(Adatok[[Ingatlanok]:[Ingatlanok]])-ROW(Adatok[[#Headers],[Ár]])),COLUMNS($J$25:P$25))),"")</f>
        <v/>
      </c>
      <c r="P70" t="str">
        <f>IF(COLUMNS($J$25:Q$25)&lt;=$G39,INDEX(Adatok[[Cashflow]:[Cashflow]],_xlfn.AGGREGATE(15,3,(Adatok[[Ingatlanok]:[Ingatlanok]]=$H39)/(Adatok[[Ingatlanok]:[Ingatlanok]]=$H39)*(ROW(Adatok[[Ingatlanok]:[Ingatlanok]])-ROW(Adatok[[#Headers],[Letét, jelzálog]])),COLUMNS($J$25:Q$25))),"")</f>
        <v/>
      </c>
      <c r="Q70" t="str">
        <f>IF(COLUMNS($J$25:R$25)&lt;=$G39,INDEX(Adatok[[Cashflow]:[Cashflow]],_xlfn.AGGREGATE(15,3,(Adatok[[Ingatlanok]:[Ingatlanok]]=$H39)/(Adatok[[Ingatlanok]:[Ingatlanok]]=$H39)*(ROW(Adatok[[Ingatlanok]:[Ingatlanok]])-ROW(Adatok[[#Headers],[Előleg]])),COLUMNS($J$25:R$25))),"")</f>
        <v/>
      </c>
      <c r="R70" t="str">
        <f>IF(COLUMNS($J$25:S$25)&lt;=$G39,INDEX(Adatok[[Cashflow]:[Cashflow]],_xlfn.AGGREGATE(15,3,(Adatok[[Ingatlanok]:[Ingatlanok]]=$H39)/(Adatok[[Ingatlanok]:[Ingatlanok]]=$H39)*(ROW(Adatok[[Ingatlanok]:[Ingatlanok]])-ROW(Adatok[[#Headers],[Cashflow]])),COLUMNS($J$25:S$25))),"")</f>
        <v/>
      </c>
      <c r="S70" t="str">
        <f>IF(COLUMNS($J$25:T$25)&lt;=$G39,INDEX(Adatok[[Cashflow]:[Cashflow]],_xlfn.AGGREGATE(15,3,(Adatok[[Ingatlanok]:[Ingatlanok]]=$H39)/(Adatok[[Ingatlanok]:[Ingatlanok]]=$H39)*(ROW(Adatok[[Ingatlanok]:[Ingatlanok]])-ROW(Adatok[[#Headers],[Ingatlanok]])),COLUMNS($J$25:T$25))),"")</f>
        <v/>
      </c>
      <c r="T70" t="str">
        <f>IF(COLUMNS($J$25:U$25)&lt;=$G39,INDEX(Adatok[[Cashflow]:[Cashflow]],_xlfn.AGGREGATE(15,3,(Adatok[[Ingatlanok]:[Ingatlanok]]=$H39)/(Adatok[[Ingatlanok]:[Ingatlanok]]=$H39)*(ROW(Adatok[[Ingatlanok]:[Ingatlanok]])-ROW(Adatok[[#Headers],[Ár]])),COLUMNS($J$25:U$25))),"")</f>
        <v/>
      </c>
      <c r="U70" t="str">
        <f>IF(COLUMNS($J$25:V$25)&lt;=$G39,INDEX(Adatok[[Cashflow]:[Cashflow]],_xlfn.AGGREGATE(15,3,(Adatok[[Ingatlanok]:[Ingatlanok]]=$H39)/(Adatok[[Ingatlanok]:[Ingatlanok]]=$H39)*(ROW(Adatok[[Ingatlanok]:[Ingatlanok]])-ROW(Adatok[[#Headers],[Letét, jelzálog]])),COLUMNS($J$25:V$25))),"")</f>
        <v/>
      </c>
      <c r="V70" t="str">
        <f>IF(COLUMNS($J$25:W$25)&lt;=$G39,INDEX(Adatok[[Cashflow]:[Cashflow]],_xlfn.AGGREGATE(15,3,(Adatok[[Ingatlanok]:[Ingatlanok]]=$H39)/(Adatok[[Ingatlanok]:[Ingatlanok]]=$H39)*(ROW(Adatok[[Ingatlanok]:[Ingatlanok]])-ROW(Adatok[[#Headers],[Előleg]])),COLUMNS($J$25:W$25))),"")</f>
        <v/>
      </c>
      <c r="W70" t="str">
        <f>IF(COLUMNS($J$25:X$25)&lt;=$G39,INDEX(Adatok[[Cashflow]:[Cashflow]],_xlfn.AGGREGATE(15,3,(Adatok[[Ingatlanok]:[Ingatlanok]]=$H39)/(Adatok[[Ingatlanok]:[Ingatlanok]]=$H39)*(ROW(Adatok[[Ingatlanok]:[Ingatlanok]])-ROW(Adatok[[#Headers],[Cashflow]])),COLUMNS($J$25:X$25))),"")</f>
        <v/>
      </c>
      <c r="X70" t="str">
        <f>IF(COLUMNS($J$25:Y$25)&lt;=$G39,INDEX(Adatok[[Cashflow]:[Cashflow]],_xlfn.AGGREGATE(15,3,(Adatok[[Ingatlanok]:[Ingatlanok]]=$H39)/(Adatok[[Ingatlanok]:[Ingatlanok]]=$H39)*(ROW(Adatok[[Ingatlanok]:[Ingatlanok]])-ROW(Adatok[[#Headers],[Ingatlanok]])),COLUMNS($J$25:Y$25))),"")</f>
        <v/>
      </c>
      <c r="Y70" t="str">
        <f>IF(COLUMNS($J$25:Z$25)&lt;=$G39,INDEX(Adatok[[Cashflow]:[Cashflow]],_xlfn.AGGREGATE(15,3,(Adatok[[Ingatlanok]:[Ingatlanok]]=$H39)/(Adatok[[Ingatlanok]:[Ingatlanok]]=$H39)*(ROW(Adatok[[Ingatlanok]:[Ingatlanok]])-ROW(Adatok[[#Headers],[Ár]])),COLUMNS($J$25:Z$25))),"")</f>
        <v/>
      </c>
      <c r="Z70" t="str">
        <f>IF(COLUMNS($J$25:AA$25)&lt;=$G39,INDEX(Adatok[[Cashflow]:[Cashflow]],_xlfn.AGGREGATE(15,3,(Adatok[[Ingatlanok]:[Ingatlanok]]=$H39)/(Adatok[[Ingatlanok]:[Ingatlanok]]=$H39)*(ROW(Adatok[[Ingatlanok]:[Ingatlanok]])-ROW(Adatok[[#Headers],[Letét, jelzálog]])),COLUMNS($J$25:AA$25))),"")</f>
        <v/>
      </c>
      <c r="AA70" t="str">
        <f>IF(COLUMNS($J$25:AB$25)&lt;=$G39,INDEX(Adatok[[Cashflow]:[Cashflow]],_xlfn.AGGREGATE(15,3,(Adatok[[Ingatlanok]:[Ingatlanok]]=$H39)/(Adatok[[Ingatlanok]:[Ingatlanok]]=$H39)*(ROW(Adatok[[Ingatlanok]:[Ingatlanok]])-ROW(Adatok[[#Headers],[Előleg]])),COLUMNS($J$25:AB$25))),"")</f>
        <v/>
      </c>
      <c r="AB70" t="str">
        <f>IF(COLUMNS($J$25:AC$25)&lt;=$G39,INDEX(Adatok[[Cashflow]:[Cashflow]],_xlfn.AGGREGATE(15,3,(Adatok[[Ingatlanok]:[Ingatlanok]]=$H39)/(Adatok[[Ingatlanok]:[Ingatlanok]]=$H39)*(ROW(Adatok[[Ingatlanok]:[Ingatlanok]])-ROW(Adatok[[#Headers],[Cashflow]])),COLUMNS($J$25:AC$25))),"")</f>
        <v/>
      </c>
      <c r="AC70" t="str">
        <f>IF(COLUMNS($J$25:AD$25)&lt;=$G39,INDEX(Adatok[[Cashflow]:[Cashflow]],_xlfn.AGGREGATE(15,3,(Adatok[[Ingatlanok]:[Ingatlanok]]=$H39)/(Adatok[[Ingatlanok]:[Ingatlanok]]=$H39)*(ROW(Adatok[[Ingatlanok]:[Ingatlanok]])-ROW(Adatok[[#Headers],[Ingatlanok]])),COLUMNS($J$25:AD$25))),"")</f>
        <v/>
      </c>
      <c r="AD70" t="str">
        <f>IF(COLUMNS($J$25:AE$25)&lt;=$G39,INDEX(Adatok[[Cashflow]:[Cashflow]],_xlfn.AGGREGATE(15,3,(Adatok[[Ingatlanok]:[Ingatlanok]]=$H39)/(Adatok[[Ingatlanok]:[Ingatlanok]]=$H39)*(ROW(Adatok[[Ingatlanok]:[Ingatlanok]])-ROW(Adatok[[#Headers],[Ár]])),COLUMNS($J$25:AE$25))),"")</f>
        <v/>
      </c>
    </row>
    <row r="71" spans="1:30" x14ac:dyDescent="0.25">
      <c r="A71" s="56" t="s">
        <v>126</v>
      </c>
      <c r="B71" s="56">
        <v>200000</v>
      </c>
      <c r="C71" s="56">
        <v>160000</v>
      </c>
      <c r="D71" s="56">
        <v>40000</v>
      </c>
      <c r="E71" s="56">
        <v>2700</v>
      </c>
      <c r="G71">
        <f>COUNTIF(Adatok[Ingatlanok],H71)</f>
        <v>1</v>
      </c>
      <c r="H71" s="57" t="str">
        <f>INDEX(Adatok[Ingatlanok],MATCH(0,INDEX(COUNTIF($H$56:H70,Adatok[Ingatlanok]),),0))</f>
        <v>AUTÓMOSÓ</v>
      </c>
      <c r="I71">
        <f>IF(COLUMNS($J$25:J$25)&lt;=$G40,INDEX(Adatok[[Cashflow]:[Cashflow]],_xlfn.AGGREGATE(15,3,(Adatok[[Ingatlanok]:[Ingatlanok]]=$H40)/(Adatok[[Ingatlanok]:[Ingatlanok]]=$H40)*(ROW(Adatok[[Ingatlanok]:[Ingatlanok]])-ROW(Adatok[[#Headers],[Ingatlanok]])),COLUMNS($J$25:J$25))),"")</f>
        <v>1500</v>
      </c>
      <c r="J71" t="str">
        <f>IF(COLUMNS($J$25:K$25)&lt;=$G40,INDEX(Adatok[[Cashflow]:[Cashflow]],_xlfn.AGGREGATE(15,3,(Adatok[[Ingatlanok]:[Ingatlanok]]=$H40)/(Adatok[[Ingatlanok]:[Ingatlanok]]=$H40)*(ROW(Adatok[[Ingatlanok]:[Ingatlanok]])-ROW(Adatok[[#Headers],[Ár]])),COLUMNS($J$25:K$25))),"")</f>
        <v/>
      </c>
      <c r="K71" t="str">
        <f>IF(COLUMNS($J$25:L$25)&lt;=$G40,INDEX(Adatok[[Cashflow]:[Cashflow]],_xlfn.AGGREGATE(15,3,(Adatok[[Ingatlanok]:[Ingatlanok]]=$H40)/(Adatok[[Ingatlanok]:[Ingatlanok]]=$H40)*(ROW(Adatok[[Ingatlanok]:[Ingatlanok]])-ROW(Adatok[[#Headers],[Letét, jelzálog]])),COLUMNS($J$25:L$25))),"")</f>
        <v/>
      </c>
      <c r="L71" t="str">
        <f>IF(COLUMNS($J$25:M$25)&lt;=$G40,INDEX(Adatok[[Cashflow]:[Cashflow]],_xlfn.AGGREGATE(15,3,(Adatok[[Ingatlanok]:[Ingatlanok]]=$H40)/(Adatok[[Ingatlanok]:[Ingatlanok]]=$H40)*(ROW(Adatok[[Ingatlanok]:[Ingatlanok]])-ROW(Adatok[[#Headers],[Előleg]])),COLUMNS($J$25:M$25))),"")</f>
        <v/>
      </c>
      <c r="M71" t="str">
        <f>IF(COLUMNS($J$25:N$25)&lt;=$G40,INDEX(Adatok[[Cashflow]:[Cashflow]],_xlfn.AGGREGATE(15,3,(Adatok[[Ingatlanok]:[Ingatlanok]]=$H40)/(Adatok[[Ingatlanok]:[Ingatlanok]]=$H40)*(ROW(Adatok[[Ingatlanok]:[Ingatlanok]])-ROW(Adatok[[#Headers],[Cashflow]])),COLUMNS($J$25:N$25))),"")</f>
        <v/>
      </c>
      <c r="N71" t="str">
        <f>IF(COLUMNS($J$25:O$25)&lt;=$G40,INDEX(Adatok[[Cashflow]:[Cashflow]],_xlfn.AGGREGATE(15,3,(Adatok[[Ingatlanok]:[Ingatlanok]]=$H40)/(Adatok[[Ingatlanok]:[Ingatlanok]]=$H40)*(ROW(Adatok[[Ingatlanok]:[Ingatlanok]])-ROW(Adatok[[#Headers],[Ingatlanok]])),COLUMNS($J$25:O$25))),"")</f>
        <v/>
      </c>
      <c r="O71" t="str">
        <f>IF(COLUMNS($J$25:P$25)&lt;=$G40,INDEX(Adatok[[Cashflow]:[Cashflow]],_xlfn.AGGREGATE(15,3,(Adatok[[Ingatlanok]:[Ingatlanok]]=$H40)/(Adatok[[Ingatlanok]:[Ingatlanok]]=$H40)*(ROW(Adatok[[Ingatlanok]:[Ingatlanok]])-ROW(Adatok[[#Headers],[Ár]])),COLUMNS($J$25:P$25))),"")</f>
        <v/>
      </c>
      <c r="P71" t="str">
        <f>IF(COLUMNS($J$25:Q$25)&lt;=$G40,INDEX(Adatok[[Cashflow]:[Cashflow]],_xlfn.AGGREGATE(15,3,(Adatok[[Ingatlanok]:[Ingatlanok]]=$H40)/(Adatok[[Ingatlanok]:[Ingatlanok]]=$H40)*(ROW(Adatok[[Ingatlanok]:[Ingatlanok]])-ROW(Adatok[[#Headers],[Letét, jelzálog]])),COLUMNS($J$25:Q$25))),"")</f>
        <v/>
      </c>
      <c r="Q71" t="str">
        <f>IF(COLUMNS($J$25:R$25)&lt;=$G40,INDEX(Adatok[[Cashflow]:[Cashflow]],_xlfn.AGGREGATE(15,3,(Adatok[[Ingatlanok]:[Ingatlanok]]=$H40)/(Adatok[[Ingatlanok]:[Ingatlanok]]=$H40)*(ROW(Adatok[[Ingatlanok]:[Ingatlanok]])-ROW(Adatok[[#Headers],[Előleg]])),COLUMNS($J$25:R$25))),"")</f>
        <v/>
      </c>
      <c r="R71" t="str">
        <f>IF(COLUMNS($J$25:S$25)&lt;=$G40,INDEX(Adatok[[Cashflow]:[Cashflow]],_xlfn.AGGREGATE(15,3,(Adatok[[Ingatlanok]:[Ingatlanok]]=$H40)/(Adatok[[Ingatlanok]:[Ingatlanok]]=$H40)*(ROW(Adatok[[Ingatlanok]:[Ingatlanok]])-ROW(Adatok[[#Headers],[Cashflow]])),COLUMNS($J$25:S$25))),"")</f>
        <v/>
      </c>
      <c r="S71" t="str">
        <f>IF(COLUMNS($J$25:T$25)&lt;=$G40,INDEX(Adatok[[Cashflow]:[Cashflow]],_xlfn.AGGREGATE(15,3,(Adatok[[Ingatlanok]:[Ingatlanok]]=$H40)/(Adatok[[Ingatlanok]:[Ingatlanok]]=$H40)*(ROW(Adatok[[Ingatlanok]:[Ingatlanok]])-ROW(Adatok[[#Headers],[Ingatlanok]])),COLUMNS($J$25:T$25))),"")</f>
        <v/>
      </c>
      <c r="T71" t="str">
        <f>IF(COLUMNS($J$25:U$25)&lt;=$G40,INDEX(Adatok[[Cashflow]:[Cashflow]],_xlfn.AGGREGATE(15,3,(Adatok[[Ingatlanok]:[Ingatlanok]]=$H40)/(Adatok[[Ingatlanok]:[Ingatlanok]]=$H40)*(ROW(Adatok[[Ingatlanok]:[Ingatlanok]])-ROW(Adatok[[#Headers],[Ár]])),COLUMNS($J$25:U$25))),"")</f>
        <v/>
      </c>
      <c r="U71" t="str">
        <f>IF(COLUMNS($J$25:V$25)&lt;=$G40,INDEX(Adatok[[Cashflow]:[Cashflow]],_xlfn.AGGREGATE(15,3,(Adatok[[Ingatlanok]:[Ingatlanok]]=$H40)/(Adatok[[Ingatlanok]:[Ingatlanok]]=$H40)*(ROW(Adatok[[Ingatlanok]:[Ingatlanok]])-ROW(Adatok[[#Headers],[Letét, jelzálog]])),COLUMNS($J$25:V$25))),"")</f>
        <v/>
      </c>
      <c r="V71" t="str">
        <f>IF(COLUMNS($J$25:W$25)&lt;=$G40,INDEX(Adatok[[Cashflow]:[Cashflow]],_xlfn.AGGREGATE(15,3,(Adatok[[Ingatlanok]:[Ingatlanok]]=$H40)/(Adatok[[Ingatlanok]:[Ingatlanok]]=$H40)*(ROW(Adatok[[Ingatlanok]:[Ingatlanok]])-ROW(Adatok[[#Headers],[Előleg]])),COLUMNS($J$25:W$25))),"")</f>
        <v/>
      </c>
      <c r="W71" t="str">
        <f>IF(COLUMNS($J$25:X$25)&lt;=$G40,INDEX(Adatok[[Cashflow]:[Cashflow]],_xlfn.AGGREGATE(15,3,(Adatok[[Ingatlanok]:[Ingatlanok]]=$H40)/(Adatok[[Ingatlanok]:[Ingatlanok]]=$H40)*(ROW(Adatok[[Ingatlanok]:[Ingatlanok]])-ROW(Adatok[[#Headers],[Cashflow]])),COLUMNS($J$25:X$25))),"")</f>
        <v/>
      </c>
      <c r="X71" t="str">
        <f>IF(COLUMNS($J$25:Y$25)&lt;=$G40,INDEX(Adatok[[Cashflow]:[Cashflow]],_xlfn.AGGREGATE(15,3,(Adatok[[Ingatlanok]:[Ingatlanok]]=$H40)/(Adatok[[Ingatlanok]:[Ingatlanok]]=$H40)*(ROW(Adatok[[Ingatlanok]:[Ingatlanok]])-ROW(Adatok[[#Headers],[Ingatlanok]])),COLUMNS($J$25:Y$25))),"")</f>
        <v/>
      </c>
      <c r="Y71" t="str">
        <f>IF(COLUMNS($J$25:Z$25)&lt;=$G40,INDEX(Adatok[[Cashflow]:[Cashflow]],_xlfn.AGGREGATE(15,3,(Adatok[[Ingatlanok]:[Ingatlanok]]=$H40)/(Adatok[[Ingatlanok]:[Ingatlanok]]=$H40)*(ROW(Adatok[[Ingatlanok]:[Ingatlanok]])-ROW(Adatok[[#Headers],[Ár]])),COLUMNS($J$25:Z$25))),"")</f>
        <v/>
      </c>
      <c r="Z71" t="str">
        <f>IF(COLUMNS($J$25:AA$25)&lt;=$G40,INDEX(Adatok[[Cashflow]:[Cashflow]],_xlfn.AGGREGATE(15,3,(Adatok[[Ingatlanok]:[Ingatlanok]]=$H40)/(Adatok[[Ingatlanok]:[Ingatlanok]]=$H40)*(ROW(Adatok[[Ingatlanok]:[Ingatlanok]])-ROW(Adatok[[#Headers],[Letét, jelzálog]])),COLUMNS($J$25:AA$25))),"")</f>
        <v/>
      </c>
      <c r="AA71" t="str">
        <f>IF(COLUMNS($J$25:AB$25)&lt;=$G40,INDEX(Adatok[[Cashflow]:[Cashflow]],_xlfn.AGGREGATE(15,3,(Adatok[[Ingatlanok]:[Ingatlanok]]=$H40)/(Adatok[[Ingatlanok]:[Ingatlanok]]=$H40)*(ROW(Adatok[[Ingatlanok]:[Ingatlanok]])-ROW(Adatok[[#Headers],[Előleg]])),COLUMNS($J$25:AB$25))),"")</f>
        <v/>
      </c>
      <c r="AB71" t="str">
        <f>IF(COLUMNS($J$25:AC$25)&lt;=$G40,INDEX(Adatok[[Cashflow]:[Cashflow]],_xlfn.AGGREGATE(15,3,(Adatok[[Ingatlanok]:[Ingatlanok]]=$H40)/(Adatok[[Ingatlanok]:[Ingatlanok]]=$H40)*(ROW(Adatok[[Ingatlanok]:[Ingatlanok]])-ROW(Adatok[[#Headers],[Cashflow]])),COLUMNS($J$25:AC$25))),"")</f>
        <v/>
      </c>
      <c r="AC71" t="str">
        <f>IF(COLUMNS($J$25:AD$25)&lt;=$G40,INDEX(Adatok[[Cashflow]:[Cashflow]],_xlfn.AGGREGATE(15,3,(Adatok[[Ingatlanok]:[Ingatlanok]]=$H40)/(Adatok[[Ingatlanok]:[Ingatlanok]]=$H40)*(ROW(Adatok[[Ingatlanok]:[Ingatlanok]])-ROW(Adatok[[#Headers],[Ingatlanok]])),COLUMNS($J$25:AD$25))),"")</f>
        <v/>
      </c>
      <c r="AD71" t="str">
        <f>IF(COLUMNS($J$25:AE$25)&lt;=$G40,INDEX(Adatok[[Cashflow]:[Cashflow]],_xlfn.AGGREGATE(15,3,(Adatok[[Ingatlanok]:[Ingatlanok]]=$H40)/(Adatok[[Ingatlanok]:[Ingatlanok]]=$H40)*(ROW(Adatok[[Ingatlanok]:[Ingatlanok]])-ROW(Adatok[[#Headers],[Ár]])),COLUMNS($J$25:AE$25))),"")</f>
        <v/>
      </c>
    </row>
    <row r="72" spans="1:30" x14ac:dyDescent="0.25">
      <c r="A72" s="61" t="s">
        <v>124</v>
      </c>
      <c r="B72" s="61">
        <v>220000</v>
      </c>
      <c r="C72" s="61">
        <v>40000</v>
      </c>
      <c r="D72" s="61">
        <v>180000</v>
      </c>
      <c r="E72" s="61">
        <v>1700</v>
      </c>
      <c r="G72">
        <f>COUNTIF(Adatok[Ingatlanok],H72)</f>
        <v>3</v>
      </c>
      <c r="H72" s="57" t="str">
        <f>INDEX(Adatok[Ingatlanok],MATCH(0,INDEX(COUNTIF($H$56:H71,Adatok[Ingatlanok]),),0))</f>
        <v>APARTMAN HÁZ</v>
      </c>
      <c r="I72">
        <f>IF(COLUMNS($J$25:J$25)&lt;=$G41,INDEX(Adatok[[Cashflow]:[Cashflow]],_xlfn.AGGREGATE(15,3,(Adatok[[Ingatlanok]:[Ingatlanok]]=$H41)/(Adatok[[Ingatlanok]:[Ingatlanok]]=$H41)*(ROW(Adatok[[Ingatlanok]:[Ingatlanok]])-ROW(Adatok[[#Headers],[Ingatlanok]])),COLUMNS($J$25:J$25))),"")</f>
        <v>2400</v>
      </c>
      <c r="J72">
        <f>IF(COLUMNS($J$25:K$25)&lt;=$G41,INDEX(Adatok[[Cashflow]:[Cashflow]],_xlfn.AGGREGATE(15,3,(Adatok[[Ingatlanok]:[Ingatlanok]]=$H41)/(Adatok[[Ingatlanok]:[Ingatlanok]]=$H41)*(ROW(Adatok[[Ingatlanok]:[Ingatlanok]])-ROW(Adatok[[#Headers],[Ár]])),COLUMNS($J$25:K$25))),"")</f>
        <v>2800</v>
      </c>
      <c r="K72">
        <f>IF(COLUMNS($J$25:L$25)&lt;=$G41,INDEX(Adatok[[Cashflow]:[Cashflow]],_xlfn.AGGREGATE(15,3,(Adatok[[Ingatlanok]:[Ingatlanok]]=$H41)/(Adatok[[Ingatlanok]:[Ingatlanok]]=$H41)*(ROW(Adatok[[Ingatlanok]:[Ingatlanok]])-ROW(Adatok[[#Headers],[Letét, jelzálog]])),COLUMNS($J$25:L$25))),"")</f>
        <v>3400</v>
      </c>
      <c r="L72" t="str">
        <f>IF(COLUMNS($J$25:M$25)&lt;=$G41,INDEX(Adatok[[Cashflow]:[Cashflow]],_xlfn.AGGREGATE(15,3,(Adatok[[Ingatlanok]:[Ingatlanok]]=$H41)/(Adatok[[Ingatlanok]:[Ingatlanok]]=$H41)*(ROW(Adatok[[Ingatlanok]:[Ingatlanok]])-ROW(Adatok[[#Headers],[Előleg]])),COLUMNS($J$25:M$25))),"")</f>
        <v/>
      </c>
      <c r="M72" t="str">
        <f>IF(COLUMNS($J$25:N$25)&lt;=$G41,INDEX(Adatok[[Cashflow]:[Cashflow]],_xlfn.AGGREGATE(15,3,(Adatok[[Ingatlanok]:[Ingatlanok]]=$H41)/(Adatok[[Ingatlanok]:[Ingatlanok]]=$H41)*(ROW(Adatok[[Ingatlanok]:[Ingatlanok]])-ROW(Adatok[[#Headers],[Cashflow]])),COLUMNS($J$25:N$25))),"")</f>
        <v/>
      </c>
      <c r="N72" t="str">
        <f>IF(COLUMNS($J$25:O$25)&lt;=$G41,INDEX(Adatok[[Cashflow]:[Cashflow]],_xlfn.AGGREGATE(15,3,(Adatok[[Ingatlanok]:[Ingatlanok]]=$H41)/(Adatok[[Ingatlanok]:[Ingatlanok]]=$H41)*(ROW(Adatok[[Ingatlanok]:[Ingatlanok]])-ROW(Adatok[[#Headers],[Ingatlanok]])),COLUMNS($J$25:O$25))),"")</f>
        <v/>
      </c>
      <c r="O72" t="str">
        <f>IF(COLUMNS($J$25:P$25)&lt;=$G41,INDEX(Adatok[[Cashflow]:[Cashflow]],_xlfn.AGGREGATE(15,3,(Adatok[[Ingatlanok]:[Ingatlanok]]=$H41)/(Adatok[[Ingatlanok]:[Ingatlanok]]=$H41)*(ROW(Adatok[[Ingatlanok]:[Ingatlanok]])-ROW(Adatok[[#Headers],[Ár]])),COLUMNS($J$25:P$25))),"")</f>
        <v/>
      </c>
      <c r="P72" t="str">
        <f>IF(COLUMNS($J$25:Q$25)&lt;=$G41,INDEX(Adatok[[Cashflow]:[Cashflow]],_xlfn.AGGREGATE(15,3,(Adatok[[Ingatlanok]:[Ingatlanok]]=$H41)/(Adatok[[Ingatlanok]:[Ingatlanok]]=$H41)*(ROW(Adatok[[Ingatlanok]:[Ingatlanok]])-ROW(Adatok[[#Headers],[Letét, jelzálog]])),COLUMNS($J$25:Q$25))),"")</f>
        <v/>
      </c>
      <c r="Q72" t="str">
        <f>IF(COLUMNS($J$25:R$25)&lt;=$G41,INDEX(Adatok[[Cashflow]:[Cashflow]],_xlfn.AGGREGATE(15,3,(Adatok[[Ingatlanok]:[Ingatlanok]]=$H41)/(Adatok[[Ingatlanok]:[Ingatlanok]]=$H41)*(ROW(Adatok[[Ingatlanok]:[Ingatlanok]])-ROW(Adatok[[#Headers],[Előleg]])),COLUMNS($J$25:R$25))),"")</f>
        <v/>
      </c>
      <c r="R72" t="str">
        <f>IF(COLUMNS($J$25:S$25)&lt;=$G41,INDEX(Adatok[[Cashflow]:[Cashflow]],_xlfn.AGGREGATE(15,3,(Adatok[[Ingatlanok]:[Ingatlanok]]=$H41)/(Adatok[[Ingatlanok]:[Ingatlanok]]=$H41)*(ROW(Adatok[[Ingatlanok]:[Ingatlanok]])-ROW(Adatok[[#Headers],[Cashflow]])),COLUMNS($J$25:S$25))),"")</f>
        <v/>
      </c>
      <c r="S72" t="str">
        <f>IF(COLUMNS($J$25:T$25)&lt;=$G41,INDEX(Adatok[[Cashflow]:[Cashflow]],_xlfn.AGGREGATE(15,3,(Adatok[[Ingatlanok]:[Ingatlanok]]=$H41)/(Adatok[[Ingatlanok]:[Ingatlanok]]=$H41)*(ROW(Adatok[[Ingatlanok]:[Ingatlanok]])-ROW(Adatok[[#Headers],[Ingatlanok]])),COLUMNS($J$25:T$25))),"")</f>
        <v/>
      </c>
      <c r="T72" t="str">
        <f>IF(COLUMNS($J$25:U$25)&lt;=$G41,INDEX(Adatok[[Cashflow]:[Cashflow]],_xlfn.AGGREGATE(15,3,(Adatok[[Ingatlanok]:[Ingatlanok]]=$H41)/(Adatok[[Ingatlanok]:[Ingatlanok]]=$H41)*(ROW(Adatok[[Ingatlanok]:[Ingatlanok]])-ROW(Adatok[[#Headers],[Ár]])),COLUMNS($J$25:U$25))),"")</f>
        <v/>
      </c>
      <c r="U72" t="str">
        <f>IF(COLUMNS($J$25:V$25)&lt;=$G41,INDEX(Adatok[[Cashflow]:[Cashflow]],_xlfn.AGGREGATE(15,3,(Adatok[[Ingatlanok]:[Ingatlanok]]=$H41)/(Adatok[[Ingatlanok]:[Ingatlanok]]=$H41)*(ROW(Adatok[[Ingatlanok]:[Ingatlanok]])-ROW(Adatok[[#Headers],[Letét, jelzálog]])),COLUMNS($J$25:V$25))),"")</f>
        <v/>
      </c>
      <c r="V72" t="str">
        <f>IF(COLUMNS($J$25:W$25)&lt;=$G41,INDEX(Adatok[[Cashflow]:[Cashflow]],_xlfn.AGGREGATE(15,3,(Adatok[[Ingatlanok]:[Ingatlanok]]=$H41)/(Adatok[[Ingatlanok]:[Ingatlanok]]=$H41)*(ROW(Adatok[[Ingatlanok]:[Ingatlanok]])-ROW(Adatok[[#Headers],[Előleg]])),COLUMNS($J$25:W$25))),"")</f>
        <v/>
      </c>
      <c r="W72" t="str">
        <f>IF(COLUMNS($J$25:X$25)&lt;=$G41,INDEX(Adatok[[Cashflow]:[Cashflow]],_xlfn.AGGREGATE(15,3,(Adatok[[Ingatlanok]:[Ingatlanok]]=$H41)/(Adatok[[Ingatlanok]:[Ingatlanok]]=$H41)*(ROW(Adatok[[Ingatlanok]:[Ingatlanok]])-ROW(Adatok[[#Headers],[Cashflow]])),COLUMNS($J$25:X$25))),"")</f>
        <v/>
      </c>
      <c r="X72" t="str">
        <f>IF(COLUMNS($J$25:Y$25)&lt;=$G41,INDEX(Adatok[[Cashflow]:[Cashflow]],_xlfn.AGGREGATE(15,3,(Adatok[[Ingatlanok]:[Ingatlanok]]=$H41)/(Adatok[[Ingatlanok]:[Ingatlanok]]=$H41)*(ROW(Adatok[[Ingatlanok]:[Ingatlanok]])-ROW(Adatok[[#Headers],[Ingatlanok]])),COLUMNS($J$25:Y$25))),"")</f>
        <v/>
      </c>
      <c r="Y72" t="str">
        <f>IF(COLUMNS($J$25:Z$25)&lt;=$G41,INDEX(Adatok[[Cashflow]:[Cashflow]],_xlfn.AGGREGATE(15,3,(Adatok[[Ingatlanok]:[Ingatlanok]]=$H41)/(Adatok[[Ingatlanok]:[Ingatlanok]]=$H41)*(ROW(Adatok[[Ingatlanok]:[Ingatlanok]])-ROW(Adatok[[#Headers],[Ár]])),COLUMNS($J$25:Z$25))),"")</f>
        <v/>
      </c>
      <c r="Z72" t="str">
        <f>IF(COLUMNS($J$25:AA$25)&lt;=$G41,INDEX(Adatok[[Cashflow]:[Cashflow]],_xlfn.AGGREGATE(15,3,(Adatok[[Ingatlanok]:[Ingatlanok]]=$H41)/(Adatok[[Ingatlanok]:[Ingatlanok]]=$H41)*(ROW(Adatok[[Ingatlanok]:[Ingatlanok]])-ROW(Adatok[[#Headers],[Letét, jelzálog]])),COLUMNS($J$25:AA$25))),"")</f>
        <v/>
      </c>
      <c r="AA72" t="str">
        <f>IF(COLUMNS($J$25:AB$25)&lt;=$G41,INDEX(Adatok[[Cashflow]:[Cashflow]],_xlfn.AGGREGATE(15,3,(Adatok[[Ingatlanok]:[Ingatlanok]]=$H41)/(Adatok[[Ingatlanok]:[Ingatlanok]]=$H41)*(ROW(Adatok[[Ingatlanok]:[Ingatlanok]])-ROW(Adatok[[#Headers],[Előleg]])),COLUMNS($J$25:AB$25))),"")</f>
        <v/>
      </c>
      <c r="AB72" t="str">
        <f>IF(COLUMNS($J$25:AC$25)&lt;=$G41,INDEX(Adatok[[Cashflow]:[Cashflow]],_xlfn.AGGREGATE(15,3,(Adatok[[Ingatlanok]:[Ingatlanok]]=$H41)/(Adatok[[Ingatlanok]:[Ingatlanok]]=$H41)*(ROW(Adatok[[Ingatlanok]:[Ingatlanok]])-ROW(Adatok[[#Headers],[Cashflow]])),COLUMNS($J$25:AC$25))),"")</f>
        <v/>
      </c>
      <c r="AC72" t="str">
        <f>IF(COLUMNS($J$25:AD$25)&lt;=$G41,INDEX(Adatok[[Cashflow]:[Cashflow]],_xlfn.AGGREGATE(15,3,(Adatok[[Ingatlanok]:[Ingatlanok]]=$H41)/(Adatok[[Ingatlanok]:[Ingatlanok]]=$H41)*(ROW(Adatok[[Ingatlanok]:[Ingatlanok]])-ROW(Adatok[[#Headers],[Ingatlanok]])),COLUMNS($J$25:AD$25))),"")</f>
        <v/>
      </c>
      <c r="AD72" t="str">
        <f>IF(COLUMNS($J$25:AE$25)&lt;=$G41,INDEX(Adatok[[Cashflow]:[Cashflow]],_xlfn.AGGREGATE(15,3,(Adatok[[Ingatlanok]:[Ingatlanok]]=$H41)/(Adatok[[Ingatlanok]:[Ingatlanok]]=$H41)*(ROW(Adatok[[Ingatlanok]:[Ingatlanok]])-ROW(Adatok[[#Headers],[Ár]])),COLUMNS($J$25:AE$25))),"")</f>
        <v/>
      </c>
    </row>
    <row r="73" spans="1:30" x14ac:dyDescent="0.25">
      <c r="A73" s="56" t="s">
        <v>124</v>
      </c>
      <c r="B73" s="56">
        <v>240000</v>
      </c>
      <c r="C73" s="56">
        <v>200000</v>
      </c>
      <c r="D73" s="56">
        <v>40000</v>
      </c>
      <c r="E73" s="56">
        <v>950</v>
      </c>
      <c r="G73">
        <f>COUNTIF(Adatok[Ingatlanok],H73)</f>
        <v>1</v>
      </c>
      <c r="H73" s="57" t="str">
        <f>INDEX(Adatok[Ingatlanok],MATCH(0,INDEX(COUNTIF($H$56:H72,Adatok[Ingatlanok]),),0))</f>
        <v>PIZZA FRANCHISE</v>
      </c>
      <c r="I73">
        <f>IF(COLUMNS($J$25:J$25)&lt;=$G42,INDEX(Adatok[[Cashflow]:[Cashflow]],_xlfn.AGGREGATE(15,3,(Adatok[[Ingatlanok]:[Ingatlanok]]=$H42)/(Adatok[[Ingatlanok]:[Ingatlanok]]=$H42)*(ROW(Adatok[[Ingatlanok]:[Ingatlanok]])-ROW(Adatok[[#Headers],[Ingatlanok]])),COLUMNS($J$25:J$25))),"")</f>
        <v>5000</v>
      </c>
      <c r="J73" t="str">
        <f>IF(COLUMNS($J$25:K$25)&lt;=$G42,INDEX(Adatok[[Cashflow]:[Cashflow]],_xlfn.AGGREGATE(15,3,(Adatok[[Ingatlanok]:[Ingatlanok]]=$H42)/(Adatok[[Ingatlanok]:[Ingatlanok]]=$H42)*(ROW(Adatok[[Ingatlanok]:[Ingatlanok]])-ROW(Adatok[[#Headers],[Ár]])),COLUMNS($J$25:K$25))),"")</f>
        <v/>
      </c>
      <c r="K73" t="str">
        <f>IF(COLUMNS($J$25:L$25)&lt;=$G42,INDEX(Adatok[[Cashflow]:[Cashflow]],_xlfn.AGGREGATE(15,3,(Adatok[[Ingatlanok]:[Ingatlanok]]=$H42)/(Adatok[[Ingatlanok]:[Ingatlanok]]=$H42)*(ROW(Adatok[[Ingatlanok]:[Ingatlanok]])-ROW(Adatok[[#Headers],[Letét, jelzálog]])),COLUMNS($J$25:L$25))),"")</f>
        <v/>
      </c>
      <c r="L73" t="str">
        <f>IF(COLUMNS($J$25:M$25)&lt;=$G42,INDEX(Adatok[[Cashflow]:[Cashflow]],_xlfn.AGGREGATE(15,3,(Adatok[[Ingatlanok]:[Ingatlanok]]=$H42)/(Adatok[[Ingatlanok]:[Ingatlanok]]=$H42)*(ROW(Adatok[[Ingatlanok]:[Ingatlanok]])-ROW(Adatok[[#Headers],[Előleg]])),COLUMNS($J$25:M$25))),"")</f>
        <v/>
      </c>
      <c r="M73" t="str">
        <f>IF(COLUMNS($J$25:N$25)&lt;=$G42,INDEX(Adatok[[Cashflow]:[Cashflow]],_xlfn.AGGREGATE(15,3,(Adatok[[Ingatlanok]:[Ingatlanok]]=$H42)/(Adatok[[Ingatlanok]:[Ingatlanok]]=$H42)*(ROW(Adatok[[Ingatlanok]:[Ingatlanok]])-ROW(Adatok[[#Headers],[Cashflow]])),COLUMNS($J$25:N$25))),"")</f>
        <v/>
      </c>
      <c r="N73" t="str">
        <f>IF(COLUMNS($J$25:O$25)&lt;=$G42,INDEX(Adatok[[Cashflow]:[Cashflow]],_xlfn.AGGREGATE(15,3,(Adatok[[Ingatlanok]:[Ingatlanok]]=$H42)/(Adatok[[Ingatlanok]:[Ingatlanok]]=$H42)*(ROW(Adatok[[Ingatlanok]:[Ingatlanok]])-ROW(Adatok[[#Headers],[Ingatlanok]])),COLUMNS($J$25:O$25))),"")</f>
        <v/>
      </c>
      <c r="O73" t="str">
        <f>IF(COLUMNS($J$25:P$25)&lt;=$G42,INDEX(Adatok[[Cashflow]:[Cashflow]],_xlfn.AGGREGATE(15,3,(Adatok[[Ingatlanok]:[Ingatlanok]]=$H42)/(Adatok[[Ingatlanok]:[Ingatlanok]]=$H42)*(ROW(Adatok[[Ingatlanok]:[Ingatlanok]])-ROW(Adatok[[#Headers],[Ár]])),COLUMNS($J$25:P$25))),"")</f>
        <v/>
      </c>
      <c r="P73" t="str">
        <f>IF(COLUMNS($J$25:Q$25)&lt;=$G42,INDEX(Adatok[[Cashflow]:[Cashflow]],_xlfn.AGGREGATE(15,3,(Adatok[[Ingatlanok]:[Ingatlanok]]=$H42)/(Adatok[[Ingatlanok]:[Ingatlanok]]=$H42)*(ROW(Adatok[[Ingatlanok]:[Ingatlanok]])-ROW(Adatok[[#Headers],[Letét, jelzálog]])),COLUMNS($J$25:Q$25))),"")</f>
        <v/>
      </c>
      <c r="Q73" t="str">
        <f>IF(COLUMNS($J$25:R$25)&lt;=$G42,INDEX(Adatok[[Cashflow]:[Cashflow]],_xlfn.AGGREGATE(15,3,(Adatok[[Ingatlanok]:[Ingatlanok]]=$H42)/(Adatok[[Ingatlanok]:[Ingatlanok]]=$H42)*(ROW(Adatok[[Ingatlanok]:[Ingatlanok]])-ROW(Adatok[[#Headers],[Előleg]])),COLUMNS($J$25:R$25))),"")</f>
        <v/>
      </c>
      <c r="R73" t="str">
        <f>IF(COLUMNS($J$25:S$25)&lt;=$G42,INDEX(Adatok[[Cashflow]:[Cashflow]],_xlfn.AGGREGATE(15,3,(Adatok[[Ingatlanok]:[Ingatlanok]]=$H42)/(Adatok[[Ingatlanok]:[Ingatlanok]]=$H42)*(ROW(Adatok[[Ingatlanok]:[Ingatlanok]])-ROW(Adatok[[#Headers],[Cashflow]])),COLUMNS($J$25:S$25))),"")</f>
        <v/>
      </c>
      <c r="S73" t="str">
        <f>IF(COLUMNS($J$25:T$25)&lt;=$G42,INDEX(Adatok[[Cashflow]:[Cashflow]],_xlfn.AGGREGATE(15,3,(Adatok[[Ingatlanok]:[Ingatlanok]]=$H42)/(Adatok[[Ingatlanok]:[Ingatlanok]]=$H42)*(ROW(Adatok[[Ingatlanok]:[Ingatlanok]])-ROW(Adatok[[#Headers],[Ingatlanok]])),COLUMNS($J$25:T$25))),"")</f>
        <v/>
      </c>
      <c r="T73" t="str">
        <f>IF(COLUMNS($J$25:U$25)&lt;=$G42,INDEX(Adatok[[Cashflow]:[Cashflow]],_xlfn.AGGREGATE(15,3,(Adatok[[Ingatlanok]:[Ingatlanok]]=$H42)/(Adatok[[Ingatlanok]:[Ingatlanok]]=$H42)*(ROW(Adatok[[Ingatlanok]:[Ingatlanok]])-ROW(Adatok[[#Headers],[Ár]])),COLUMNS($J$25:U$25))),"")</f>
        <v/>
      </c>
      <c r="U73" t="str">
        <f>IF(COLUMNS($J$25:V$25)&lt;=$G42,INDEX(Adatok[[Cashflow]:[Cashflow]],_xlfn.AGGREGATE(15,3,(Adatok[[Ingatlanok]:[Ingatlanok]]=$H42)/(Adatok[[Ingatlanok]:[Ingatlanok]]=$H42)*(ROW(Adatok[[Ingatlanok]:[Ingatlanok]])-ROW(Adatok[[#Headers],[Letét, jelzálog]])),COLUMNS($J$25:V$25))),"")</f>
        <v/>
      </c>
      <c r="V73" t="str">
        <f>IF(COLUMNS($J$25:W$25)&lt;=$G42,INDEX(Adatok[[Cashflow]:[Cashflow]],_xlfn.AGGREGATE(15,3,(Adatok[[Ingatlanok]:[Ingatlanok]]=$H42)/(Adatok[[Ingatlanok]:[Ingatlanok]]=$H42)*(ROW(Adatok[[Ingatlanok]:[Ingatlanok]])-ROW(Adatok[[#Headers],[Előleg]])),COLUMNS($J$25:W$25))),"")</f>
        <v/>
      </c>
      <c r="W73" t="str">
        <f>IF(COLUMNS($J$25:X$25)&lt;=$G42,INDEX(Adatok[[Cashflow]:[Cashflow]],_xlfn.AGGREGATE(15,3,(Adatok[[Ingatlanok]:[Ingatlanok]]=$H42)/(Adatok[[Ingatlanok]:[Ingatlanok]]=$H42)*(ROW(Adatok[[Ingatlanok]:[Ingatlanok]])-ROW(Adatok[[#Headers],[Cashflow]])),COLUMNS($J$25:X$25))),"")</f>
        <v/>
      </c>
      <c r="X73" t="str">
        <f>IF(COLUMNS($J$25:Y$25)&lt;=$G42,INDEX(Adatok[[Cashflow]:[Cashflow]],_xlfn.AGGREGATE(15,3,(Adatok[[Ingatlanok]:[Ingatlanok]]=$H42)/(Adatok[[Ingatlanok]:[Ingatlanok]]=$H42)*(ROW(Adatok[[Ingatlanok]:[Ingatlanok]])-ROW(Adatok[[#Headers],[Ingatlanok]])),COLUMNS($J$25:Y$25))),"")</f>
        <v/>
      </c>
      <c r="Y73" t="str">
        <f>IF(COLUMNS($J$25:Z$25)&lt;=$G42,INDEX(Adatok[[Cashflow]:[Cashflow]],_xlfn.AGGREGATE(15,3,(Adatok[[Ingatlanok]:[Ingatlanok]]=$H42)/(Adatok[[Ingatlanok]:[Ingatlanok]]=$H42)*(ROW(Adatok[[Ingatlanok]:[Ingatlanok]])-ROW(Adatok[[#Headers],[Ár]])),COLUMNS($J$25:Z$25))),"")</f>
        <v/>
      </c>
      <c r="Z73" t="str">
        <f>IF(COLUMNS($J$25:AA$25)&lt;=$G42,INDEX(Adatok[[Cashflow]:[Cashflow]],_xlfn.AGGREGATE(15,3,(Adatok[[Ingatlanok]:[Ingatlanok]]=$H42)/(Adatok[[Ingatlanok]:[Ingatlanok]]=$H42)*(ROW(Adatok[[Ingatlanok]:[Ingatlanok]])-ROW(Adatok[[#Headers],[Letét, jelzálog]])),COLUMNS($J$25:AA$25))),"")</f>
        <v/>
      </c>
      <c r="AA73" t="str">
        <f>IF(COLUMNS($J$25:AB$25)&lt;=$G42,INDEX(Adatok[[Cashflow]:[Cashflow]],_xlfn.AGGREGATE(15,3,(Adatok[[Ingatlanok]:[Ingatlanok]]=$H42)/(Adatok[[Ingatlanok]:[Ingatlanok]]=$H42)*(ROW(Adatok[[Ingatlanok]:[Ingatlanok]])-ROW(Adatok[[#Headers],[Előleg]])),COLUMNS($J$25:AB$25))),"")</f>
        <v/>
      </c>
      <c r="AB73" t="str">
        <f>IF(COLUMNS($J$25:AC$25)&lt;=$G42,INDEX(Adatok[[Cashflow]:[Cashflow]],_xlfn.AGGREGATE(15,3,(Adatok[[Ingatlanok]:[Ingatlanok]]=$H42)/(Adatok[[Ingatlanok]:[Ingatlanok]]=$H42)*(ROW(Adatok[[Ingatlanok]:[Ingatlanok]])-ROW(Adatok[[#Headers],[Cashflow]])),COLUMNS($J$25:AC$25))),"")</f>
        <v/>
      </c>
      <c r="AC73" t="str">
        <f>IF(COLUMNS($J$25:AD$25)&lt;=$G42,INDEX(Adatok[[Cashflow]:[Cashflow]],_xlfn.AGGREGATE(15,3,(Adatok[[Ingatlanok]:[Ingatlanok]]=$H42)/(Adatok[[Ingatlanok]:[Ingatlanok]]=$H42)*(ROW(Adatok[[Ingatlanok]:[Ingatlanok]])-ROW(Adatok[[#Headers],[Ingatlanok]])),COLUMNS($J$25:AD$25))),"")</f>
        <v/>
      </c>
      <c r="AD73" t="str">
        <f>IF(COLUMNS($J$25:AE$25)&lt;=$G42,INDEX(Adatok[[Cashflow]:[Cashflow]],_xlfn.AGGREGATE(15,3,(Adatok[[Ingatlanok]:[Ingatlanok]]=$H42)/(Adatok[[Ingatlanok]:[Ingatlanok]]=$H42)*(ROW(Adatok[[Ingatlanok]:[Ingatlanok]])-ROW(Adatok[[#Headers],[Ár]])),COLUMNS($J$25:AE$25))),"")</f>
        <v/>
      </c>
    </row>
    <row r="74" spans="1:30" x14ac:dyDescent="0.25">
      <c r="A74" s="56" t="s">
        <v>130</v>
      </c>
      <c r="B74" s="56">
        <v>350000</v>
      </c>
      <c r="C74" s="56">
        <v>300000</v>
      </c>
      <c r="D74" s="56">
        <v>50000</v>
      </c>
      <c r="E74" s="47">
        <v>1500</v>
      </c>
      <c r="G74">
        <f>COUNTIF(Adatok[Ingatlanok],H74)</f>
        <v>1</v>
      </c>
      <c r="H74" s="57" t="str">
        <f>INDEX(Adatok[Ingatlanok],MATCH(0,INDEX(COUNTIF($H$56:H73,Adatok[Ingatlanok]),),0))</f>
        <v>APARTMAN KOMPLEXUM</v>
      </c>
      <c r="I74">
        <f>IF(COLUMNS($J$25:J$25)&lt;=$G43,INDEX(Adatok[[Cashflow]:[Cashflow]],_xlfn.AGGREGATE(15,3,(Adatok[[Ingatlanok]:[Ingatlanok]]=$H43)/(Adatok[[Ingatlanok]:[Ingatlanok]]=$H43)*(ROW(Adatok[[Ingatlanok]:[Ingatlanok]])-ROW(Adatok[[#Headers],[Ingatlanok]])),COLUMNS($J$25:J$25))),"")</f>
        <v>11000</v>
      </c>
      <c r="J74" t="str">
        <f>IF(COLUMNS($J$25:K$25)&lt;=$G43,INDEX(Adatok[[Cashflow]:[Cashflow]],_xlfn.AGGREGATE(15,3,(Adatok[[Ingatlanok]:[Ingatlanok]]=$H43)/(Adatok[[Ingatlanok]:[Ingatlanok]]=$H43)*(ROW(Adatok[[Ingatlanok]:[Ingatlanok]])-ROW(Adatok[[#Headers],[Ár]])),COLUMNS($J$25:K$25))),"")</f>
        <v/>
      </c>
      <c r="K74" t="str">
        <f>IF(COLUMNS($J$25:L$25)&lt;=$G43,INDEX(Adatok[[Cashflow]:[Cashflow]],_xlfn.AGGREGATE(15,3,(Adatok[[Ingatlanok]:[Ingatlanok]]=$H43)/(Adatok[[Ingatlanok]:[Ingatlanok]]=$H43)*(ROW(Adatok[[Ingatlanok]:[Ingatlanok]])-ROW(Adatok[[#Headers],[Letét, jelzálog]])),COLUMNS($J$25:L$25))),"")</f>
        <v/>
      </c>
      <c r="L74" t="str">
        <f>IF(COLUMNS($J$25:M$25)&lt;=$G43,INDEX(Adatok[[Cashflow]:[Cashflow]],_xlfn.AGGREGATE(15,3,(Adatok[[Ingatlanok]:[Ingatlanok]]=$H43)/(Adatok[[Ingatlanok]:[Ingatlanok]]=$H43)*(ROW(Adatok[[Ingatlanok]:[Ingatlanok]])-ROW(Adatok[[#Headers],[Előleg]])),COLUMNS($J$25:M$25))),"")</f>
        <v/>
      </c>
      <c r="M74" t="str">
        <f>IF(COLUMNS($J$25:N$25)&lt;=$G43,INDEX(Adatok[[Cashflow]:[Cashflow]],_xlfn.AGGREGATE(15,3,(Adatok[[Ingatlanok]:[Ingatlanok]]=$H43)/(Adatok[[Ingatlanok]:[Ingatlanok]]=$H43)*(ROW(Adatok[[Ingatlanok]:[Ingatlanok]])-ROW(Adatok[[#Headers],[Cashflow]])),COLUMNS($J$25:N$25))),"")</f>
        <v/>
      </c>
      <c r="N74" t="str">
        <f>IF(COLUMNS($J$25:O$25)&lt;=$G43,INDEX(Adatok[[Cashflow]:[Cashflow]],_xlfn.AGGREGATE(15,3,(Adatok[[Ingatlanok]:[Ingatlanok]]=$H43)/(Adatok[[Ingatlanok]:[Ingatlanok]]=$H43)*(ROW(Adatok[[Ingatlanok]:[Ingatlanok]])-ROW(Adatok[[#Headers],[Ingatlanok]])),COLUMNS($J$25:O$25))),"")</f>
        <v/>
      </c>
      <c r="O74" t="str">
        <f>IF(COLUMNS($J$25:P$25)&lt;=$G43,INDEX(Adatok[[Cashflow]:[Cashflow]],_xlfn.AGGREGATE(15,3,(Adatok[[Ingatlanok]:[Ingatlanok]]=$H43)/(Adatok[[Ingatlanok]:[Ingatlanok]]=$H43)*(ROW(Adatok[[Ingatlanok]:[Ingatlanok]])-ROW(Adatok[[#Headers],[Ár]])),COLUMNS($J$25:P$25))),"")</f>
        <v/>
      </c>
      <c r="P74" t="str">
        <f>IF(COLUMNS($J$25:Q$25)&lt;=$G43,INDEX(Adatok[[Cashflow]:[Cashflow]],_xlfn.AGGREGATE(15,3,(Adatok[[Ingatlanok]:[Ingatlanok]]=$H43)/(Adatok[[Ingatlanok]:[Ingatlanok]]=$H43)*(ROW(Adatok[[Ingatlanok]:[Ingatlanok]])-ROW(Adatok[[#Headers],[Letét, jelzálog]])),COLUMNS($J$25:Q$25))),"")</f>
        <v/>
      </c>
      <c r="Q74" t="str">
        <f>IF(COLUMNS($J$25:R$25)&lt;=$G43,INDEX(Adatok[[Cashflow]:[Cashflow]],_xlfn.AGGREGATE(15,3,(Adatok[[Ingatlanok]:[Ingatlanok]]=$H43)/(Adatok[[Ingatlanok]:[Ingatlanok]]=$H43)*(ROW(Adatok[[Ingatlanok]:[Ingatlanok]])-ROW(Adatok[[#Headers],[Előleg]])),COLUMNS($J$25:R$25))),"")</f>
        <v/>
      </c>
      <c r="R74" t="str">
        <f>IF(COLUMNS($J$25:S$25)&lt;=$G43,INDEX(Adatok[[Cashflow]:[Cashflow]],_xlfn.AGGREGATE(15,3,(Adatok[[Ingatlanok]:[Ingatlanok]]=$H43)/(Adatok[[Ingatlanok]:[Ingatlanok]]=$H43)*(ROW(Adatok[[Ingatlanok]:[Ingatlanok]])-ROW(Adatok[[#Headers],[Cashflow]])),COLUMNS($J$25:S$25))),"")</f>
        <v/>
      </c>
      <c r="S74" t="str">
        <f>IF(COLUMNS($J$25:T$25)&lt;=$G43,INDEX(Adatok[[Cashflow]:[Cashflow]],_xlfn.AGGREGATE(15,3,(Adatok[[Ingatlanok]:[Ingatlanok]]=$H43)/(Adatok[[Ingatlanok]:[Ingatlanok]]=$H43)*(ROW(Adatok[[Ingatlanok]:[Ingatlanok]])-ROW(Adatok[[#Headers],[Ingatlanok]])),COLUMNS($J$25:T$25))),"")</f>
        <v/>
      </c>
      <c r="T74" t="str">
        <f>IF(COLUMNS($J$25:U$25)&lt;=$G43,INDEX(Adatok[[Cashflow]:[Cashflow]],_xlfn.AGGREGATE(15,3,(Adatok[[Ingatlanok]:[Ingatlanok]]=$H43)/(Adatok[[Ingatlanok]:[Ingatlanok]]=$H43)*(ROW(Adatok[[Ingatlanok]:[Ingatlanok]])-ROW(Adatok[[#Headers],[Ár]])),COLUMNS($J$25:U$25))),"")</f>
        <v/>
      </c>
      <c r="U74" t="str">
        <f>IF(COLUMNS($J$25:V$25)&lt;=$G43,INDEX(Adatok[[Cashflow]:[Cashflow]],_xlfn.AGGREGATE(15,3,(Adatok[[Ingatlanok]:[Ingatlanok]]=$H43)/(Adatok[[Ingatlanok]:[Ingatlanok]]=$H43)*(ROW(Adatok[[Ingatlanok]:[Ingatlanok]])-ROW(Adatok[[#Headers],[Letét, jelzálog]])),COLUMNS($J$25:V$25))),"")</f>
        <v/>
      </c>
      <c r="V74" t="str">
        <f>IF(COLUMNS($J$25:W$25)&lt;=$G43,INDEX(Adatok[[Cashflow]:[Cashflow]],_xlfn.AGGREGATE(15,3,(Adatok[[Ingatlanok]:[Ingatlanok]]=$H43)/(Adatok[[Ingatlanok]:[Ingatlanok]]=$H43)*(ROW(Adatok[[Ingatlanok]:[Ingatlanok]])-ROW(Adatok[[#Headers],[Előleg]])),COLUMNS($J$25:W$25))),"")</f>
        <v/>
      </c>
      <c r="W74" t="str">
        <f>IF(COLUMNS($J$25:X$25)&lt;=$G43,INDEX(Adatok[[Cashflow]:[Cashflow]],_xlfn.AGGREGATE(15,3,(Adatok[[Ingatlanok]:[Ingatlanok]]=$H43)/(Adatok[[Ingatlanok]:[Ingatlanok]]=$H43)*(ROW(Adatok[[Ingatlanok]:[Ingatlanok]])-ROW(Adatok[[#Headers],[Cashflow]])),COLUMNS($J$25:X$25))),"")</f>
        <v/>
      </c>
      <c r="X74" t="str">
        <f>IF(COLUMNS($J$25:Y$25)&lt;=$G43,INDEX(Adatok[[Cashflow]:[Cashflow]],_xlfn.AGGREGATE(15,3,(Adatok[[Ingatlanok]:[Ingatlanok]]=$H43)/(Adatok[[Ingatlanok]:[Ingatlanok]]=$H43)*(ROW(Adatok[[Ingatlanok]:[Ingatlanok]])-ROW(Adatok[[#Headers],[Ingatlanok]])),COLUMNS($J$25:Y$25))),"")</f>
        <v/>
      </c>
      <c r="Y74" t="str">
        <f>IF(COLUMNS($J$25:Z$25)&lt;=$G43,INDEX(Adatok[[Cashflow]:[Cashflow]],_xlfn.AGGREGATE(15,3,(Adatok[[Ingatlanok]:[Ingatlanok]]=$H43)/(Adatok[[Ingatlanok]:[Ingatlanok]]=$H43)*(ROW(Adatok[[Ingatlanok]:[Ingatlanok]])-ROW(Adatok[[#Headers],[Ár]])),COLUMNS($J$25:Z$25))),"")</f>
        <v/>
      </c>
      <c r="Z74" t="str">
        <f>IF(COLUMNS($J$25:AA$25)&lt;=$G43,INDEX(Adatok[[Cashflow]:[Cashflow]],_xlfn.AGGREGATE(15,3,(Adatok[[Ingatlanok]:[Ingatlanok]]=$H43)/(Adatok[[Ingatlanok]:[Ingatlanok]]=$H43)*(ROW(Adatok[[Ingatlanok]:[Ingatlanok]])-ROW(Adatok[[#Headers],[Letét, jelzálog]])),COLUMNS($J$25:AA$25))),"")</f>
        <v/>
      </c>
      <c r="AA74" t="str">
        <f>IF(COLUMNS($J$25:AB$25)&lt;=$G43,INDEX(Adatok[[Cashflow]:[Cashflow]],_xlfn.AGGREGATE(15,3,(Adatok[[Ingatlanok]:[Ingatlanok]]=$H43)/(Adatok[[Ingatlanok]:[Ingatlanok]]=$H43)*(ROW(Adatok[[Ingatlanok]:[Ingatlanok]])-ROW(Adatok[[#Headers],[Előleg]])),COLUMNS($J$25:AB$25))),"")</f>
        <v/>
      </c>
      <c r="AB74" t="str">
        <f>IF(COLUMNS($J$25:AC$25)&lt;=$G43,INDEX(Adatok[[Cashflow]:[Cashflow]],_xlfn.AGGREGATE(15,3,(Adatok[[Ingatlanok]:[Ingatlanok]]=$H43)/(Adatok[[Ingatlanok]:[Ingatlanok]]=$H43)*(ROW(Adatok[[Ingatlanok]:[Ingatlanok]])-ROW(Adatok[[#Headers],[Cashflow]])),COLUMNS($J$25:AC$25))),"")</f>
        <v/>
      </c>
      <c r="AC74" t="str">
        <f>IF(COLUMNS($J$25:AD$25)&lt;=$G43,INDEX(Adatok[[Cashflow]:[Cashflow]],_xlfn.AGGREGATE(15,3,(Adatok[[Ingatlanok]:[Ingatlanok]]=$H43)/(Adatok[[Ingatlanok]:[Ingatlanok]]=$H43)*(ROW(Adatok[[Ingatlanok]:[Ingatlanok]])-ROW(Adatok[[#Headers],[Ingatlanok]])),COLUMNS($J$25:AD$25))),"")</f>
        <v/>
      </c>
      <c r="AD74" t="str">
        <f>IF(COLUMNS($J$25:AE$25)&lt;=$G43,INDEX(Adatok[[Cashflow]:[Cashflow]],_xlfn.AGGREGATE(15,3,(Adatok[[Ingatlanok]:[Ingatlanok]]=$H43)/(Adatok[[Ingatlanok]:[Ingatlanok]]=$H43)*(ROW(Adatok[[Ingatlanok]:[Ingatlanok]])-ROW(Adatok[[#Headers],[Ár]])),COLUMNS($J$25:AE$25))),"")</f>
        <v/>
      </c>
    </row>
    <row r="75" spans="1:30" x14ac:dyDescent="0.25">
      <c r="A75" s="56" t="s">
        <v>137</v>
      </c>
      <c r="B75" s="56">
        <v>350000</v>
      </c>
      <c r="C75" s="56">
        <v>300000</v>
      </c>
      <c r="D75" s="56">
        <v>50000</v>
      </c>
      <c r="E75" s="56">
        <v>2400</v>
      </c>
    </row>
    <row r="76" spans="1:30" x14ac:dyDescent="0.25">
      <c r="A76" s="56" t="s">
        <v>131</v>
      </c>
      <c r="B76" s="56">
        <v>500000</v>
      </c>
      <c r="C76" s="56">
        <v>400000</v>
      </c>
      <c r="D76" s="56">
        <v>100000</v>
      </c>
      <c r="E76" s="56">
        <v>5000</v>
      </c>
    </row>
    <row r="77" spans="1:30" x14ac:dyDescent="0.25">
      <c r="A77" s="56" t="s">
        <v>137</v>
      </c>
      <c r="B77" s="56">
        <v>550000</v>
      </c>
      <c r="C77" s="56">
        <v>500000</v>
      </c>
      <c r="D77" s="56">
        <v>50000</v>
      </c>
      <c r="E77" s="56">
        <v>2800</v>
      </c>
    </row>
    <row r="78" spans="1:30" x14ac:dyDescent="0.25">
      <c r="A78" s="56" t="s">
        <v>137</v>
      </c>
      <c r="B78" s="56">
        <v>575000</v>
      </c>
      <c r="C78" s="56">
        <v>500000</v>
      </c>
      <c r="D78" s="56">
        <v>75000</v>
      </c>
      <c r="E78" s="56">
        <v>3400</v>
      </c>
      <c r="I78" s="58" t="e">
        <f ca="1">OFFSET(Adatok!$H$80,MATCH($A11,Adatok!$H$80:$H$97,0)-1,1,1,COUNT(OFFSET(Adatok!$H$80,MATCH($A11,Adatok!$H$80:$H$97,0)-1,1,,15)))</f>
        <v>#N/A</v>
      </c>
    </row>
    <row r="79" spans="1:30" x14ac:dyDescent="0.25">
      <c r="A79" s="56" t="s">
        <v>129</v>
      </c>
      <c r="B79" s="56">
        <v>1200000</v>
      </c>
      <c r="C79" s="56">
        <v>1000000</v>
      </c>
      <c r="D79" s="56">
        <v>200000</v>
      </c>
      <c r="E79" s="56">
        <v>11000</v>
      </c>
    </row>
    <row r="80" spans="1:30" x14ac:dyDescent="0.25">
      <c r="A80" s="62" t="s">
        <v>139</v>
      </c>
      <c r="B80" s="56">
        <v>55000</v>
      </c>
      <c r="C80" s="56">
        <v>50000</v>
      </c>
      <c r="D80" s="56">
        <v>5000</v>
      </c>
      <c r="E80" s="56">
        <v>160</v>
      </c>
      <c r="G80">
        <f>COUNTIF(Adatok[Ingatlanok],H80)</f>
        <v>1</v>
      </c>
      <c r="H80" s="57" t="str">
        <f>INDEX(Adatok[Ingatlanok],MATCH(0,INDEX(COUNTIF($H$79:H79,Adatok[Ingatlanok]),),0))</f>
        <v>RITKA ARANY ÉRME</v>
      </c>
      <c r="I80">
        <f>IF(COLUMNS($J$25:J$25)&lt;=$G26,INDEX(Adatok[[Előleg]:[Előleg]],_xlfn.AGGREGATE(15,3,(Adatok[[Ingatlanok]:[Ingatlanok]]=$H26)/(Adatok[[Ingatlanok]:[Ingatlanok]]=$H26)*(ROW(Adatok[[Ingatlanok]:[Ingatlanok]])-ROW(Adatok[[#Headers],[Ingatlanok]])),COLUMNS($J$25:J$25))),"")</f>
        <v>500</v>
      </c>
      <c r="J80" t="str">
        <f>IF(COLUMNS($J$25:K$25)&lt;=$G26,INDEX(Adatok[[Előleg]:[Előleg]],_xlfn.AGGREGATE(15,3,(Adatok[[Ingatlanok]:[Ingatlanok]]=$H26)/(Adatok[[Ingatlanok]:[Ingatlanok]]=$H26)*(ROW(Adatok[[Ingatlanok]:[Ingatlanok]])-ROW(Adatok[[#Headers],[Ár]])),COLUMNS($J$25:K$25))),"")</f>
        <v/>
      </c>
      <c r="K80" t="str">
        <f>IF(COLUMNS($J$25:L$25)&lt;=$G26,INDEX(Adatok[[Előleg]:[Előleg]],_xlfn.AGGREGATE(15,3,(Adatok[[Ingatlanok]:[Ingatlanok]]=$H26)/(Adatok[[Ingatlanok]:[Ingatlanok]]=$H26)*(ROW(Adatok[[Ingatlanok]:[Ingatlanok]])-ROW(Adatok[[#Headers],[Letét, jelzálog]])),COLUMNS($J$25:L$25))),"")</f>
        <v/>
      </c>
      <c r="L80" t="str">
        <f>IF(COLUMNS($J$25:M$25)&lt;=$G26,INDEX(Adatok[[Előleg]:[Előleg]],_xlfn.AGGREGATE(15,3,(Adatok[[Ingatlanok]:[Ingatlanok]]=$H26)/(Adatok[[Ingatlanok]:[Ingatlanok]]=$H26)*(ROW(Adatok[[Ingatlanok]:[Ingatlanok]])-ROW(Adatok[[#Headers],[Előleg]])),COLUMNS($J$25:M$25))),"")</f>
        <v/>
      </c>
      <c r="M80" t="str">
        <f>IF(COLUMNS($J$25:N$25)&lt;=$G26,INDEX(Adatok[[Előleg]:[Előleg]],_xlfn.AGGREGATE(15,3,(Adatok[[Ingatlanok]:[Ingatlanok]]=$H26)/(Adatok[[Ingatlanok]:[Ingatlanok]]=$H26)*(ROW(Adatok[[Ingatlanok]:[Ingatlanok]])-ROW(Adatok[[#Headers],[Cashflow]])),COLUMNS($J$25:N$25))),"")</f>
        <v/>
      </c>
      <c r="N80" t="str">
        <f>IF(COLUMNS($J$25:O$25)&lt;=$G26,INDEX(Adatok[[Előleg]:[Előleg]],_xlfn.AGGREGATE(15,3,(Adatok[[Ingatlanok]:[Ingatlanok]]=$H26)/(Adatok[[Ingatlanok]:[Ingatlanok]]=$H26)*(ROW(Adatok[[Ingatlanok]:[Ingatlanok]])-ROW(Adatok[[#Headers],[Ingatlanok]])),COLUMNS($J$25:O$25))),"")</f>
        <v/>
      </c>
      <c r="O80" t="str">
        <f>IF(COLUMNS($J$25:P$25)&lt;=$G26,INDEX(Adatok[[Előleg]:[Előleg]],_xlfn.AGGREGATE(15,3,(Adatok[[Ingatlanok]:[Ingatlanok]]=$H26)/(Adatok[[Ingatlanok]:[Ingatlanok]]=$H26)*(ROW(Adatok[[Ingatlanok]:[Ingatlanok]])-ROW(Adatok[[#Headers],[Ár]])),COLUMNS($J$25:P$25))),"")</f>
        <v/>
      </c>
      <c r="P80" t="str">
        <f>IF(COLUMNS($J$25:Q$25)&lt;=$G26,INDEX(Adatok[[Előleg]:[Előleg]],_xlfn.AGGREGATE(15,3,(Adatok[[Ingatlanok]:[Ingatlanok]]=$H26)/(Adatok[[Ingatlanok]:[Ingatlanok]]=$H26)*(ROW(Adatok[[Ingatlanok]:[Ingatlanok]])-ROW(Adatok[[#Headers],[Letét, jelzálog]])),COLUMNS($J$25:Q$25))),"")</f>
        <v/>
      </c>
      <c r="Q80" t="str">
        <f>IF(COLUMNS($J$25:R$25)&lt;=$G26,INDEX(Adatok[[Előleg]:[Előleg]],_xlfn.AGGREGATE(15,3,(Adatok[[Ingatlanok]:[Ingatlanok]]=$H26)/(Adatok[[Ingatlanok]:[Ingatlanok]]=$H26)*(ROW(Adatok[[Ingatlanok]:[Ingatlanok]])-ROW(Adatok[[#Headers],[Előleg]])),COLUMNS($J$25:R$25))),"")</f>
        <v/>
      </c>
      <c r="R80" t="str">
        <f>IF(COLUMNS($J$25:S$25)&lt;=$G26,INDEX(Adatok[[Előleg]:[Előleg]],_xlfn.AGGREGATE(15,3,(Adatok[[Ingatlanok]:[Ingatlanok]]=$H26)/(Adatok[[Ingatlanok]:[Ingatlanok]]=$H26)*(ROW(Adatok[[Ingatlanok]:[Ingatlanok]])-ROW(Adatok[[#Headers],[Cashflow]])),COLUMNS($J$25:S$25))),"")</f>
        <v/>
      </c>
      <c r="S80" t="str">
        <f>IF(COLUMNS($J$25:T$25)&lt;=$G26,INDEX(Adatok[[Előleg]:[Előleg]],_xlfn.AGGREGATE(15,3,(Adatok[[Ingatlanok]:[Ingatlanok]]=$H26)/(Adatok[[Ingatlanok]:[Ingatlanok]]=$H26)*(ROW(Adatok[[Ingatlanok]:[Ingatlanok]])-ROW(Adatok[[#Headers],[Ingatlanok]])),COLUMNS($J$25:T$25))),"")</f>
        <v/>
      </c>
      <c r="T80" t="str">
        <f>IF(COLUMNS($J$25:U$25)&lt;=$G26,INDEX(Adatok[[Előleg]:[Előleg]],_xlfn.AGGREGATE(15,3,(Adatok[[Ingatlanok]:[Ingatlanok]]=$H26)/(Adatok[[Ingatlanok]:[Ingatlanok]]=$H26)*(ROW(Adatok[[Ingatlanok]:[Ingatlanok]])-ROW(Adatok[[#Headers],[Ár]])),COLUMNS($J$25:U$25))),"")</f>
        <v/>
      </c>
      <c r="U80" t="str">
        <f>IF(COLUMNS($J$25:V$25)&lt;=$G26,INDEX(Adatok[[Előleg]:[Előleg]],_xlfn.AGGREGATE(15,3,(Adatok[[Ingatlanok]:[Ingatlanok]]=$H26)/(Adatok[[Ingatlanok]:[Ingatlanok]]=$H26)*(ROW(Adatok[[Ingatlanok]:[Ingatlanok]])-ROW(Adatok[[#Headers],[Letét, jelzálog]])),COLUMNS($J$25:V$25))),"")</f>
        <v/>
      </c>
      <c r="V80" t="str">
        <f>IF(COLUMNS($J$25:W$25)&lt;=$G26,INDEX(Adatok[[Előleg]:[Előleg]],_xlfn.AGGREGATE(15,3,(Adatok[[Ingatlanok]:[Ingatlanok]]=$H26)/(Adatok[[Ingatlanok]:[Ingatlanok]]=$H26)*(ROW(Adatok[[Ingatlanok]:[Ingatlanok]])-ROW(Adatok[[#Headers],[Előleg]])),COLUMNS($J$25:W$25))),"")</f>
        <v/>
      </c>
      <c r="W80" t="str">
        <f>IF(COLUMNS($J$25:X$25)&lt;=$G26,INDEX(Adatok[[Előleg]:[Előleg]],_xlfn.AGGREGATE(15,3,(Adatok[[Ingatlanok]:[Ingatlanok]]=$H26)/(Adatok[[Ingatlanok]:[Ingatlanok]]=$H26)*(ROW(Adatok[[Ingatlanok]:[Ingatlanok]])-ROW(Adatok[[#Headers],[Cashflow]])),COLUMNS($J$25:X$25))),"")</f>
        <v/>
      </c>
      <c r="X80" t="str">
        <f>IF(COLUMNS($J$25:Y$25)&lt;=$G26,INDEX(Adatok[[Előleg]:[Előleg]],_xlfn.AGGREGATE(15,3,(Adatok[[Ingatlanok]:[Ingatlanok]]=$H26)/(Adatok[[Ingatlanok]:[Ingatlanok]]=$H26)*(ROW(Adatok[[Ingatlanok]:[Ingatlanok]])-ROW(Adatok[[#Headers],[Ingatlanok]])),COLUMNS($J$25:Y$25))),"")</f>
        <v/>
      </c>
      <c r="Y80" t="str">
        <f>IF(COLUMNS($J$25:Z$25)&lt;=$G26,INDEX(Adatok[[Előleg]:[Előleg]],_xlfn.AGGREGATE(15,3,(Adatok[[Ingatlanok]:[Ingatlanok]]=$H26)/(Adatok[[Ingatlanok]:[Ingatlanok]]=$H26)*(ROW(Adatok[[Ingatlanok]:[Ingatlanok]])-ROW(Adatok[[#Headers],[Ár]])),COLUMNS($J$25:Z$25))),"")</f>
        <v/>
      </c>
      <c r="Z80" t="str">
        <f>IF(COLUMNS($J$25:AA$25)&lt;=$G26,INDEX(Adatok[[Előleg]:[Előleg]],_xlfn.AGGREGATE(15,3,(Adatok[[Ingatlanok]:[Ingatlanok]]=$H26)/(Adatok[[Ingatlanok]:[Ingatlanok]]=$H26)*(ROW(Adatok[[Ingatlanok]:[Ingatlanok]])-ROW(Adatok[[#Headers],[Letét, jelzálog]])),COLUMNS($J$25:AA$25))),"")</f>
        <v/>
      </c>
      <c r="AA80" t="str">
        <f>IF(COLUMNS($J$25:AB$25)&lt;=$G26,INDEX(Adatok[[Előleg]:[Előleg]],_xlfn.AGGREGATE(15,3,(Adatok[[Ingatlanok]:[Ingatlanok]]=$H26)/(Adatok[[Ingatlanok]:[Ingatlanok]]=$H26)*(ROW(Adatok[[Ingatlanok]:[Ingatlanok]])-ROW(Adatok[[#Headers],[Előleg]])),COLUMNS($J$25:AB$25))),"")</f>
        <v/>
      </c>
      <c r="AB80" t="str">
        <f>IF(COLUMNS($J$25:AC$25)&lt;=$G26,INDEX(Adatok[[Előleg]:[Előleg]],_xlfn.AGGREGATE(15,3,(Adatok[[Ingatlanok]:[Ingatlanok]]=$H26)/(Adatok[[Ingatlanok]:[Ingatlanok]]=$H26)*(ROW(Adatok[[Ingatlanok]:[Ingatlanok]])-ROW(Adatok[[#Headers],[Cashflow]])),COLUMNS($J$25:AC$25))),"")</f>
        <v/>
      </c>
      <c r="AC80" t="str">
        <f>IF(COLUMNS($J$25:AD$25)&lt;=$G26,INDEX(Adatok[[Előleg]:[Előleg]],_xlfn.AGGREGATE(15,3,(Adatok[[Ingatlanok]:[Ingatlanok]]=$H26)/(Adatok[[Ingatlanok]:[Ingatlanok]]=$H26)*(ROW(Adatok[[Ingatlanok]:[Ingatlanok]])-ROW(Adatok[[#Headers],[Ingatlanok]])),COLUMNS($J$25:AD$25))),"")</f>
        <v/>
      </c>
      <c r="AD80" t="str">
        <f>IF(COLUMNS($J$25:AE$25)&lt;=$G26,INDEX(Adatok[[Előleg]:[Előleg]],_xlfn.AGGREGATE(15,3,(Adatok[[Ingatlanok]:[Ingatlanok]]=$H26)/(Adatok[[Ingatlanok]:[Ingatlanok]]=$H26)*(ROW(Adatok[[Ingatlanok]:[Ingatlanok]])-ROW(Adatok[[#Headers],[Ár]])),COLUMNS($J$25:AE$25))),"")</f>
        <v/>
      </c>
    </row>
    <row r="81" spans="1:30" x14ac:dyDescent="0.25">
      <c r="A81" s="62" t="s">
        <v>136</v>
      </c>
      <c r="B81" s="56">
        <v>50000</v>
      </c>
      <c r="C81" s="56">
        <v>47000</v>
      </c>
      <c r="D81" s="56">
        <v>3000</v>
      </c>
      <c r="E81" s="56">
        <v>100</v>
      </c>
      <c r="G81">
        <f>COUNTIF(Adatok[Ingatlanok],H81)</f>
        <v>1</v>
      </c>
      <c r="H81" s="57" t="str">
        <f>INDEX(Adatok[Ingatlanok],MATCH(0,INDEX(COUNTIF($H$79:H80,Adatok[Ingatlanok]),),0))</f>
        <v>INDíTS EL EGY RÉSZIDŐS SAJÁT KISVÁLLALKOZÁST</v>
      </c>
      <c r="I81">
        <f>IF(COLUMNS($J$25:J$25)&lt;=$G27,INDEX(Adatok[[Előleg]:[Előleg]],_xlfn.AGGREGATE(15,3,(Adatok[[Ingatlanok]:[Ingatlanok]]=$H27)/(Adatok[[Ingatlanok]:[Ingatlanok]]=$H27)*(ROW(Adatok[[Ingatlanok]:[Ingatlanok]])-ROW(Adatok[[#Headers],[Ingatlanok]])),COLUMNS($J$25:J$25))),"")</f>
        <v>3000</v>
      </c>
      <c r="J81" t="str">
        <f>IF(COLUMNS($J$25:K$25)&lt;=$G27,INDEX(Adatok[[Előleg]:[Előleg]],_xlfn.AGGREGATE(15,3,(Adatok[[Ingatlanok]:[Ingatlanok]]=$H27)/(Adatok[[Ingatlanok]:[Ingatlanok]]=$H27)*(ROW(Adatok[[Ingatlanok]:[Ingatlanok]])-ROW(Adatok[[#Headers],[Ár]])),COLUMNS($J$25:K$25))),"")</f>
        <v/>
      </c>
      <c r="K81" t="str">
        <f>IF(COLUMNS($J$25:L$25)&lt;=$G27,INDEX(Adatok[[Előleg]:[Előleg]],_xlfn.AGGREGATE(15,3,(Adatok[[Ingatlanok]:[Ingatlanok]]=$H27)/(Adatok[[Ingatlanok]:[Ingatlanok]]=$H27)*(ROW(Adatok[[Ingatlanok]:[Ingatlanok]])-ROW(Adatok[[#Headers],[Letét, jelzálog]])),COLUMNS($J$25:L$25))),"")</f>
        <v/>
      </c>
      <c r="L81" t="str">
        <f>IF(COLUMNS($J$25:M$25)&lt;=$G27,INDEX(Adatok[[Előleg]:[Előleg]],_xlfn.AGGREGATE(15,3,(Adatok[[Ingatlanok]:[Ingatlanok]]=$H27)/(Adatok[[Ingatlanok]:[Ingatlanok]]=$H27)*(ROW(Adatok[[Ingatlanok]:[Ingatlanok]])-ROW(Adatok[[#Headers],[Előleg]])),COLUMNS($J$25:M$25))),"")</f>
        <v/>
      </c>
      <c r="M81" t="str">
        <f>IF(COLUMNS($J$25:N$25)&lt;=$G27,INDEX(Adatok[[Előleg]:[Előleg]],_xlfn.AGGREGATE(15,3,(Adatok[[Ingatlanok]:[Ingatlanok]]=$H27)/(Adatok[[Ingatlanok]:[Ingatlanok]]=$H27)*(ROW(Adatok[[Ingatlanok]:[Ingatlanok]])-ROW(Adatok[[#Headers],[Cashflow]])),COLUMNS($J$25:N$25))),"")</f>
        <v/>
      </c>
      <c r="N81" t="str">
        <f>IF(COLUMNS($J$25:O$25)&lt;=$G27,INDEX(Adatok[[Előleg]:[Előleg]],_xlfn.AGGREGATE(15,3,(Adatok[[Ingatlanok]:[Ingatlanok]]=$H27)/(Adatok[[Ingatlanok]:[Ingatlanok]]=$H27)*(ROW(Adatok[[Ingatlanok]:[Ingatlanok]])-ROW(Adatok[[#Headers],[Ingatlanok]])),COLUMNS($J$25:O$25))),"")</f>
        <v/>
      </c>
      <c r="O81" t="str">
        <f>IF(COLUMNS($J$25:P$25)&lt;=$G27,INDEX(Adatok[[Előleg]:[Előleg]],_xlfn.AGGREGATE(15,3,(Adatok[[Ingatlanok]:[Ingatlanok]]=$H27)/(Adatok[[Ingatlanok]:[Ingatlanok]]=$H27)*(ROW(Adatok[[Ingatlanok]:[Ingatlanok]])-ROW(Adatok[[#Headers],[Ár]])),COLUMNS($J$25:P$25))),"")</f>
        <v/>
      </c>
      <c r="P81" t="str">
        <f>IF(COLUMNS($J$25:Q$25)&lt;=$G27,INDEX(Adatok[[Előleg]:[Előleg]],_xlfn.AGGREGATE(15,3,(Adatok[[Ingatlanok]:[Ingatlanok]]=$H27)/(Adatok[[Ingatlanok]:[Ingatlanok]]=$H27)*(ROW(Adatok[[Ingatlanok]:[Ingatlanok]])-ROW(Adatok[[#Headers],[Letét, jelzálog]])),COLUMNS($J$25:Q$25))),"")</f>
        <v/>
      </c>
      <c r="Q81" t="str">
        <f>IF(COLUMNS($J$25:R$25)&lt;=$G27,INDEX(Adatok[[Előleg]:[Előleg]],_xlfn.AGGREGATE(15,3,(Adatok[[Ingatlanok]:[Ingatlanok]]=$H27)/(Adatok[[Ingatlanok]:[Ingatlanok]]=$H27)*(ROW(Adatok[[Ingatlanok]:[Ingatlanok]])-ROW(Adatok[[#Headers],[Előleg]])),COLUMNS($J$25:R$25))),"")</f>
        <v/>
      </c>
      <c r="R81" t="str">
        <f>IF(COLUMNS($J$25:S$25)&lt;=$G27,INDEX(Adatok[[Előleg]:[Előleg]],_xlfn.AGGREGATE(15,3,(Adatok[[Ingatlanok]:[Ingatlanok]]=$H27)/(Adatok[[Ingatlanok]:[Ingatlanok]]=$H27)*(ROW(Adatok[[Ingatlanok]:[Ingatlanok]])-ROW(Adatok[[#Headers],[Cashflow]])),COLUMNS($J$25:S$25))),"")</f>
        <v/>
      </c>
      <c r="S81" t="str">
        <f>IF(COLUMNS($J$25:T$25)&lt;=$G27,INDEX(Adatok[[Előleg]:[Előleg]],_xlfn.AGGREGATE(15,3,(Adatok[[Ingatlanok]:[Ingatlanok]]=$H27)/(Adatok[[Ingatlanok]:[Ingatlanok]]=$H27)*(ROW(Adatok[[Ingatlanok]:[Ingatlanok]])-ROW(Adatok[[#Headers],[Ingatlanok]])),COLUMNS($J$25:T$25))),"")</f>
        <v/>
      </c>
      <c r="T81" t="str">
        <f>IF(COLUMNS($J$25:U$25)&lt;=$G27,INDEX(Adatok[[Előleg]:[Előleg]],_xlfn.AGGREGATE(15,3,(Adatok[[Ingatlanok]:[Ingatlanok]]=$H27)/(Adatok[[Ingatlanok]:[Ingatlanok]]=$H27)*(ROW(Adatok[[Ingatlanok]:[Ingatlanok]])-ROW(Adatok[[#Headers],[Ár]])),COLUMNS($J$25:U$25))),"")</f>
        <v/>
      </c>
      <c r="U81" t="str">
        <f>IF(COLUMNS($J$25:V$25)&lt;=$G27,INDEX(Adatok[[Előleg]:[Előleg]],_xlfn.AGGREGATE(15,3,(Adatok[[Ingatlanok]:[Ingatlanok]]=$H27)/(Adatok[[Ingatlanok]:[Ingatlanok]]=$H27)*(ROW(Adatok[[Ingatlanok]:[Ingatlanok]])-ROW(Adatok[[#Headers],[Letét, jelzálog]])),COLUMNS($J$25:V$25))),"")</f>
        <v/>
      </c>
      <c r="V81" t="str">
        <f>IF(COLUMNS($J$25:W$25)&lt;=$G27,INDEX(Adatok[[Előleg]:[Előleg]],_xlfn.AGGREGATE(15,3,(Adatok[[Ingatlanok]:[Ingatlanok]]=$H27)/(Adatok[[Ingatlanok]:[Ingatlanok]]=$H27)*(ROW(Adatok[[Ingatlanok]:[Ingatlanok]])-ROW(Adatok[[#Headers],[Előleg]])),COLUMNS($J$25:W$25))),"")</f>
        <v/>
      </c>
      <c r="W81" t="str">
        <f>IF(COLUMNS($J$25:X$25)&lt;=$G27,INDEX(Adatok[[Előleg]:[Előleg]],_xlfn.AGGREGATE(15,3,(Adatok[[Ingatlanok]:[Ingatlanok]]=$H27)/(Adatok[[Ingatlanok]:[Ingatlanok]]=$H27)*(ROW(Adatok[[Ingatlanok]:[Ingatlanok]])-ROW(Adatok[[#Headers],[Cashflow]])),COLUMNS($J$25:X$25))),"")</f>
        <v/>
      </c>
      <c r="X81" t="str">
        <f>IF(COLUMNS($J$25:Y$25)&lt;=$G27,INDEX(Adatok[[Előleg]:[Előleg]],_xlfn.AGGREGATE(15,3,(Adatok[[Ingatlanok]:[Ingatlanok]]=$H27)/(Adatok[[Ingatlanok]:[Ingatlanok]]=$H27)*(ROW(Adatok[[Ingatlanok]:[Ingatlanok]])-ROW(Adatok[[#Headers],[Ingatlanok]])),COLUMNS($J$25:Y$25))),"")</f>
        <v/>
      </c>
      <c r="Y81" t="str">
        <f>IF(COLUMNS($J$25:Z$25)&lt;=$G27,INDEX(Adatok[[Előleg]:[Előleg]],_xlfn.AGGREGATE(15,3,(Adatok[[Ingatlanok]:[Ingatlanok]]=$H27)/(Adatok[[Ingatlanok]:[Ingatlanok]]=$H27)*(ROW(Adatok[[Ingatlanok]:[Ingatlanok]])-ROW(Adatok[[#Headers],[Ár]])),COLUMNS($J$25:Z$25))),"")</f>
        <v/>
      </c>
      <c r="Z81" t="str">
        <f>IF(COLUMNS($J$25:AA$25)&lt;=$G27,INDEX(Adatok[[Előleg]:[Előleg]],_xlfn.AGGREGATE(15,3,(Adatok[[Ingatlanok]:[Ingatlanok]]=$H27)/(Adatok[[Ingatlanok]:[Ingatlanok]]=$H27)*(ROW(Adatok[[Ingatlanok]:[Ingatlanok]])-ROW(Adatok[[#Headers],[Letét, jelzálog]])),COLUMNS($J$25:AA$25))),"")</f>
        <v/>
      </c>
      <c r="AA81" t="str">
        <f>IF(COLUMNS($J$25:AB$25)&lt;=$G27,INDEX(Adatok[[Előleg]:[Előleg]],_xlfn.AGGREGATE(15,3,(Adatok[[Ingatlanok]:[Ingatlanok]]=$H27)/(Adatok[[Ingatlanok]:[Ingatlanok]]=$H27)*(ROW(Adatok[[Ingatlanok]:[Ingatlanok]])-ROW(Adatok[[#Headers],[Előleg]])),COLUMNS($J$25:AB$25))),"")</f>
        <v/>
      </c>
      <c r="AB81" t="str">
        <f>IF(COLUMNS($J$25:AC$25)&lt;=$G27,INDEX(Adatok[[Előleg]:[Előleg]],_xlfn.AGGREGATE(15,3,(Adatok[[Ingatlanok]:[Ingatlanok]]=$H27)/(Adatok[[Ingatlanok]:[Ingatlanok]]=$H27)*(ROW(Adatok[[Ingatlanok]:[Ingatlanok]])-ROW(Adatok[[#Headers],[Cashflow]])),COLUMNS($J$25:AC$25))),"")</f>
        <v/>
      </c>
      <c r="AC81" t="str">
        <f>IF(COLUMNS($J$25:AD$25)&lt;=$G27,INDEX(Adatok[[Előleg]:[Előleg]],_xlfn.AGGREGATE(15,3,(Adatok[[Ingatlanok]:[Ingatlanok]]=$H27)/(Adatok[[Ingatlanok]:[Ingatlanok]]=$H27)*(ROW(Adatok[[Ingatlanok]:[Ingatlanok]])-ROW(Adatok[[#Headers],[Ingatlanok]])),COLUMNS($J$25:AD$25))),"")</f>
        <v/>
      </c>
      <c r="AD81" t="str">
        <f>IF(COLUMNS($J$25:AE$25)&lt;=$G27,INDEX(Adatok[[Előleg]:[Előleg]],_xlfn.AGGREGATE(15,3,(Adatok[[Ingatlanok]:[Ingatlanok]]=$H27)/(Adatok[[Ingatlanok]:[Ingatlanok]]=$H27)*(ROW(Adatok[[Ingatlanok]:[Ingatlanok]])-ROW(Adatok[[#Headers],[Ár]])),COLUMNS($J$25:AE$25))),"")</f>
        <v/>
      </c>
    </row>
    <row r="82" spans="1:30" x14ac:dyDescent="0.25">
      <c r="G82">
        <f>COUNTIF(Adatok[Ingatlanok],H82)</f>
        <v>1</v>
      </c>
      <c r="H82" s="57" t="str">
        <f>INDEX(Adatok[Ingatlanok],MATCH(0,INDEX(COUNTIF($H$79:H81,Adatok[Ingatlanok]),),0))</f>
        <v>4 HEKTÁROS MEGMŰVELETLEN TERÜLET</v>
      </c>
      <c r="I82">
        <f>IF(COLUMNS($J$25:J$25)&lt;=$G28,INDEX(Adatok[[Előleg]:[Előleg]],_xlfn.AGGREGATE(15,3,(Adatok[[Ingatlanok]:[Ingatlanok]]=$H28)/(Adatok[[Ingatlanok]:[Ingatlanok]]=$H28)*(ROW(Adatok[[Ingatlanok]:[Ingatlanok]])-ROW(Adatok[[#Headers],[Ingatlanok]])),COLUMNS($J$25:J$25))),"")</f>
        <v>5000</v>
      </c>
      <c r="J82" t="str">
        <f>IF(COLUMNS($J$25:K$25)&lt;=$G28,INDEX(Adatok[[Előleg]:[Előleg]],_xlfn.AGGREGATE(15,3,(Adatok[[Ingatlanok]:[Ingatlanok]]=$H28)/(Adatok[[Ingatlanok]:[Ingatlanok]]=$H28)*(ROW(Adatok[[Ingatlanok]:[Ingatlanok]])-ROW(Adatok[[#Headers],[Ár]])),COLUMNS($J$25:K$25))),"")</f>
        <v/>
      </c>
      <c r="K82" t="str">
        <f>IF(COLUMNS($J$25:L$25)&lt;=$G28,INDEX(Adatok[[Előleg]:[Előleg]],_xlfn.AGGREGATE(15,3,(Adatok[[Ingatlanok]:[Ingatlanok]]=$H28)/(Adatok[[Ingatlanok]:[Ingatlanok]]=$H28)*(ROW(Adatok[[Ingatlanok]:[Ingatlanok]])-ROW(Adatok[[#Headers],[Letét, jelzálog]])),COLUMNS($J$25:L$25))),"")</f>
        <v/>
      </c>
      <c r="L82" t="str">
        <f>IF(COLUMNS($J$25:M$25)&lt;=$G28,INDEX(Adatok[[Előleg]:[Előleg]],_xlfn.AGGREGATE(15,3,(Adatok[[Ingatlanok]:[Ingatlanok]]=$H28)/(Adatok[[Ingatlanok]:[Ingatlanok]]=$H28)*(ROW(Adatok[[Ingatlanok]:[Ingatlanok]])-ROW(Adatok[[#Headers],[Előleg]])),COLUMNS($J$25:M$25))),"")</f>
        <v/>
      </c>
      <c r="M82" t="str">
        <f>IF(COLUMNS($J$25:N$25)&lt;=$G28,INDEX(Adatok[[Előleg]:[Előleg]],_xlfn.AGGREGATE(15,3,(Adatok[[Ingatlanok]:[Ingatlanok]]=$H28)/(Adatok[[Ingatlanok]:[Ingatlanok]]=$H28)*(ROW(Adatok[[Ingatlanok]:[Ingatlanok]])-ROW(Adatok[[#Headers],[Cashflow]])),COLUMNS($J$25:N$25))),"")</f>
        <v/>
      </c>
      <c r="N82" t="str">
        <f>IF(COLUMNS($J$25:O$25)&lt;=$G28,INDEX(Adatok[[Előleg]:[Előleg]],_xlfn.AGGREGATE(15,3,(Adatok[[Ingatlanok]:[Ingatlanok]]=$H28)/(Adatok[[Ingatlanok]:[Ingatlanok]]=$H28)*(ROW(Adatok[[Ingatlanok]:[Ingatlanok]])-ROW(Adatok[[#Headers],[Ingatlanok]])),COLUMNS($J$25:O$25))),"")</f>
        <v/>
      </c>
      <c r="O82" t="str">
        <f>IF(COLUMNS($J$25:P$25)&lt;=$G28,INDEX(Adatok[[Előleg]:[Előleg]],_xlfn.AGGREGATE(15,3,(Adatok[[Ingatlanok]:[Ingatlanok]]=$H28)/(Adatok[[Ingatlanok]:[Ingatlanok]]=$H28)*(ROW(Adatok[[Ingatlanok]:[Ingatlanok]])-ROW(Adatok[[#Headers],[Ár]])),COLUMNS($J$25:P$25))),"")</f>
        <v/>
      </c>
      <c r="P82" t="str">
        <f>IF(COLUMNS($J$25:Q$25)&lt;=$G28,INDEX(Adatok[[Előleg]:[Előleg]],_xlfn.AGGREGATE(15,3,(Adatok[[Ingatlanok]:[Ingatlanok]]=$H28)/(Adatok[[Ingatlanok]:[Ingatlanok]]=$H28)*(ROW(Adatok[[Ingatlanok]:[Ingatlanok]])-ROW(Adatok[[#Headers],[Letét, jelzálog]])),COLUMNS($J$25:Q$25))),"")</f>
        <v/>
      </c>
      <c r="Q82" t="str">
        <f>IF(COLUMNS($J$25:R$25)&lt;=$G28,INDEX(Adatok[[Előleg]:[Előleg]],_xlfn.AGGREGATE(15,3,(Adatok[[Ingatlanok]:[Ingatlanok]]=$H28)/(Adatok[[Ingatlanok]:[Ingatlanok]]=$H28)*(ROW(Adatok[[Ingatlanok]:[Ingatlanok]])-ROW(Adatok[[#Headers],[Előleg]])),COLUMNS($J$25:R$25))),"")</f>
        <v/>
      </c>
      <c r="R82" t="str">
        <f>IF(COLUMNS($J$25:S$25)&lt;=$G28,INDEX(Adatok[[Előleg]:[Előleg]],_xlfn.AGGREGATE(15,3,(Adatok[[Ingatlanok]:[Ingatlanok]]=$H28)/(Adatok[[Ingatlanok]:[Ingatlanok]]=$H28)*(ROW(Adatok[[Ingatlanok]:[Ingatlanok]])-ROW(Adatok[[#Headers],[Cashflow]])),COLUMNS($J$25:S$25))),"")</f>
        <v/>
      </c>
      <c r="S82" t="str">
        <f>IF(COLUMNS($J$25:T$25)&lt;=$G28,INDEX(Adatok[[Előleg]:[Előleg]],_xlfn.AGGREGATE(15,3,(Adatok[[Ingatlanok]:[Ingatlanok]]=$H28)/(Adatok[[Ingatlanok]:[Ingatlanok]]=$H28)*(ROW(Adatok[[Ingatlanok]:[Ingatlanok]])-ROW(Adatok[[#Headers],[Ingatlanok]])),COLUMNS($J$25:T$25))),"")</f>
        <v/>
      </c>
      <c r="T82" t="str">
        <f>IF(COLUMNS($J$25:U$25)&lt;=$G28,INDEX(Adatok[[Előleg]:[Előleg]],_xlfn.AGGREGATE(15,3,(Adatok[[Ingatlanok]:[Ingatlanok]]=$H28)/(Adatok[[Ingatlanok]:[Ingatlanok]]=$H28)*(ROW(Adatok[[Ingatlanok]:[Ingatlanok]])-ROW(Adatok[[#Headers],[Ár]])),COLUMNS($J$25:U$25))),"")</f>
        <v/>
      </c>
      <c r="U82" t="str">
        <f>IF(COLUMNS($J$25:V$25)&lt;=$G28,INDEX(Adatok[[Előleg]:[Előleg]],_xlfn.AGGREGATE(15,3,(Adatok[[Ingatlanok]:[Ingatlanok]]=$H28)/(Adatok[[Ingatlanok]:[Ingatlanok]]=$H28)*(ROW(Adatok[[Ingatlanok]:[Ingatlanok]])-ROW(Adatok[[#Headers],[Letét, jelzálog]])),COLUMNS($J$25:V$25))),"")</f>
        <v/>
      </c>
      <c r="V82" t="str">
        <f>IF(COLUMNS($J$25:W$25)&lt;=$G28,INDEX(Adatok[[Előleg]:[Előleg]],_xlfn.AGGREGATE(15,3,(Adatok[[Ingatlanok]:[Ingatlanok]]=$H28)/(Adatok[[Ingatlanok]:[Ingatlanok]]=$H28)*(ROW(Adatok[[Ingatlanok]:[Ingatlanok]])-ROW(Adatok[[#Headers],[Előleg]])),COLUMNS($J$25:W$25))),"")</f>
        <v/>
      </c>
      <c r="W82" t="str">
        <f>IF(COLUMNS($J$25:X$25)&lt;=$G28,INDEX(Adatok[[Előleg]:[Előleg]],_xlfn.AGGREGATE(15,3,(Adatok[[Ingatlanok]:[Ingatlanok]]=$H28)/(Adatok[[Ingatlanok]:[Ingatlanok]]=$H28)*(ROW(Adatok[[Ingatlanok]:[Ingatlanok]])-ROW(Adatok[[#Headers],[Cashflow]])),COLUMNS($J$25:X$25))),"")</f>
        <v/>
      </c>
      <c r="X82" t="str">
        <f>IF(COLUMNS($J$25:Y$25)&lt;=$G28,INDEX(Adatok[[Előleg]:[Előleg]],_xlfn.AGGREGATE(15,3,(Adatok[[Ingatlanok]:[Ingatlanok]]=$H28)/(Adatok[[Ingatlanok]:[Ingatlanok]]=$H28)*(ROW(Adatok[[Ingatlanok]:[Ingatlanok]])-ROW(Adatok[[#Headers],[Ingatlanok]])),COLUMNS($J$25:Y$25))),"")</f>
        <v/>
      </c>
      <c r="Y82" t="str">
        <f>IF(COLUMNS($J$25:Z$25)&lt;=$G28,INDEX(Adatok[[Előleg]:[Előleg]],_xlfn.AGGREGATE(15,3,(Adatok[[Ingatlanok]:[Ingatlanok]]=$H28)/(Adatok[[Ingatlanok]:[Ingatlanok]]=$H28)*(ROW(Adatok[[Ingatlanok]:[Ingatlanok]])-ROW(Adatok[[#Headers],[Ár]])),COLUMNS($J$25:Z$25))),"")</f>
        <v/>
      </c>
      <c r="Z82" t="str">
        <f>IF(COLUMNS($J$25:AA$25)&lt;=$G28,INDEX(Adatok[[Előleg]:[Előleg]],_xlfn.AGGREGATE(15,3,(Adatok[[Ingatlanok]:[Ingatlanok]]=$H28)/(Adatok[[Ingatlanok]:[Ingatlanok]]=$H28)*(ROW(Adatok[[Ingatlanok]:[Ingatlanok]])-ROW(Adatok[[#Headers],[Letét, jelzálog]])),COLUMNS($J$25:AA$25))),"")</f>
        <v/>
      </c>
      <c r="AA82" t="str">
        <f>IF(COLUMNS($J$25:AB$25)&lt;=$G28,INDEX(Adatok[[Előleg]:[Előleg]],_xlfn.AGGREGATE(15,3,(Adatok[[Ingatlanok]:[Ingatlanok]]=$H28)/(Adatok[[Ingatlanok]:[Ingatlanok]]=$H28)*(ROW(Adatok[[Ingatlanok]:[Ingatlanok]])-ROW(Adatok[[#Headers],[Előleg]])),COLUMNS($J$25:AB$25))),"")</f>
        <v/>
      </c>
      <c r="AB82" t="str">
        <f>IF(COLUMNS($J$25:AC$25)&lt;=$G28,INDEX(Adatok[[Előleg]:[Előleg]],_xlfn.AGGREGATE(15,3,(Adatok[[Ingatlanok]:[Ingatlanok]]=$H28)/(Adatok[[Ingatlanok]:[Ingatlanok]]=$H28)*(ROW(Adatok[[Ingatlanok]:[Ingatlanok]])-ROW(Adatok[[#Headers],[Cashflow]])),COLUMNS($J$25:AC$25))),"")</f>
        <v/>
      </c>
      <c r="AC82" t="str">
        <f>IF(COLUMNS($J$25:AD$25)&lt;=$G28,INDEX(Adatok[[Előleg]:[Előleg]],_xlfn.AGGREGATE(15,3,(Adatok[[Ingatlanok]:[Ingatlanok]]=$H28)/(Adatok[[Ingatlanok]:[Ingatlanok]]=$H28)*(ROW(Adatok[[Ingatlanok]:[Ingatlanok]])-ROW(Adatok[[#Headers],[Ingatlanok]])),COLUMNS($J$25:AD$25))),"")</f>
        <v/>
      </c>
      <c r="AD82" t="str">
        <f>IF(COLUMNS($J$25:AE$25)&lt;=$G28,INDEX(Adatok[[Előleg]:[Előleg]],_xlfn.AGGREGATE(15,3,(Adatok[[Ingatlanok]:[Ingatlanok]]=$H28)/(Adatok[[Ingatlanok]:[Ingatlanok]]=$H28)*(ROW(Adatok[[Ingatlanok]:[Ingatlanok]])-ROW(Adatok[[#Headers],[Ár]])),COLUMNS($J$25:AE$25))),"")</f>
        <v/>
      </c>
    </row>
    <row r="83" spans="1:30" x14ac:dyDescent="0.25">
      <c r="G83">
        <f>COUNTIF(Adatok[Ingatlanok],H83)</f>
        <v>1</v>
      </c>
      <c r="H83" s="57" t="str">
        <f>INDEX(Adatok[Ingatlanok],MATCH(0,INDEX(COUNTIF($H$79:H82,Adatok[Ingatlanok]),),0))</f>
        <v>8 HA FÖLDTERÜLET</v>
      </c>
      <c r="I83">
        <f>IF(COLUMNS($J$25:J$25)&lt;=$G29,INDEX(Adatok[[Előleg]:[Előleg]],_xlfn.AGGREGATE(15,3,(Adatok[[Ingatlanok]:[Ingatlanok]]=$H29)/(Adatok[[Ingatlanok]:[Ingatlanok]]=$H29)*(ROW(Adatok[[Ingatlanok]:[Ingatlanok]])-ROW(Adatok[[#Headers],[Ingatlanok]])),COLUMNS($J$25:J$25))),"")</f>
        <v>20000</v>
      </c>
      <c r="J83" t="str">
        <f>IF(COLUMNS($J$25:K$25)&lt;=$G29,INDEX(Adatok[[Előleg]:[Előleg]],_xlfn.AGGREGATE(15,3,(Adatok[[Ingatlanok]:[Ingatlanok]]=$H29)/(Adatok[[Ingatlanok]:[Ingatlanok]]=$H29)*(ROW(Adatok[[Ingatlanok]:[Ingatlanok]])-ROW(Adatok[[#Headers],[Ár]])),COLUMNS($J$25:K$25))),"")</f>
        <v/>
      </c>
      <c r="K83" t="str">
        <f>IF(COLUMNS($J$25:L$25)&lt;=$G29,INDEX(Adatok[[Előleg]:[Előleg]],_xlfn.AGGREGATE(15,3,(Adatok[[Ingatlanok]:[Ingatlanok]]=$H29)/(Adatok[[Ingatlanok]:[Ingatlanok]]=$H29)*(ROW(Adatok[[Ingatlanok]:[Ingatlanok]])-ROW(Adatok[[#Headers],[Letét, jelzálog]])),COLUMNS($J$25:L$25))),"")</f>
        <v/>
      </c>
      <c r="L83" t="str">
        <f>IF(COLUMNS($J$25:M$25)&lt;=$G29,INDEX(Adatok[[Előleg]:[Előleg]],_xlfn.AGGREGATE(15,3,(Adatok[[Ingatlanok]:[Ingatlanok]]=$H29)/(Adatok[[Ingatlanok]:[Ingatlanok]]=$H29)*(ROW(Adatok[[Ingatlanok]:[Ingatlanok]])-ROW(Adatok[[#Headers],[Előleg]])),COLUMNS($J$25:M$25))),"")</f>
        <v/>
      </c>
      <c r="M83" t="str">
        <f>IF(COLUMNS($J$25:N$25)&lt;=$G29,INDEX(Adatok[[Előleg]:[Előleg]],_xlfn.AGGREGATE(15,3,(Adatok[[Ingatlanok]:[Ingatlanok]]=$H29)/(Adatok[[Ingatlanok]:[Ingatlanok]]=$H29)*(ROW(Adatok[[Ingatlanok]:[Ingatlanok]])-ROW(Adatok[[#Headers],[Cashflow]])),COLUMNS($J$25:N$25))),"")</f>
        <v/>
      </c>
      <c r="N83" t="str">
        <f>IF(COLUMNS($J$25:O$25)&lt;=$G29,INDEX(Adatok[[Előleg]:[Előleg]],_xlfn.AGGREGATE(15,3,(Adatok[[Ingatlanok]:[Ingatlanok]]=$H29)/(Adatok[[Ingatlanok]:[Ingatlanok]]=$H29)*(ROW(Adatok[[Ingatlanok]:[Ingatlanok]])-ROW(Adatok[[#Headers],[Ingatlanok]])),COLUMNS($J$25:O$25))),"")</f>
        <v/>
      </c>
      <c r="O83" t="str">
        <f>IF(COLUMNS($J$25:P$25)&lt;=$G29,INDEX(Adatok[[Előleg]:[Előleg]],_xlfn.AGGREGATE(15,3,(Adatok[[Ingatlanok]:[Ingatlanok]]=$H29)/(Adatok[[Ingatlanok]:[Ingatlanok]]=$H29)*(ROW(Adatok[[Ingatlanok]:[Ingatlanok]])-ROW(Adatok[[#Headers],[Ár]])),COLUMNS($J$25:P$25))),"")</f>
        <v/>
      </c>
      <c r="P83" t="str">
        <f>IF(COLUMNS($J$25:Q$25)&lt;=$G29,INDEX(Adatok[[Előleg]:[Előleg]],_xlfn.AGGREGATE(15,3,(Adatok[[Ingatlanok]:[Ingatlanok]]=$H29)/(Adatok[[Ingatlanok]:[Ingatlanok]]=$H29)*(ROW(Adatok[[Ingatlanok]:[Ingatlanok]])-ROW(Adatok[[#Headers],[Letét, jelzálog]])),COLUMNS($J$25:Q$25))),"")</f>
        <v/>
      </c>
      <c r="Q83" t="str">
        <f>IF(COLUMNS($J$25:R$25)&lt;=$G29,INDEX(Adatok[[Előleg]:[Előleg]],_xlfn.AGGREGATE(15,3,(Adatok[[Ingatlanok]:[Ingatlanok]]=$H29)/(Adatok[[Ingatlanok]:[Ingatlanok]]=$H29)*(ROW(Adatok[[Ingatlanok]:[Ingatlanok]])-ROW(Adatok[[#Headers],[Előleg]])),COLUMNS($J$25:R$25))),"")</f>
        <v/>
      </c>
      <c r="R83" t="str">
        <f>IF(COLUMNS($J$25:S$25)&lt;=$G29,INDEX(Adatok[[Előleg]:[Előleg]],_xlfn.AGGREGATE(15,3,(Adatok[[Ingatlanok]:[Ingatlanok]]=$H29)/(Adatok[[Ingatlanok]:[Ingatlanok]]=$H29)*(ROW(Adatok[[Ingatlanok]:[Ingatlanok]])-ROW(Adatok[[#Headers],[Cashflow]])),COLUMNS($J$25:S$25))),"")</f>
        <v/>
      </c>
      <c r="S83" t="str">
        <f>IF(COLUMNS($J$25:T$25)&lt;=$G29,INDEX(Adatok[[Előleg]:[Előleg]],_xlfn.AGGREGATE(15,3,(Adatok[[Ingatlanok]:[Ingatlanok]]=$H29)/(Adatok[[Ingatlanok]:[Ingatlanok]]=$H29)*(ROW(Adatok[[Ingatlanok]:[Ingatlanok]])-ROW(Adatok[[#Headers],[Ingatlanok]])),COLUMNS($J$25:T$25))),"")</f>
        <v/>
      </c>
      <c r="T83" t="str">
        <f>IF(COLUMNS($J$25:U$25)&lt;=$G29,INDEX(Adatok[[Előleg]:[Előleg]],_xlfn.AGGREGATE(15,3,(Adatok[[Ingatlanok]:[Ingatlanok]]=$H29)/(Adatok[[Ingatlanok]:[Ingatlanok]]=$H29)*(ROW(Adatok[[Ingatlanok]:[Ingatlanok]])-ROW(Adatok[[#Headers],[Ár]])),COLUMNS($J$25:U$25))),"")</f>
        <v/>
      </c>
      <c r="U83" t="str">
        <f>IF(COLUMNS($J$25:V$25)&lt;=$G29,INDEX(Adatok[[Előleg]:[Előleg]],_xlfn.AGGREGATE(15,3,(Adatok[[Ingatlanok]:[Ingatlanok]]=$H29)/(Adatok[[Ingatlanok]:[Ingatlanok]]=$H29)*(ROW(Adatok[[Ingatlanok]:[Ingatlanok]])-ROW(Adatok[[#Headers],[Letét, jelzálog]])),COLUMNS($J$25:V$25))),"")</f>
        <v/>
      </c>
      <c r="V83" t="str">
        <f>IF(COLUMNS($J$25:W$25)&lt;=$G29,INDEX(Adatok[[Előleg]:[Előleg]],_xlfn.AGGREGATE(15,3,(Adatok[[Ingatlanok]:[Ingatlanok]]=$H29)/(Adatok[[Ingatlanok]:[Ingatlanok]]=$H29)*(ROW(Adatok[[Ingatlanok]:[Ingatlanok]])-ROW(Adatok[[#Headers],[Előleg]])),COLUMNS($J$25:W$25))),"")</f>
        <v/>
      </c>
      <c r="W83" t="str">
        <f>IF(COLUMNS($J$25:X$25)&lt;=$G29,INDEX(Adatok[[Előleg]:[Előleg]],_xlfn.AGGREGATE(15,3,(Adatok[[Ingatlanok]:[Ingatlanok]]=$H29)/(Adatok[[Ingatlanok]:[Ingatlanok]]=$H29)*(ROW(Adatok[[Ingatlanok]:[Ingatlanok]])-ROW(Adatok[[#Headers],[Cashflow]])),COLUMNS($J$25:X$25))),"")</f>
        <v/>
      </c>
      <c r="X83" t="str">
        <f>IF(COLUMNS($J$25:Y$25)&lt;=$G29,INDEX(Adatok[[Előleg]:[Előleg]],_xlfn.AGGREGATE(15,3,(Adatok[[Ingatlanok]:[Ingatlanok]]=$H29)/(Adatok[[Ingatlanok]:[Ingatlanok]]=$H29)*(ROW(Adatok[[Ingatlanok]:[Ingatlanok]])-ROW(Adatok[[#Headers],[Ingatlanok]])),COLUMNS($J$25:Y$25))),"")</f>
        <v/>
      </c>
      <c r="Y83" t="str">
        <f>IF(COLUMNS($J$25:Z$25)&lt;=$G29,INDEX(Adatok[[Előleg]:[Előleg]],_xlfn.AGGREGATE(15,3,(Adatok[[Ingatlanok]:[Ingatlanok]]=$H29)/(Adatok[[Ingatlanok]:[Ingatlanok]]=$H29)*(ROW(Adatok[[Ingatlanok]:[Ingatlanok]])-ROW(Adatok[[#Headers],[Ár]])),COLUMNS($J$25:Z$25))),"")</f>
        <v/>
      </c>
      <c r="Z83" t="str">
        <f>IF(COLUMNS($J$25:AA$25)&lt;=$G29,INDEX(Adatok[[Előleg]:[Előleg]],_xlfn.AGGREGATE(15,3,(Adatok[[Ingatlanok]:[Ingatlanok]]=$H29)/(Adatok[[Ingatlanok]:[Ingatlanok]]=$H29)*(ROW(Adatok[[Ingatlanok]:[Ingatlanok]])-ROW(Adatok[[#Headers],[Letét, jelzálog]])),COLUMNS($J$25:AA$25))),"")</f>
        <v/>
      </c>
      <c r="AA83" t="str">
        <f>IF(COLUMNS($J$25:AB$25)&lt;=$G29,INDEX(Adatok[[Előleg]:[Előleg]],_xlfn.AGGREGATE(15,3,(Adatok[[Ingatlanok]:[Ingatlanok]]=$H29)/(Adatok[[Ingatlanok]:[Ingatlanok]]=$H29)*(ROW(Adatok[[Ingatlanok]:[Ingatlanok]])-ROW(Adatok[[#Headers],[Előleg]])),COLUMNS($J$25:AB$25))),"")</f>
        <v/>
      </c>
      <c r="AB83" t="str">
        <f>IF(COLUMNS($J$25:AC$25)&lt;=$G29,INDEX(Adatok[[Előleg]:[Előleg]],_xlfn.AGGREGATE(15,3,(Adatok[[Ingatlanok]:[Ingatlanok]]=$H29)/(Adatok[[Ingatlanok]:[Ingatlanok]]=$H29)*(ROW(Adatok[[Ingatlanok]:[Ingatlanok]])-ROW(Adatok[[#Headers],[Cashflow]])),COLUMNS($J$25:AC$25))),"")</f>
        <v/>
      </c>
      <c r="AC83" t="str">
        <f>IF(COLUMNS($J$25:AD$25)&lt;=$G29,INDEX(Adatok[[Előleg]:[Előleg]],_xlfn.AGGREGATE(15,3,(Adatok[[Ingatlanok]:[Ingatlanok]]=$H29)/(Adatok[[Ingatlanok]:[Ingatlanok]]=$H29)*(ROW(Adatok[[Ingatlanok]:[Ingatlanok]])-ROW(Adatok[[#Headers],[Ingatlanok]])),COLUMNS($J$25:AD$25))),"")</f>
        <v/>
      </c>
      <c r="AD83" t="str">
        <f>IF(COLUMNS($J$25:AE$25)&lt;=$G29,INDEX(Adatok[[Előleg]:[Előleg]],_xlfn.AGGREGATE(15,3,(Adatok[[Ingatlanok]:[Ingatlanok]]=$H29)/(Adatok[[Ingatlanok]:[Ingatlanok]]=$H29)*(ROW(Adatok[[Ingatlanok]:[Ingatlanok]])-ROW(Adatok[[#Headers],[Ár]])),COLUMNS($J$25:AE$25))),"")</f>
        <v/>
      </c>
    </row>
    <row r="84" spans="1:30" x14ac:dyDescent="0.25">
      <c r="G84">
        <f>COUNTIF(Adatok[Ingatlanok],H84)</f>
        <v>4</v>
      </c>
      <c r="H84" s="57" t="str">
        <f>INDEX(Adatok[Ingatlanok],MATCH(0,INDEX(COUNTIF($H$79:H83,Adatok[Ingatlanok]),),0))</f>
        <v>CSENDESTÁRS</v>
      </c>
      <c r="I84">
        <f>IF(COLUMNS($J$25:J$25)&lt;=$G30,INDEX(Adatok[[Előleg]:[Előleg]],_xlfn.AGGREGATE(15,3,(Adatok[[Ingatlanok]:[Ingatlanok]]=$H30)/(Adatok[[Ingatlanok]:[Ingatlanok]]=$H30)*(ROW(Adatok[[Ingatlanok]:[Ingatlanok]])-ROW(Adatok[[#Headers],[Ingatlanok]])),COLUMNS($J$25:J$25))),"")</f>
        <v>20000</v>
      </c>
      <c r="J84">
        <f>IF(COLUMNS($J$25:K$25)&lt;=$G30,INDEX(Adatok[[Előleg]:[Előleg]],_xlfn.AGGREGATE(15,3,(Adatok[[Ingatlanok]:[Ingatlanok]]=$H30)/(Adatok[[Ingatlanok]:[Ingatlanok]]=$H30)*(ROW(Adatok[[Ingatlanok]:[Ingatlanok]])-ROW(Adatok[[#Headers],[Ár]])),COLUMNS($J$25:K$25))),"")</f>
        <v>25000</v>
      </c>
      <c r="K84">
        <f>IF(COLUMNS($J$25:L$25)&lt;=$G30,INDEX(Adatok[[Előleg]:[Előleg]],_xlfn.AGGREGATE(15,3,(Adatok[[Ingatlanok]:[Ingatlanok]]=$H30)/(Adatok[[Ingatlanok]:[Ingatlanok]]=$H30)*(ROW(Adatok[[Ingatlanok]:[Ingatlanok]])-ROW(Adatok[[#Headers],[Letét, jelzálog]])),COLUMNS($J$25:L$25))),"")</f>
        <v>30000</v>
      </c>
      <c r="L84">
        <f>IF(COLUMNS($J$25:M$25)&lt;=$G30,INDEX(Adatok[[Előleg]:[Előleg]],_xlfn.AGGREGATE(15,3,(Adatok[[Ingatlanok]:[Ingatlanok]]=$H30)/(Adatok[[Ingatlanok]:[Ingatlanok]]=$H30)*(ROW(Adatok[[Ingatlanok]:[Ingatlanok]])-ROW(Adatok[[#Headers],[Előleg]])),COLUMNS($J$25:M$25))),"")</f>
        <v>30000</v>
      </c>
      <c r="M84" t="str">
        <f>IF(COLUMNS($J$25:N$25)&lt;=$G30,INDEX(Adatok[[Előleg]:[Előleg]],_xlfn.AGGREGATE(15,3,(Adatok[[Ingatlanok]:[Ingatlanok]]=$H30)/(Adatok[[Ingatlanok]:[Ingatlanok]]=$H30)*(ROW(Adatok[[Ingatlanok]:[Ingatlanok]])-ROW(Adatok[[#Headers],[Cashflow]])),COLUMNS($J$25:N$25))),"")</f>
        <v/>
      </c>
      <c r="N84" t="str">
        <f>IF(COLUMNS($J$25:O$25)&lt;=$G30,INDEX(Adatok[[Előleg]:[Előleg]],_xlfn.AGGREGATE(15,3,(Adatok[[Ingatlanok]:[Ingatlanok]]=$H30)/(Adatok[[Ingatlanok]:[Ingatlanok]]=$H30)*(ROW(Adatok[[Ingatlanok]:[Ingatlanok]])-ROW(Adatok[[#Headers],[Ingatlanok]])),COLUMNS($J$25:O$25))),"")</f>
        <v/>
      </c>
      <c r="O84" t="str">
        <f>IF(COLUMNS($J$25:P$25)&lt;=$G30,INDEX(Adatok[[Előleg]:[Előleg]],_xlfn.AGGREGATE(15,3,(Adatok[[Ingatlanok]:[Ingatlanok]]=$H30)/(Adatok[[Ingatlanok]:[Ingatlanok]]=$H30)*(ROW(Adatok[[Ingatlanok]:[Ingatlanok]])-ROW(Adatok[[#Headers],[Ár]])),COLUMNS($J$25:P$25))),"")</f>
        <v/>
      </c>
      <c r="P84" t="str">
        <f>IF(COLUMNS($J$25:Q$25)&lt;=$G30,INDEX(Adatok[[Előleg]:[Előleg]],_xlfn.AGGREGATE(15,3,(Adatok[[Ingatlanok]:[Ingatlanok]]=$H30)/(Adatok[[Ingatlanok]:[Ingatlanok]]=$H30)*(ROW(Adatok[[Ingatlanok]:[Ingatlanok]])-ROW(Adatok[[#Headers],[Letét, jelzálog]])),COLUMNS($J$25:Q$25))),"")</f>
        <v/>
      </c>
      <c r="Q84" t="str">
        <f>IF(COLUMNS($J$25:R$25)&lt;=$G30,INDEX(Adatok[[Előleg]:[Előleg]],_xlfn.AGGREGATE(15,3,(Adatok[[Ingatlanok]:[Ingatlanok]]=$H30)/(Adatok[[Ingatlanok]:[Ingatlanok]]=$H30)*(ROW(Adatok[[Ingatlanok]:[Ingatlanok]])-ROW(Adatok[[#Headers],[Előleg]])),COLUMNS($J$25:R$25))),"")</f>
        <v/>
      </c>
      <c r="R84" t="str">
        <f>IF(COLUMNS($J$25:S$25)&lt;=$G30,INDEX(Adatok[[Előleg]:[Előleg]],_xlfn.AGGREGATE(15,3,(Adatok[[Ingatlanok]:[Ingatlanok]]=$H30)/(Adatok[[Ingatlanok]:[Ingatlanok]]=$H30)*(ROW(Adatok[[Ingatlanok]:[Ingatlanok]])-ROW(Adatok[[#Headers],[Cashflow]])),COLUMNS($J$25:S$25))),"")</f>
        <v/>
      </c>
      <c r="S84" t="str">
        <f>IF(COLUMNS($J$25:T$25)&lt;=$G30,INDEX(Adatok[[Előleg]:[Előleg]],_xlfn.AGGREGATE(15,3,(Adatok[[Ingatlanok]:[Ingatlanok]]=$H30)/(Adatok[[Ingatlanok]:[Ingatlanok]]=$H30)*(ROW(Adatok[[Ingatlanok]:[Ingatlanok]])-ROW(Adatok[[#Headers],[Ingatlanok]])),COLUMNS($J$25:T$25))),"")</f>
        <v/>
      </c>
      <c r="T84" t="str">
        <f>IF(COLUMNS($J$25:U$25)&lt;=$G30,INDEX(Adatok[[Előleg]:[Előleg]],_xlfn.AGGREGATE(15,3,(Adatok[[Ingatlanok]:[Ingatlanok]]=$H30)/(Adatok[[Ingatlanok]:[Ingatlanok]]=$H30)*(ROW(Adatok[[Ingatlanok]:[Ingatlanok]])-ROW(Adatok[[#Headers],[Ár]])),COLUMNS($J$25:U$25))),"")</f>
        <v/>
      </c>
      <c r="U84" t="str">
        <f>IF(COLUMNS($J$25:V$25)&lt;=$G30,INDEX(Adatok[[Előleg]:[Előleg]],_xlfn.AGGREGATE(15,3,(Adatok[[Ingatlanok]:[Ingatlanok]]=$H30)/(Adatok[[Ingatlanok]:[Ingatlanok]]=$H30)*(ROW(Adatok[[Ingatlanok]:[Ingatlanok]])-ROW(Adatok[[#Headers],[Letét, jelzálog]])),COLUMNS($J$25:V$25))),"")</f>
        <v/>
      </c>
      <c r="V84" t="str">
        <f>IF(COLUMNS($J$25:W$25)&lt;=$G30,INDEX(Adatok[[Előleg]:[Előleg]],_xlfn.AGGREGATE(15,3,(Adatok[[Ingatlanok]:[Ingatlanok]]=$H30)/(Adatok[[Ingatlanok]:[Ingatlanok]]=$H30)*(ROW(Adatok[[Ingatlanok]:[Ingatlanok]])-ROW(Adatok[[#Headers],[Előleg]])),COLUMNS($J$25:W$25))),"")</f>
        <v/>
      </c>
      <c r="W84" t="str">
        <f>IF(COLUMNS($J$25:X$25)&lt;=$G30,INDEX(Adatok[[Előleg]:[Előleg]],_xlfn.AGGREGATE(15,3,(Adatok[[Ingatlanok]:[Ingatlanok]]=$H30)/(Adatok[[Ingatlanok]:[Ingatlanok]]=$H30)*(ROW(Adatok[[Ingatlanok]:[Ingatlanok]])-ROW(Adatok[[#Headers],[Cashflow]])),COLUMNS($J$25:X$25))),"")</f>
        <v/>
      </c>
      <c r="X84" t="str">
        <f>IF(COLUMNS($J$25:Y$25)&lt;=$G30,INDEX(Adatok[[Előleg]:[Előleg]],_xlfn.AGGREGATE(15,3,(Adatok[[Ingatlanok]:[Ingatlanok]]=$H30)/(Adatok[[Ingatlanok]:[Ingatlanok]]=$H30)*(ROW(Adatok[[Ingatlanok]:[Ingatlanok]])-ROW(Adatok[[#Headers],[Ingatlanok]])),COLUMNS($J$25:Y$25))),"")</f>
        <v/>
      </c>
      <c r="Y84" t="str">
        <f>IF(COLUMNS($J$25:Z$25)&lt;=$G30,INDEX(Adatok[[Előleg]:[Előleg]],_xlfn.AGGREGATE(15,3,(Adatok[[Ingatlanok]:[Ingatlanok]]=$H30)/(Adatok[[Ingatlanok]:[Ingatlanok]]=$H30)*(ROW(Adatok[[Ingatlanok]:[Ingatlanok]])-ROW(Adatok[[#Headers],[Ár]])),COLUMNS($J$25:Z$25))),"")</f>
        <v/>
      </c>
      <c r="Z84" t="str">
        <f>IF(COLUMNS($J$25:AA$25)&lt;=$G30,INDEX(Adatok[[Előleg]:[Előleg]],_xlfn.AGGREGATE(15,3,(Adatok[[Ingatlanok]:[Ingatlanok]]=$H30)/(Adatok[[Ingatlanok]:[Ingatlanok]]=$H30)*(ROW(Adatok[[Ingatlanok]:[Ingatlanok]])-ROW(Adatok[[#Headers],[Letét, jelzálog]])),COLUMNS($J$25:AA$25))),"")</f>
        <v/>
      </c>
      <c r="AA84" t="str">
        <f>IF(COLUMNS($J$25:AB$25)&lt;=$G30,INDEX(Adatok[[Előleg]:[Előleg]],_xlfn.AGGREGATE(15,3,(Adatok[[Ingatlanok]:[Ingatlanok]]=$H30)/(Adatok[[Ingatlanok]:[Ingatlanok]]=$H30)*(ROW(Adatok[[Ingatlanok]:[Ingatlanok]])-ROW(Adatok[[#Headers],[Előleg]])),COLUMNS($J$25:AB$25))),"")</f>
        <v/>
      </c>
      <c r="AB84" t="str">
        <f>IF(COLUMNS($J$25:AC$25)&lt;=$G30,INDEX(Adatok[[Előleg]:[Előleg]],_xlfn.AGGREGATE(15,3,(Adatok[[Ingatlanok]:[Ingatlanok]]=$H30)/(Adatok[[Ingatlanok]:[Ingatlanok]]=$H30)*(ROW(Adatok[[Ingatlanok]:[Ingatlanok]])-ROW(Adatok[[#Headers],[Cashflow]])),COLUMNS($J$25:AC$25))),"")</f>
        <v/>
      </c>
      <c r="AC84" t="str">
        <f>IF(COLUMNS($J$25:AD$25)&lt;=$G30,INDEX(Adatok[[Előleg]:[Előleg]],_xlfn.AGGREGATE(15,3,(Adatok[[Ingatlanok]:[Ingatlanok]]=$H30)/(Adatok[[Ingatlanok]:[Ingatlanok]]=$H30)*(ROW(Adatok[[Ingatlanok]:[Ingatlanok]])-ROW(Adatok[[#Headers],[Ingatlanok]])),COLUMNS($J$25:AD$25))),"")</f>
        <v/>
      </c>
      <c r="AD84" t="str">
        <f>IF(COLUMNS($J$25:AE$25)&lt;=$G30,INDEX(Adatok[[Előleg]:[Előleg]],_xlfn.AGGREGATE(15,3,(Adatok[[Ingatlanok]:[Ingatlanok]]=$H30)/(Adatok[[Ingatlanok]:[Ingatlanok]]=$H30)*(ROW(Adatok[[Ingatlanok]:[Ingatlanok]])-ROW(Adatok[[#Headers],[Ár]])),COLUMNS($J$25:AE$25))),"")</f>
        <v/>
      </c>
    </row>
    <row r="85" spans="1:30" x14ac:dyDescent="0.25">
      <c r="G85">
        <f>COUNTIF(Adatok[Ingatlanok],H85)</f>
        <v>3</v>
      </c>
      <c r="H85" s="57" t="str">
        <f>INDEX(Adatok[Ingatlanok],MATCH(0,INDEX(COUNTIF($H$79:H84,Adatok[Ingatlanok]),),0))</f>
        <v>NAGYSZERŰ LEHETŐSÉG 3H/2F</v>
      </c>
      <c r="I85">
        <f>IF(COLUMNS($J$25:J$25)&lt;=$G31,INDEX(Adatok[[Előleg]:[Előleg]],_xlfn.AGGREGATE(15,3,(Adatok[[Ingatlanok]:[Ingatlanok]]=$H31)/(Adatok[[Ingatlanok]:[Ingatlanok]]=$H31)*(ROW(Adatok[[Ingatlanok]:[Ingatlanok]])-ROW(Adatok[[#Headers],[Ingatlanok]])),COLUMNS($J$25:J$25))),"")</f>
        <v>2000</v>
      </c>
      <c r="J85">
        <f>IF(COLUMNS($J$25:K$25)&lt;=$G31,INDEX(Adatok[[Előleg]:[Előleg]],_xlfn.AGGREGATE(15,3,(Adatok[[Ingatlanok]:[Ingatlanok]]=$H31)/(Adatok[[Ingatlanok]:[Ingatlanok]]=$H31)*(ROW(Adatok[[Ingatlanok]:[Ingatlanok]])-ROW(Adatok[[#Headers],[Ár]])),COLUMNS($J$25:K$25))),"")</f>
        <v>2000</v>
      </c>
      <c r="K85">
        <f>IF(COLUMNS($J$25:L$25)&lt;=$G31,INDEX(Adatok[[Előleg]:[Előleg]],_xlfn.AGGREGATE(15,3,(Adatok[[Ingatlanok]:[Ingatlanok]]=$H31)/(Adatok[[Ingatlanok]:[Ingatlanok]]=$H31)*(ROW(Adatok[[Ingatlanok]:[Ingatlanok]])-ROW(Adatok[[#Headers],[Letét, jelzálog]])),COLUMNS($J$25:L$25))),"")</f>
        <v>2000</v>
      </c>
      <c r="L85" t="str">
        <f>IF(COLUMNS($J$25:M$25)&lt;=$G31,INDEX(Adatok[[Előleg]:[Előleg]],_xlfn.AGGREGATE(15,3,(Adatok[[Ingatlanok]:[Ingatlanok]]=$H31)/(Adatok[[Ingatlanok]:[Ingatlanok]]=$H31)*(ROW(Adatok[[Ingatlanok]:[Ingatlanok]])-ROW(Adatok[[#Headers],[Előleg]])),COLUMNS($J$25:M$25))),"")</f>
        <v/>
      </c>
      <c r="M85" t="str">
        <f>IF(COLUMNS($J$25:N$25)&lt;=$G31,INDEX(Adatok[[Előleg]:[Előleg]],_xlfn.AGGREGATE(15,3,(Adatok[[Ingatlanok]:[Ingatlanok]]=$H31)/(Adatok[[Ingatlanok]:[Ingatlanok]]=$H31)*(ROW(Adatok[[Ingatlanok]:[Ingatlanok]])-ROW(Adatok[[#Headers],[Cashflow]])),COLUMNS($J$25:N$25))),"")</f>
        <v/>
      </c>
      <c r="N85" t="str">
        <f>IF(COLUMNS($J$25:O$25)&lt;=$G31,INDEX(Adatok[[Előleg]:[Előleg]],_xlfn.AGGREGATE(15,3,(Adatok[[Ingatlanok]:[Ingatlanok]]=$H31)/(Adatok[[Ingatlanok]:[Ingatlanok]]=$H31)*(ROW(Adatok[[Ingatlanok]:[Ingatlanok]])-ROW(Adatok[[#Headers],[Ingatlanok]])),COLUMNS($J$25:O$25))),"")</f>
        <v/>
      </c>
      <c r="O85" t="str">
        <f>IF(COLUMNS($J$25:P$25)&lt;=$G31,INDEX(Adatok[[Előleg]:[Előleg]],_xlfn.AGGREGATE(15,3,(Adatok[[Ingatlanok]:[Ingatlanok]]=$H31)/(Adatok[[Ingatlanok]:[Ingatlanok]]=$H31)*(ROW(Adatok[[Ingatlanok]:[Ingatlanok]])-ROW(Adatok[[#Headers],[Ár]])),COLUMNS($J$25:P$25))),"")</f>
        <v/>
      </c>
      <c r="P85" t="str">
        <f>IF(COLUMNS($J$25:Q$25)&lt;=$G31,INDEX(Adatok[[Előleg]:[Előleg]],_xlfn.AGGREGATE(15,3,(Adatok[[Ingatlanok]:[Ingatlanok]]=$H31)/(Adatok[[Ingatlanok]:[Ingatlanok]]=$H31)*(ROW(Adatok[[Ingatlanok]:[Ingatlanok]])-ROW(Adatok[[#Headers],[Letét, jelzálog]])),COLUMNS($J$25:Q$25))),"")</f>
        <v/>
      </c>
      <c r="Q85" t="str">
        <f>IF(COLUMNS($J$25:R$25)&lt;=$G31,INDEX(Adatok[[Előleg]:[Előleg]],_xlfn.AGGREGATE(15,3,(Adatok[[Ingatlanok]:[Ingatlanok]]=$H31)/(Adatok[[Ingatlanok]:[Ingatlanok]]=$H31)*(ROW(Adatok[[Ingatlanok]:[Ingatlanok]])-ROW(Adatok[[#Headers],[Előleg]])),COLUMNS($J$25:R$25))),"")</f>
        <v/>
      </c>
      <c r="R85" t="str">
        <f>IF(COLUMNS($J$25:S$25)&lt;=$G31,INDEX(Adatok[[Előleg]:[Előleg]],_xlfn.AGGREGATE(15,3,(Adatok[[Ingatlanok]:[Ingatlanok]]=$H31)/(Adatok[[Ingatlanok]:[Ingatlanok]]=$H31)*(ROW(Adatok[[Ingatlanok]:[Ingatlanok]])-ROW(Adatok[[#Headers],[Cashflow]])),COLUMNS($J$25:S$25))),"")</f>
        <v/>
      </c>
      <c r="S85" t="str">
        <f>IF(COLUMNS($J$25:T$25)&lt;=$G31,INDEX(Adatok[[Előleg]:[Előleg]],_xlfn.AGGREGATE(15,3,(Adatok[[Ingatlanok]:[Ingatlanok]]=$H31)/(Adatok[[Ingatlanok]:[Ingatlanok]]=$H31)*(ROW(Adatok[[Ingatlanok]:[Ingatlanok]])-ROW(Adatok[[#Headers],[Ingatlanok]])),COLUMNS($J$25:T$25))),"")</f>
        <v/>
      </c>
      <c r="T85" t="str">
        <f>IF(COLUMNS($J$25:U$25)&lt;=$G31,INDEX(Adatok[[Előleg]:[Előleg]],_xlfn.AGGREGATE(15,3,(Adatok[[Ingatlanok]:[Ingatlanok]]=$H31)/(Adatok[[Ingatlanok]:[Ingatlanok]]=$H31)*(ROW(Adatok[[Ingatlanok]:[Ingatlanok]])-ROW(Adatok[[#Headers],[Ár]])),COLUMNS($J$25:U$25))),"")</f>
        <v/>
      </c>
      <c r="U85" t="str">
        <f>IF(COLUMNS($J$25:V$25)&lt;=$G31,INDEX(Adatok[[Előleg]:[Előleg]],_xlfn.AGGREGATE(15,3,(Adatok[[Ingatlanok]:[Ingatlanok]]=$H31)/(Adatok[[Ingatlanok]:[Ingatlanok]]=$H31)*(ROW(Adatok[[Ingatlanok]:[Ingatlanok]])-ROW(Adatok[[#Headers],[Letét, jelzálog]])),COLUMNS($J$25:V$25))),"")</f>
        <v/>
      </c>
      <c r="V85" t="str">
        <f>IF(COLUMNS($J$25:W$25)&lt;=$G31,INDEX(Adatok[[Előleg]:[Előleg]],_xlfn.AGGREGATE(15,3,(Adatok[[Ingatlanok]:[Ingatlanok]]=$H31)/(Adatok[[Ingatlanok]:[Ingatlanok]]=$H31)*(ROW(Adatok[[Ingatlanok]:[Ingatlanok]])-ROW(Adatok[[#Headers],[Előleg]])),COLUMNS($J$25:W$25))),"")</f>
        <v/>
      </c>
      <c r="W85" t="str">
        <f>IF(COLUMNS($J$25:X$25)&lt;=$G31,INDEX(Adatok[[Előleg]:[Előleg]],_xlfn.AGGREGATE(15,3,(Adatok[[Ingatlanok]:[Ingatlanok]]=$H31)/(Adatok[[Ingatlanok]:[Ingatlanok]]=$H31)*(ROW(Adatok[[Ingatlanok]:[Ingatlanok]])-ROW(Adatok[[#Headers],[Cashflow]])),COLUMNS($J$25:X$25))),"")</f>
        <v/>
      </c>
      <c r="X85" t="str">
        <f>IF(COLUMNS($J$25:Y$25)&lt;=$G31,INDEX(Adatok[[Előleg]:[Előleg]],_xlfn.AGGREGATE(15,3,(Adatok[[Ingatlanok]:[Ingatlanok]]=$H31)/(Adatok[[Ingatlanok]:[Ingatlanok]]=$H31)*(ROW(Adatok[[Ingatlanok]:[Ingatlanok]])-ROW(Adatok[[#Headers],[Ingatlanok]])),COLUMNS($J$25:Y$25))),"")</f>
        <v/>
      </c>
      <c r="Y85" t="str">
        <f>IF(COLUMNS($J$25:Z$25)&lt;=$G31,INDEX(Adatok[[Előleg]:[Előleg]],_xlfn.AGGREGATE(15,3,(Adatok[[Ingatlanok]:[Ingatlanok]]=$H31)/(Adatok[[Ingatlanok]:[Ingatlanok]]=$H31)*(ROW(Adatok[[Ingatlanok]:[Ingatlanok]])-ROW(Adatok[[#Headers],[Ár]])),COLUMNS($J$25:Z$25))),"")</f>
        <v/>
      </c>
      <c r="Z85" t="str">
        <f>IF(COLUMNS($J$25:AA$25)&lt;=$G31,INDEX(Adatok[[Előleg]:[Előleg]],_xlfn.AGGREGATE(15,3,(Adatok[[Ingatlanok]:[Ingatlanok]]=$H31)/(Adatok[[Ingatlanok]:[Ingatlanok]]=$H31)*(ROW(Adatok[[Ingatlanok]:[Ingatlanok]])-ROW(Adatok[[#Headers],[Letét, jelzálog]])),COLUMNS($J$25:AA$25))),"")</f>
        <v/>
      </c>
      <c r="AA85" t="str">
        <f>IF(COLUMNS($J$25:AB$25)&lt;=$G31,INDEX(Adatok[[Előleg]:[Előleg]],_xlfn.AGGREGATE(15,3,(Adatok[[Ingatlanok]:[Ingatlanok]]=$H31)/(Adatok[[Ingatlanok]:[Ingatlanok]]=$H31)*(ROW(Adatok[[Ingatlanok]:[Ingatlanok]])-ROW(Adatok[[#Headers],[Előleg]])),COLUMNS($J$25:AB$25))),"")</f>
        <v/>
      </c>
      <c r="AB85" t="str">
        <f>IF(COLUMNS($J$25:AC$25)&lt;=$G31,INDEX(Adatok[[Előleg]:[Előleg]],_xlfn.AGGREGATE(15,3,(Adatok[[Ingatlanok]:[Ingatlanok]]=$H31)/(Adatok[[Ingatlanok]:[Ingatlanok]]=$H31)*(ROW(Adatok[[Ingatlanok]:[Ingatlanok]])-ROW(Adatok[[#Headers],[Cashflow]])),COLUMNS($J$25:AC$25))),"")</f>
        <v/>
      </c>
      <c r="AC85" t="str">
        <f>IF(COLUMNS($J$25:AD$25)&lt;=$G31,INDEX(Adatok[[Előleg]:[Előleg]],_xlfn.AGGREGATE(15,3,(Adatok[[Ingatlanok]:[Ingatlanok]]=$H31)/(Adatok[[Ingatlanok]:[Ingatlanok]]=$H31)*(ROW(Adatok[[Ingatlanok]:[Ingatlanok]])-ROW(Adatok[[#Headers],[Ingatlanok]])),COLUMNS($J$25:AD$25))),"")</f>
        <v/>
      </c>
      <c r="AD85" t="str">
        <f>IF(COLUMNS($J$25:AE$25)&lt;=$G31,INDEX(Adatok[[Előleg]:[Előleg]],_xlfn.AGGREGATE(15,3,(Adatok[[Ingatlanok]:[Ingatlanok]]=$H31)/(Adatok[[Ingatlanok]:[Ingatlanok]]=$H31)*(ROW(Adatok[[Ingatlanok]:[Ingatlanok]])-ROW(Adatok[[#Headers],[Ár]])),COLUMNS($J$25:AE$25))),"")</f>
        <v/>
      </c>
    </row>
    <row r="86" spans="1:30" x14ac:dyDescent="0.25">
      <c r="G86">
        <f>COUNTIF(Adatok[Ingatlanok],H86)</f>
        <v>5</v>
      </c>
      <c r="H86" s="57" t="str">
        <f>INDEX(Adatok[Ingatlanok],MATCH(0,INDEX(COUNTIF($H$79:H85,Adatok[Ingatlanok]),),0))</f>
        <v>GARZONLAKÁS 2H/1F</v>
      </c>
      <c r="I86">
        <f>IF(COLUMNS($J$25:J$25)&lt;=$G32,INDEX(Adatok[[Előleg]:[Előleg]],_xlfn.AGGREGATE(15,3,(Adatok[[Ingatlanok]:[Ingatlanok]]=$H32)/(Adatok[[Ingatlanok]:[Ingatlanok]]=$H32)*(ROW(Adatok[[Ingatlanok]:[Ingatlanok]])-ROW(Adatok[[#Headers],[Ingatlanok]])),COLUMNS($J$25:J$25))),"")</f>
        <v>4000</v>
      </c>
      <c r="J86">
        <f>IF(COLUMNS($J$25:K$25)&lt;=$G32,INDEX(Adatok[[Előleg]:[Előleg]],_xlfn.AGGREGATE(15,3,(Adatok[[Ingatlanok]:[Ingatlanok]]=$H32)/(Adatok[[Ingatlanok]:[Ingatlanok]]=$H32)*(ROW(Adatok[[Ingatlanok]:[Ingatlanok]])-ROW(Adatok[[#Headers],[Ár]])),COLUMNS($J$25:K$25))),"")</f>
        <v>5000</v>
      </c>
      <c r="K86">
        <f>IF(COLUMNS($J$25:L$25)&lt;=$G32,INDEX(Adatok[[Előleg]:[Előleg]],_xlfn.AGGREGATE(15,3,(Adatok[[Ingatlanok]:[Ingatlanok]]=$H32)/(Adatok[[Ingatlanok]:[Ingatlanok]]=$H32)*(ROW(Adatok[[Ingatlanok]:[Ingatlanok]])-ROW(Adatok[[#Headers],[Letét, jelzálog]])),COLUMNS($J$25:L$25))),"")</f>
        <v>5000</v>
      </c>
      <c r="L86">
        <f>IF(COLUMNS($J$25:M$25)&lt;=$G32,INDEX(Adatok[[Előleg]:[Előleg]],_xlfn.AGGREGATE(15,3,(Adatok[[Ingatlanok]:[Ingatlanok]]=$H32)/(Adatok[[Ingatlanok]:[Ingatlanok]]=$H32)*(ROW(Adatok[[Ingatlanok]:[Ingatlanok]])-ROW(Adatok[[#Headers],[Előleg]])),COLUMNS($J$25:M$25))),"")</f>
        <v>5000</v>
      </c>
      <c r="M86">
        <f>IF(COLUMNS($J$25:N$25)&lt;=$G32,INDEX(Adatok[[Előleg]:[Előleg]],_xlfn.AGGREGATE(15,3,(Adatok[[Ingatlanok]:[Ingatlanok]]=$H32)/(Adatok[[Ingatlanok]:[Ingatlanok]]=$H32)*(ROW(Adatok[[Ingatlanok]:[Ingatlanok]])-ROW(Adatok[[#Headers],[Cashflow]])),COLUMNS($J$25:N$25))),"")</f>
        <v>5000</v>
      </c>
      <c r="N86" t="str">
        <f>IF(COLUMNS($J$25:O$25)&lt;=$G32,INDEX(Adatok[[Előleg]:[Előleg]],_xlfn.AGGREGATE(15,3,(Adatok[[Ingatlanok]:[Ingatlanok]]=$H32)/(Adatok[[Ingatlanok]:[Ingatlanok]]=$H32)*(ROW(Adatok[[Ingatlanok]:[Ingatlanok]])-ROW(Adatok[[#Headers],[Ingatlanok]])),COLUMNS($J$25:O$25))),"")</f>
        <v/>
      </c>
      <c r="O86" t="str">
        <f>IF(COLUMNS($J$25:P$25)&lt;=$G32,INDEX(Adatok[[Előleg]:[Előleg]],_xlfn.AGGREGATE(15,3,(Adatok[[Ingatlanok]:[Ingatlanok]]=$H32)/(Adatok[[Ingatlanok]:[Ingatlanok]]=$H32)*(ROW(Adatok[[Ingatlanok]:[Ingatlanok]])-ROW(Adatok[[#Headers],[Ár]])),COLUMNS($J$25:P$25))),"")</f>
        <v/>
      </c>
      <c r="P86" t="str">
        <f>IF(COLUMNS($J$25:Q$25)&lt;=$G32,INDEX(Adatok[[Előleg]:[Előleg]],_xlfn.AGGREGATE(15,3,(Adatok[[Ingatlanok]:[Ingatlanok]]=$H32)/(Adatok[[Ingatlanok]:[Ingatlanok]]=$H32)*(ROW(Adatok[[Ingatlanok]:[Ingatlanok]])-ROW(Adatok[[#Headers],[Letét, jelzálog]])),COLUMNS($J$25:Q$25))),"")</f>
        <v/>
      </c>
      <c r="Q86" t="str">
        <f>IF(COLUMNS($J$25:R$25)&lt;=$G32,INDEX(Adatok[[Előleg]:[Előleg]],_xlfn.AGGREGATE(15,3,(Adatok[[Ingatlanok]:[Ingatlanok]]=$H32)/(Adatok[[Ingatlanok]:[Ingatlanok]]=$H32)*(ROW(Adatok[[Ingatlanok]:[Ingatlanok]])-ROW(Adatok[[#Headers],[Előleg]])),COLUMNS($J$25:R$25))),"")</f>
        <v/>
      </c>
      <c r="R86" t="str">
        <f>IF(COLUMNS($J$25:S$25)&lt;=$G32,INDEX(Adatok[[Előleg]:[Előleg]],_xlfn.AGGREGATE(15,3,(Adatok[[Ingatlanok]:[Ingatlanok]]=$H32)/(Adatok[[Ingatlanok]:[Ingatlanok]]=$H32)*(ROW(Adatok[[Ingatlanok]:[Ingatlanok]])-ROW(Adatok[[#Headers],[Cashflow]])),COLUMNS($J$25:S$25))),"")</f>
        <v/>
      </c>
      <c r="S86" t="str">
        <f>IF(COLUMNS($J$25:T$25)&lt;=$G32,INDEX(Adatok[[Előleg]:[Előleg]],_xlfn.AGGREGATE(15,3,(Adatok[[Ingatlanok]:[Ingatlanok]]=$H32)/(Adatok[[Ingatlanok]:[Ingatlanok]]=$H32)*(ROW(Adatok[[Ingatlanok]:[Ingatlanok]])-ROW(Adatok[[#Headers],[Ingatlanok]])),COLUMNS($J$25:T$25))),"")</f>
        <v/>
      </c>
      <c r="T86" t="str">
        <f>IF(COLUMNS($J$25:U$25)&lt;=$G32,INDEX(Adatok[[Előleg]:[Előleg]],_xlfn.AGGREGATE(15,3,(Adatok[[Ingatlanok]:[Ingatlanok]]=$H32)/(Adatok[[Ingatlanok]:[Ingatlanok]]=$H32)*(ROW(Adatok[[Ingatlanok]:[Ingatlanok]])-ROW(Adatok[[#Headers],[Ár]])),COLUMNS($J$25:U$25))),"")</f>
        <v/>
      </c>
      <c r="U86" t="str">
        <f>IF(COLUMNS($J$25:V$25)&lt;=$G32,INDEX(Adatok[[Előleg]:[Előleg]],_xlfn.AGGREGATE(15,3,(Adatok[[Ingatlanok]:[Ingatlanok]]=$H32)/(Adatok[[Ingatlanok]:[Ingatlanok]]=$H32)*(ROW(Adatok[[Ingatlanok]:[Ingatlanok]])-ROW(Adatok[[#Headers],[Letét, jelzálog]])),COLUMNS($J$25:V$25))),"")</f>
        <v/>
      </c>
      <c r="V86" t="str">
        <f>IF(COLUMNS($J$25:W$25)&lt;=$G32,INDEX(Adatok[[Előleg]:[Előleg]],_xlfn.AGGREGATE(15,3,(Adatok[[Ingatlanok]:[Ingatlanok]]=$H32)/(Adatok[[Ingatlanok]:[Ingatlanok]]=$H32)*(ROW(Adatok[[Ingatlanok]:[Ingatlanok]])-ROW(Adatok[[#Headers],[Előleg]])),COLUMNS($J$25:W$25))),"")</f>
        <v/>
      </c>
      <c r="W86" t="str">
        <f>IF(COLUMNS($J$25:X$25)&lt;=$G32,INDEX(Adatok[[Előleg]:[Előleg]],_xlfn.AGGREGATE(15,3,(Adatok[[Ingatlanok]:[Ingatlanok]]=$H32)/(Adatok[[Ingatlanok]:[Ingatlanok]]=$H32)*(ROW(Adatok[[Ingatlanok]:[Ingatlanok]])-ROW(Adatok[[#Headers],[Cashflow]])),COLUMNS($J$25:X$25))),"")</f>
        <v/>
      </c>
      <c r="X86" t="str">
        <f>IF(COLUMNS($J$25:Y$25)&lt;=$G32,INDEX(Adatok[[Előleg]:[Előleg]],_xlfn.AGGREGATE(15,3,(Adatok[[Ingatlanok]:[Ingatlanok]]=$H32)/(Adatok[[Ingatlanok]:[Ingatlanok]]=$H32)*(ROW(Adatok[[Ingatlanok]:[Ingatlanok]])-ROW(Adatok[[#Headers],[Ingatlanok]])),COLUMNS($J$25:Y$25))),"")</f>
        <v/>
      </c>
      <c r="Y86" t="str">
        <f>IF(COLUMNS($J$25:Z$25)&lt;=$G32,INDEX(Adatok[[Előleg]:[Előleg]],_xlfn.AGGREGATE(15,3,(Adatok[[Ingatlanok]:[Ingatlanok]]=$H32)/(Adatok[[Ingatlanok]:[Ingatlanok]]=$H32)*(ROW(Adatok[[Ingatlanok]:[Ingatlanok]])-ROW(Adatok[[#Headers],[Ár]])),COLUMNS($J$25:Z$25))),"")</f>
        <v/>
      </c>
      <c r="Z86" t="str">
        <f>IF(COLUMNS($J$25:AA$25)&lt;=$G32,INDEX(Adatok[[Előleg]:[Előleg]],_xlfn.AGGREGATE(15,3,(Adatok[[Ingatlanok]:[Ingatlanok]]=$H32)/(Adatok[[Ingatlanok]:[Ingatlanok]]=$H32)*(ROW(Adatok[[Ingatlanok]:[Ingatlanok]])-ROW(Adatok[[#Headers],[Letét, jelzálog]])),COLUMNS($J$25:AA$25))),"")</f>
        <v/>
      </c>
      <c r="AA86" t="str">
        <f>IF(COLUMNS($J$25:AB$25)&lt;=$G32,INDEX(Adatok[[Előleg]:[Előleg]],_xlfn.AGGREGATE(15,3,(Adatok[[Ingatlanok]:[Ingatlanok]]=$H32)/(Adatok[[Ingatlanok]:[Ingatlanok]]=$H32)*(ROW(Adatok[[Ingatlanok]:[Ingatlanok]])-ROW(Adatok[[#Headers],[Előleg]])),COLUMNS($J$25:AB$25))),"")</f>
        <v/>
      </c>
      <c r="AB86" t="str">
        <f>IF(COLUMNS($J$25:AC$25)&lt;=$G32,INDEX(Adatok[[Előleg]:[Előleg]],_xlfn.AGGREGATE(15,3,(Adatok[[Ingatlanok]:[Ingatlanok]]=$H32)/(Adatok[[Ingatlanok]:[Ingatlanok]]=$H32)*(ROW(Adatok[[Ingatlanok]:[Ingatlanok]])-ROW(Adatok[[#Headers],[Cashflow]])),COLUMNS($J$25:AC$25))),"")</f>
        <v/>
      </c>
      <c r="AC86" t="str">
        <f>IF(COLUMNS($J$25:AD$25)&lt;=$G32,INDEX(Adatok[[Előleg]:[Előleg]],_xlfn.AGGREGATE(15,3,(Adatok[[Ingatlanok]:[Ingatlanok]]=$H32)/(Adatok[[Ingatlanok]:[Ingatlanok]]=$H32)*(ROW(Adatok[[Ingatlanok]:[Ingatlanok]])-ROW(Adatok[[#Headers],[Ingatlanok]])),COLUMNS($J$25:AD$25))),"")</f>
        <v/>
      </c>
      <c r="AD86" t="str">
        <f>IF(COLUMNS($J$25:AE$25)&lt;=$G32,INDEX(Adatok[[Előleg]:[Előleg]],_xlfn.AGGREGATE(15,3,(Adatok[[Ingatlanok]:[Ingatlanok]]=$H32)/(Adatok[[Ingatlanok]:[Ingatlanok]]=$H32)*(ROW(Adatok[[Ingatlanok]:[Ingatlanok]])-ROW(Adatok[[#Headers],[Ár]])),COLUMNS($J$25:AE$25))),"")</f>
        <v/>
      </c>
    </row>
    <row r="87" spans="1:30" x14ac:dyDescent="0.25">
      <c r="G87">
        <f>COUNTIF(Adatok[Ingatlanok],H87)</f>
        <v>5</v>
      </c>
      <c r="H87" s="57" t="str">
        <f>INDEX(Adatok[Ingatlanok],MATCH(0,INDEX(COUNTIF($H$79:H86,Adatok[Ingatlanok]),),0))</f>
        <v xml:space="preserve">KÉTLAKÁSOS HÁZ </v>
      </c>
      <c r="I87">
        <f>IF(COLUMNS($J$25:J$25)&lt;=$G33,INDEX(Adatok[[Előleg]:[Előleg]],_xlfn.AGGREGATE(15,3,(Adatok[[Ingatlanok]:[Ingatlanok]]=$H33)/(Adatok[[Ingatlanok]:[Ingatlanok]]=$H33)*(ROW(Adatok[[Ingatlanok]:[Ingatlanok]])-ROW(Adatok[[#Headers],[Ingatlanok]])),COLUMNS($J$25:J$25))),"")</f>
        <v>8000</v>
      </c>
      <c r="J87">
        <f>IF(COLUMNS($J$25:K$25)&lt;=$G33,INDEX(Adatok[[Előleg]:[Előleg]],_xlfn.AGGREGATE(15,3,(Adatok[[Ingatlanok]:[Ingatlanok]]=$H33)/(Adatok[[Ingatlanok]:[Ingatlanok]]=$H33)*(ROW(Adatok[[Ingatlanok]:[Ingatlanok]])-ROW(Adatok[[#Headers],[Ár]])),COLUMNS($J$25:K$25))),"")</f>
        <v>8000</v>
      </c>
      <c r="K87">
        <f>IF(COLUMNS($J$25:L$25)&lt;=$G33,INDEX(Adatok[[Előleg]:[Előleg]],_xlfn.AGGREGATE(15,3,(Adatok[[Ingatlanok]:[Ingatlanok]]=$H33)/(Adatok[[Ingatlanok]:[Ingatlanok]]=$H33)*(ROW(Adatok[[Ingatlanok]:[Ingatlanok]])-ROW(Adatok[[#Headers],[Letét, jelzálog]])),COLUMNS($J$25:L$25))),"")</f>
        <v>6000</v>
      </c>
      <c r="L87">
        <f>IF(COLUMNS($J$25:M$25)&lt;=$G33,INDEX(Adatok[[Előleg]:[Előleg]],_xlfn.AGGREGATE(15,3,(Adatok[[Ingatlanok]:[Ingatlanok]]=$H33)/(Adatok[[Ingatlanok]:[Ingatlanok]]=$H33)*(ROW(Adatok[[Ingatlanok]:[Ingatlanok]])-ROW(Adatok[[#Headers],[Előleg]])),COLUMNS($J$25:M$25))),"")</f>
        <v>12000</v>
      </c>
      <c r="M87">
        <f>IF(COLUMNS($J$25:N$25)&lt;=$G33,INDEX(Adatok[[Előleg]:[Előleg]],_xlfn.AGGREGATE(15,3,(Adatok[[Ingatlanok]:[Ingatlanok]]=$H33)/(Adatok[[Ingatlanok]:[Ingatlanok]]=$H33)*(ROW(Adatok[[Ingatlanok]:[Ingatlanok]])-ROW(Adatok[[#Headers],[Cashflow]])),COLUMNS($J$25:N$25))),"")</f>
        <v>7000</v>
      </c>
      <c r="N87" t="str">
        <f>IF(COLUMNS($J$25:O$25)&lt;=$G33,INDEX(Adatok[[Előleg]:[Előleg]],_xlfn.AGGREGATE(15,3,(Adatok[[Ingatlanok]:[Ingatlanok]]=$H33)/(Adatok[[Ingatlanok]:[Ingatlanok]]=$H33)*(ROW(Adatok[[Ingatlanok]:[Ingatlanok]])-ROW(Adatok[[#Headers],[Ingatlanok]])),COLUMNS($J$25:O$25))),"")</f>
        <v/>
      </c>
      <c r="O87" t="str">
        <f>IF(COLUMNS($J$25:P$25)&lt;=$G33,INDEX(Adatok[[Előleg]:[Előleg]],_xlfn.AGGREGATE(15,3,(Adatok[[Ingatlanok]:[Ingatlanok]]=$H33)/(Adatok[[Ingatlanok]:[Ingatlanok]]=$H33)*(ROW(Adatok[[Ingatlanok]:[Ingatlanok]])-ROW(Adatok[[#Headers],[Ár]])),COLUMNS($J$25:P$25))),"")</f>
        <v/>
      </c>
      <c r="P87" t="str">
        <f>IF(COLUMNS($J$25:Q$25)&lt;=$G33,INDEX(Adatok[[Előleg]:[Előleg]],_xlfn.AGGREGATE(15,3,(Adatok[[Ingatlanok]:[Ingatlanok]]=$H33)/(Adatok[[Ingatlanok]:[Ingatlanok]]=$H33)*(ROW(Adatok[[Ingatlanok]:[Ingatlanok]])-ROW(Adatok[[#Headers],[Letét, jelzálog]])),COLUMNS($J$25:Q$25))),"")</f>
        <v/>
      </c>
      <c r="Q87" t="str">
        <f>IF(COLUMNS($J$25:R$25)&lt;=$G33,INDEX(Adatok[[Előleg]:[Előleg]],_xlfn.AGGREGATE(15,3,(Adatok[[Ingatlanok]:[Ingatlanok]]=$H33)/(Adatok[[Ingatlanok]:[Ingatlanok]]=$H33)*(ROW(Adatok[[Ingatlanok]:[Ingatlanok]])-ROW(Adatok[[#Headers],[Előleg]])),COLUMNS($J$25:R$25))),"")</f>
        <v/>
      </c>
      <c r="R87" t="str">
        <f>IF(COLUMNS($J$25:S$25)&lt;=$G33,INDEX(Adatok[[Előleg]:[Előleg]],_xlfn.AGGREGATE(15,3,(Adatok[[Ingatlanok]:[Ingatlanok]]=$H33)/(Adatok[[Ingatlanok]:[Ingatlanok]]=$H33)*(ROW(Adatok[[Ingatlanok]:[Ingatlanok]])-ROW(Adatok[[#Headers],[Cashflow]])),COLUMNS($J$25:S$25))),"")</f>
        <v/>
      </c>
      <c r="S87" t="str">
        <f>IF(COLUMNS($J$25:T$25)&lt;=$G33,INDEX(Adatok[[Előleg]:[Előleg]],_xlfn.AGGREGATE(15,3,(Adatok[[Ingatlanok]:[Ingatlanok]]=$H33)/(Adatok[[Ingatlanok]:[Ingatlanok]]=$H33)*(ROW(Adatok[[Ingatlanok]:[Ingatlanok]])-ROW(Adatok[[#Headers],[Ingatlanok]])),COLUMNS($J$25:T$25))),"")</f>
        <v/>
      </c>
      <c r="T87" t="str">
        <f>IF(COLUMNS($J$25:U$25)&lt;=$G33,INDEX(Adatok[[Előleg]:[Előleg]],_xlfn.AGGREGATE(15,3,(Adatok[[Ingatlanok]:[Ingatlanok]]=$H33)/(Adatok[[Ingatlanok]:[Ingatlanok]]=$H33)*(ROW(Adatok[[Ingatlanok]:[Ingatlanok]])-ROW(Adatok[[#Headers],[Ár]])),COLUMNS($J$25:U$25))),"")</f>
        <v/>
      </c>
      <c r="U87" t="str">
        <f>IF(COLUMNS($J$25:V$25)&lt;=$G33,INDEX(Adatok[[Előleg]:[Előleg]],_xlfn.AGGREGATE(15,3,(Adatok[[Ingatlanok]:[Ingatlanok]]=$H33)/(Adatok[[Ingatlanok]:[Ingatlanok]]=$H33)*(ROW(Adatok[[Ingatlanok]:[Ingatlanok]])-ROW(Adatok[[#Headers],[Letét, jelzálog]])),COLUMNS($J$25:V$25))),"")</f>
        <v/>
      </c>
      <c r="V87" t="str">
        <f>IF(COLUMNS($J$25:W$25)&lt;=$G33,INDEX(Adatok[[Előleg]:[Előleg]],_xlfn.AGGREGATE(15,3,(Adatok[[Ingatlanok]:[Ingatlanok]]=$H33)/(Adatok[[Ingatlanok]:[Ingatlanok]]=$H33)*(ROW(Adatok[[Ingatlanok]:[Ingatlanok]])-ROW(Adatok[[#Headers],[Előleg]])),COLUMNS($J$25:W$25))),"")</f>
        <v/>
      </c>
      <c r="W87" t="str">
        <f>IF(COLUMNS($J$25:X$25)&lt;=$G33,INDEX(Adatok[[Előleg]:[Előleg]],_xlfn.AGGREGATE(15,3,(Adatok[[Ingatlanok]:[Ingatlanok]]=$H33)/(Adatok[[Ingatlanok]:[Ingatlanok]]=$H33)*(ROW(Adatok[[Ingatlanok]:[Ingatlanok]])-ROW(Adatok[[#Headers],[Cashflow]])),COLUMNS($J$25:X$25))),"")</f>
        <v/>
      </c>
      <c r="X87" t="str">
        <f>IF(COLUMNS($J$25:Y$25)&lt;=$G33,INDEX(Adatok[[Előleg]:[Előleg]],_xlfn.AGGREGATE(15,3,(Adatok[[Ingatlanok]:[Ingatlanok]]=$H33)/(Adatok[[Ingatlanok]:[Ingatlanok]]=$H33)*(ROW(Adatok[[Ingatlanok]:[Ingatlanok]])-ROW(Adatok[[#Headers],[Ingatlanok]])),COLUMNS($J$25:Y$25))),"")</f>
        <v/>
      </c>
      <c r="Y87" t="str">
        <f>IF(COLUMNS($J$25:Z$25)&lt;=$G33,INDEX(Adatok[[Előleg]:[Előleg]],_xlfn.AGGREGATE(15,3,(Adatok[[Ingatlanok]:[Ingatlanok]]=$H33)/(Adatok[[Ingatlanok]:[Ingatlanok]]=$H33)*(ROW(Adatok[[Ingatlanok]:[Ingatlanok]])-ROW(Adatok[[#Headers],[Ár]])),COLUMNS($J$25:Z$25))),"")</f>
        <v/>
      </c>
      <c r="Z87" t="str">
        <f>IF(COLUMNS($J$25:AA$25)&lt;=$G33,INDEX(Adatok[[Előleg]:[Előleg]],_xlfn.AGGREGATE(15,3,(Adatok[[Ingatlanok]:[Ingatlanok]]=$H33)/(Adatok[[Ingatlanok]:[Ingatlanok]]=$H33)*(ROW(Adatok[[Ingatlanok]:[Ingatlanok]])-ROW(Adatok[[#Headers],[Letét, jelzálog]])),COLUMNS($J$25:AA$25))),"")</f>
        <v/>
      </c>
      <c r="AA87" t="str">
        <f>IF(COLUMNS($J$25:AB$25)&lt;=$G33,INDEX(Adatok[[Előleg]:[Előleg]],_xlfn.AGGREGATE(15,3,(Adatok[[Ingatlanok]:[Ingatlanok]]=$H33)/(Adatok[[Ingatlanok]:[Ingatlanok]]=$H33)*(ROW(Adatok[[Ingatlanok]:[Ingatlanok]])-ROW(Adatok[[#Headers],[Előleg]])),COLUMNS($J$25:AB$25))),"")</f>
        <v/>
      </c>
      <c r="AB87" t="str">
        <f>IF(COLUMNS($J$25:AC$25)&lt;=$G33,INDEX(Adatok[[Előleg]:[Előleg]],_xlfn.AGGREGATE(15,3,(Adatok[[Ingatlanok]:[Ingatlanok]]=$H33)/(Adatok[[Ingatlanok]:[Ingatlanok]]=$H33)*(ROW(Adatok[[Ingatlanok]:[Ingatlanok]])-ROW(Adatok[[#Headers],[Cashflow]])),COLUMNS($J$25:AC$25))),"")</f>
        <v/>
      </c>
      <c r="AC87" t="str">
        <f>IF(COLUMNS($J$25:AD$25)&lt;=$G33,INDEX(Adatok[[Előleg]:[Előleg]],_xlfn.AGGREGATE(15,3,(Adatok[[Ingatlanok]:[Ingatlanok]]=$H33)/(Adatok[[Ingatlanok]:[Ingatlanok]]=$H33)*(ROW(Adatok[[Ingatlanok]:[Ingatlanok]])-ROW(Adatok[[#Headers],[Ingatlanok]])),COLUMNS($J$25:AD$25))),"")</f>
        <v/>
      </c>
      <c r="AD87" t="str">
        <f>IF(COLUMNS($J$25:AE$25)&lt;=$G33,INDEX(Adatok[[Előleg]:[Előleg]],_xlfn.AGGREGATE(15,3,(Adatok[[Ingatlanok]:[Ingatlanok]]=$H33)/(Adatok[[Ingatlanok]:[Ingatlanok]]=$H33)*(ROW(Adatok[[Ingatlanok]:[Ingatlanok]])-ROW(Adatok[[#Headers],[Ár]])),COLUMNS($J$25:AE$25))),"")</f>
        <v/>
      </c>
    </row>
    <row r="88" spans="1:30" x14ac:dyDescent="0.25">
      <c r="G88">
        <f>COUNTIF(Adatok[Ingatlanok],H88)</f>
        <v>1</v>
      </c>
      <c r="H88" s="57" t="str">
        <f>INDEX(Adatok[Ingatlanok],MATCH(0,INDEX(COUNTIF($H$79:H87,Adatok[Ingatlanok]),),0))</f>
        <v>KIS BEVÁSÁRLÓ CSARNOK</v>
      </c>
      <c r="I88">
        <f>IF(COLUMNS($J$25:J$25)&lt;=$G34,INDEX(Adatok[[Előleg]:[Előleg]],_xlfn.AGGREGATE(15,3,(Adatok[[Ingatlanok]:[Ingatlanok]]=$H34)/(Adatok[[Ingatlanok]:[Ingatlanok]]=$H34)*(ROW(Adatok[[Ingatlanok]:[Ingatlanok]])-ROW(Adatok[[#Headers],[Ingatlanok]])),COLUMNS($J$25:J$25))),"")</f>
        <v>50000</v>
      </c>
      <c r="J88" t="str">
        <f>IF(COLUMNS($J$25:K$25)&lt;=$G34,INDEX(Adatok[[Előleg]:[Előleg]],_xlfn.AGGREGATE(15,3,(Adatok[[Ingatlanok]:[Ingatlanok]]=$H34)/(Adatok[[Ingatlanok]:[Ingatlanok]]=$H34)*(ROW(Adatok[[Ingatlanok]:[Ingatlanok]])-ROW(Adatok[[#Headers],[Ár]])),COLUMNS($J$25:K$25))),"")</f>
        <v/>
      </c>
      <c r="K88" t="str">
        <f>IF(COLUMNS($J$25:L$25)&lt;=$G34,INDEX(Adatok[[Előleg]:[Előleg]],_xlfn.AGGREGATE(15,3,(Adatok[[Ingatlanok]:[Ingatlanok]]=$H34)/(Adatok[[Ingatlanok]:[Ingatlanok]]=$H34)*(ROW(Adatok[[Ingatlanok]:[Ingatlanok]])-ROW(Adatok[[#Headers],[Letét, jelzálog]])),COLUMNS($J$25:L$25))),"")</f>
        <v/>
      </c>
      <c r="L88" t="str">
        <f>IF(COLUMNS($J$25:M$25)&lt;=$G34,INDEX(Adatok[[Előleg]:[Előleg]],_xlfn.AGGREGATE(15,3,(Adatok[[Ingatlanok]:[Ingatlanok]]=$H34)/(Adatok[[Ingatlanok]:[Ingatlanok]]=$H34)*(ROW(Adatok[[Ingatlanok]:[Ingatlanok]])-ROW(Adatok[[#Headers],[Előleg]])),COLUMNS($J$25:M$25))),"")</f>
        <v/>
      </c>
      <c r="M88" t="str">
        <f>IF(COLUMNS($J$25:N$25)&lt;=$G34,INDEX(Adatok[[Előleg]:[Előleg]],_xlfn.AGGREGATE(15,3,(Adatok[[Ingatlanok]:[Ingatlanok]]=$H34)/(Adatok[[Ingatlanok]:[Ingatlanok]]=$H34)*(ROW(Adatok[[Ingatlanok]:[Ingatlanok]])-ROW(Adatok[[#Headers],[Cashflow]])),COLUMNS($J$25:N$25))),"")</f>
        <v/>
      </c>
      <c r="N88" t="str">
        <f>IF(COLUMNS($J$25:O$25)&lt;=$G34,INDEX(Adatok[[Előleg]:[Előleg]],_xlfn.AGGREGATE(15,3,(Adatok[[Ingatlanok]:[Ingatlanok]]=$H34)/(Adatok[[Ingatlanok]:[Ingatlanok]]=$H34)*(ROW(Adatok[[Ingatlanok]:[Ingatlanok]])-ROW(Adatok[[#Headers],[Ingatlanok]])),COLUMNS($J$25:O$25))),"")</f>
        <v/>
      </c>
      <c r="O88" t="str">
        <f>IF(COLUMNS($J$25:P$25)&lt;=$G34,INDEX(Adatok[[Előleg]:[Előleg]],_xlfn.AGGREGATE(15,3,(Adatok[[Ingatlanok]:[Ingatlanok]]=$H34)/(Adatok[[Ingatlanok]:[Ingatlanok]]=$H34)*(ROW(Adatok[[Ingatlanok]:[Ingatlanok]])-ROW(Adatok[[#Headers],[Ár]])),COLUMNS($J$25:P$25))),"")</f>
        <v/>
      </c>
      <c r="P88" t="str">
        <f>IF(COLUMNS($J$25:Q$25)&lt;=$G34,INDEX(Adatok[[Előleg]:[Előleg]],_xlfn.AGGREGATE(15,3,(Adatok[[Ingatlanok]:[Ingatlanok]]=$H34)/(Adatok[[Ingatlanok]:[Ingatlanok]]=$H34)*(ROW(Adatok[[Ingatlanok]:[Ingatlanok]])-ROW(Adatok[[#Headers],[Letét, jelzálog]])),COLUMNS($J$25:Q$25))),"")</f>
        <v/>
      </c>
      <c r="Q88" t="str">
        <f>IF(COLUMNS($J$25:R$25)&lt;=$G34,INDEX(Adatok[[Előleg]:[Előleg]],_xlfn.AGGREGATE(15,3,(Adatok[[Ingatlanok]:[Ingatlanok]]=$H34)/(Adatok[[Ingatlanok]:[Ingatlanok]]=$H34)*(ROW(Adatok[[Ingatlanok]:[Ingatlanok]])-ROW(Adatok[[#Headers],[Előleg]])),COLUMNS($J$25:R$25))),"")</f>
        <v/>
      </c>
      <c r="R88" t="str">
        <f>IF(COLUMNS($J$25:S$25)&lt;=$G34,INDEX(Adatok[[Előleg]:[Előleg]],_xlfn.AGGREGATE(15,3,(Adatok[[Ingatlanok]:[Ingatlanok]]=$H34)/(Adatok[[Ingatlanok]:[Ingatlanok]]=$H34)*(ROW(Adatok[[Ingatlanok]:[Ingatlanok]])-ROW(Adatok[[#Headers],[Cashflow]])),COLUMNS($J$25:S$25))),"")</f>
        <v/>
      </c>
      <c r="S88" t="str">
        <f>IF(COLUMNS($J$25:T$25)&lt;=$G34,INDEX(Adatok[[Előleg]:[Előleg]],_xlfn.AGGREGATE(15,3,(Adatok[[Ingatlanok]:[Ingatlanok]]=$H34)/(Adatok[[Ingatlanok]:[Ingatlanok]]=$H34)*(ROW(Adatok[[Ingatlanok]:[Ingatlanok]])-ROW(Adatok[[#Headers],[Ingatlanok]])),COLUMNS($J$25:T$25))),"")</f>
        <v/>
      </c>
      <c r="T88" t="str">
        <f>IF(COLUMNS($J$25:U$25)&lt;=$G34,INDEX(Adatok[[Előleg]:[Előleg]],_xlfn.AGGREGATE(15,3,(Adatok[[Ingatlanok]:[Ingatlanok]]=$H34)/(Adatok[[Ingatlanok]:[Ingatlanok]]=$H34)*(ROW(Adatok[[Ingatlanok]:[Ingatlanok]])-ROW(Adatok[[#Headers],[Ár]])),COLUMNS($J$25:U$25))),"")</f>
        <v/>
      </c>
      <c r="U88" t="str">
        <f>IF(COLUMNS($J$25:V$25)&lt;=$G34,INDEX(Adatok[[Előleg]:[Előleg]],_xlfn.AGGREGATE(15,3,(Adatok[[Ingatlanok]:[Ingatlanok]]=$H34)/(Adatok[[Ingatlanok]:[Ingatlanok]]=$H34)*(ROW(Adatok[[Ingatlanok]:[Ingatlanok]])-ROW(Adatok[[#Headers],[Letét, jelzálog]])),COLUMNS($J$25:V$25))),"")</f>
        <v/>
      </c>
      <c r="V88" t="str">
        <f>IF(COLUMNS($J$25:W$25)&lt;=$G34,INDEX(Adatok[[Előleg]:[Előleg]],_xlfn.AGGREGATE(15,3,(Adatok[[Ingatlanok]:[Ingatlanok]]=$H34)/(Adatok[[Ingatlanok]:[Ingatlanok]]=$H34)*(ROW(Adatok[[Ingatlanok]:[Ingatlanok]])-ROW(Adatok[[#Headers],[Előleg]])),COLUMNS($J$25:W$25))),"")</f>
        <v/>
      </c>
      <c r="W88" t="str">
        <f>IF(COLUMNS($J$25:X$25)&lt;=$G34,INDEX(Adatok[[Előleg]:[Előleg]],_xlfn.AGGREGATE(15,3,(Adatok[[Ingatlanok]:[Ingatlanok]]=$H34)/(Adatok[[Ingatlanok]:[Ingatlanok]]=$H34)*(ROW(Adatok[[Ingatlanok]:[Ingatlanok]])-ROW(Adatok[[#Headers],[Cashflow]])),COLUMNS($J$25:X$25))),"")</f>
        <v/>
      </c>
      <c r="X88" t="str">
        <f>IF(COLUMNS($J$25:Y$25)&lt;=$G34,INDEX(Adatok[[Előleg]:[Előleg]],_xlfn.AGGREGATE(15,3,(Adatok[[Ingatlanok]:[Ingatlanok]]=$H34)/(Adatok[[Ingatlanok]:[Ingatlanok]]=$H34)*(ROW(Adatok[[Ingatlanok]:[Ingatlanok]])-ROW(Adatok[[#Headers],[Ingatlanok]])),COLUMNS($J$25:Y$25))),"")</f>
        <v/>
      </c>
      <c r="Y88" t="str">
        <f>IF(COLUMNS($J$25:Z$25)&lt;=$G34,INDEX(Adatok[[Előleg]:[Előleg]],_xlfn.AGGREGATE(15,3,(Adatok[[Ingatlanok]:[Ingatlanok]]=$H34)/(Adatok[[Ingatlanok]:[Ingatlanok]]=$H34)*(ROW(Adatok[[Ingatlanok]:[Ingatlanok]])-ROW(Adatok[[#Headers],[Ár]])),COLUMNS($J$25:Z$25))),"")</f>
        <v/>
      </c>
      <c r="Z88" t="str">
        <f>IF(COLUMNS($J$25:AA$25)&lt;=$G34,INDEX(Adatok[[Előleg]:[Előleg]],_xlfn.AGGREGATE(15,3,(Adatok[[Ingatlanok]:[Ingatlanok]]=$H34)/(Adatok[[Ingatlanok]:[Ingatlanok]]=$H34)*(ROW(Adatok[[Ingatlanok]:[Ingatlanok]])-ROW(Adatok[[#Headers],[Letét, jelzálog]])),COLUMNS($J$25:AA$25))),"")</f>
        <v/>
      </c>
      <c r="AA88" t="str">
        <f>IF(COLUMNS($J$25:AB$25)&lt;=$G34,INDEX(Adatok[[Előleg]:[Előleg]],_xlfn.AGGREGATE(15,3,(Adatok[[Ingatlanok]:[Ingatlanok]]=$H34)/(Adatok[[Ingatlanok]:[Ingatlanok]]=$H34)*(ROW(Adatok[[Ingatlanok]:[Ingatlanok]])-ROW(Adatok[[#Headers],[Előleg]])),COLUMNS($J$25:AB$25))),"")</f>
        <v/>
      </c>
      <c r="AB88" t="str">
        <f>IF(COLUMNS($J$25:AC$25)&lt;=$G34,INDEX(Adatok[[Előleg]:[Előleg]],_xlfn.AGGREGATE(15,3,(Adatok[[Ingatlanok]:[Ingatlanok]]=$H34)/(Adatok[[Ingatlanok]:[Ingatlanok]]=$H34)*(ROW(Adatok[[Ingatlanok]:[Ingatlanok]])-ROW(Adatok[[#Headers],[Cashflow]])),COLUMNS($J$25:AC$25))),"")</f>
        <v/>
      </c>
      <c r="AC88" t="str">
        <f>IF(COLUMNS($J$25:AD$25)&lt;=$G34,INDEX(Adatok[[Előleg]:[Előleg]],_xlfn.AGGREGATE(15,3,(Adatok[[Ingatlanok]:[Ingatlanok]]=$H34)/(Adatok[[Ingatlanok]:[Ingatlanok]]=$H34)*(ROW(Adatok[[Ingatlanok]:[Ingatlanok]])-ROW(Adatok[[#Headers],[Ingatlanok]])),COLUMNS($J$25:AD$25))),"")</f>
        <v/>
      </c>
      <c r="AD88" t="str">
        <f>IF(COLUMNS($J$25:AE$25)&lt;=$G34,INDEX(Adatok[[Előleg]:[Előleg]],_xlfn.AGGREGATE(15,3,(Adatok[[Ingatlanok]:[Ingatlanok]]=$H34)/(Adatok[[Ingatlanok]:[Ingatlanok]]=$H34)*(ROW(Adatok[[Ingatlanok]:[Ingatlanok]])-ROW(Adatok[[#Headers],[Ár]])),COLUMNS($J$25:AE$25))),"")</f>
        <v/>
      </c>
    </row>
    <row r="89" spans="1:30" x14ac:dyDescent="0.25">
      <c r="G89">
        <f>COUNTIF(Adatok[Ingatlanok],H89)</f>
        <v>13</v>
      </c>
      <c r="H89" s="57" t="str">
        <f>INDEX(Adatok[Ingatlanok],MATCH(0,INDEX(COUNTIF($H$79:H88,Adatok[Ingatlanok]),),0))</f>
        <v>CSALÁDI HÁZ 3H/2F</v>
      </c>
      <c r="I89">
        <f>IF(COLUMNS($J$25:J$25)&lt;=$G35,INDEX(Adatok[[Előleg]:[Előleg]],_xlfn.AGGREGATE(15,3,(Adatok[[Ingatlanok]:[Ingatlanok]]=$H35)/(Adatok[[Ingatlanok]:[Ingatlanok]]=$H35)*(ROW(Adatok[[Ingatlanok]:[Ingatlanok]])-ROW(Adatok[[#Headers],[Ingatlanok]])),COLUMNS($J$25:J$25))),"")</f>
        <v>0</v>
      </c>
      <c r="J89">
        <f>IF(COLUMNS($J$25:K$25)&lt;=$G35,INDEX(Adatok[[Előleg]:[Előleg]],_xlfn.AGGREGATE(15,3,(Adatok[[Ingatlanok]:[Ingatlanok]]=$H35)/(Adatok[[Ingatlanok]:[Ingatlanok]]=$H35)*(ROW(Adatok[[Ingatlanok]:[Ingatlanok]])-ROW(Adatok[[#Headers],[Ár]])),COLUMNS($J$25:K$25))),"")</f>
        <v>0</v>
      </c>
      <c r="K89">
        <f>IF(COLUMNS($J$25:L$25)&lt;=$G35,INDEX(Adatok[[Előleg]:[Előleg]],_xlfn.AGGREGATE(15,3,(Adatok[[Ingatlanok]:[Ingatlanok]]=$H35)/(Adatok[[Ingatlanok]:[Ingatlanok]]=$H35)*(ROW(Adatok[[Ingatlanok]:[Ingatlanok]])-ROW(Adatok[[#Headers],[Letét, jelzálog]])),COLUMNS($J$25:L$25))),"")</f>
        <v>4000</v>
      </c>
      <c r="L89">
        <f>IF(COLUMNS($J$25:M$25)&lt;=$G35,INDEX(Adatok[[Előleg]:[Előleg]],_xlfn.AGGREGATE(15,3,(Adatok[[Ingatlanok]:[Ingatlanok]]=$H35)/(Adatok[[Ingatlanok]:[Ingatlanok]]=$H35)*(ROW(Adatok[[Ingatlanok]:[Ingatlanok]])-ROW(Adatok[[#Headers],[Előleg]])),COLUMNS($J$25:M$25))),"")</f>
        <v>7000</v>
      </c>
      <c r="M89">
        <f>IF(COLUMNS($J$25:N$25)&lt;=$G35,INDEX(Adatok[[Előleg]:[Előleg]],_xlfn.AGGREGATE(15,3,(Adatok[[Ingatlanok]:[Ingatlanok]]=$H35)/(Adatok[[Ingatlanok]:[Ingatlanok]]=$H35)*(ROW(Adatok[[Ingatlanok]:[Ingatlanok]])-ROW(Adatok[[#Headers],[Cashflow]])),COLUMNS($J$25:N$25))),"")</f>
        <v>8000</v>
      </c>
      <c r="N89">
        <f>IF(COLUMNS($J$25:O$25)&lt;=$G35,INDEX(Adatok[[Előleg]:[Előleg]],_xlfn.AGGREGATE(15,3,(Adatok[[Ingatlanok]:[Ingatlanok]]=$H35)/(Adatok[[Ingatlanok]:[Ingatlanok]]=$H35)*(ROW(Adatok[[Ingatlanok]:[Ingatlanok]])-ROW(Adatok[[#Headers],[Ingatlanok]])),COLUMNS($J$25:O$25))),"")</f>
        <v>5000</v>
      </c>
      <c r="O89">
        <f>IF(COLUMNS($J$25:P$25)&lt;=$G35,INDEX(Adatok[[Előleg]:[Előleg]],_xlfn.AGGREGATE(15,3,(Adatok[[Ingatlanok]:[Ingatlanok]]=$H35)/(Adatok[[Ingatlanok]:[Ingatlanok]]=$H35)*(ROW(Adatok[[Ingatlanok]:[Ingatlanok]])-ROW(Adatok[[#Headers],[Ár]])),COLUMNS($J$25:P$25))),"")</f>
        <v>12000</v>
      </c>
      <c r="P89">
        <f>IF(COLUMNS($J$25:Q$25)&lt;=$G35,INDEX(Adatok[[Előleg]:[Előleg]],_xlfn.AGGREGATE(15,3,(Adatok[[Ingatlanok]:[Ingatlanok]]=$H35)/(Adatok[[Ingatlanok]:[Ingatlanok]]=$H35)*(ROW(Adatok[[Ingatlanok]:[Ingatlanok]])-ROW(Adatok[[#Headers],[Letét, jelzálog]])),COLUMNS($J$25:Q$25))),"")</f>
        <v>9000</v>
      </c>
      <c r="Q89">
        <f>IF(COLUMNS($J$25:R$25)&lt;=$G35,INDEX(Adatok[[Előleg]:[Előleg]],_xlfn.AGGREGATE(15,3,(Adatok[[Ingatlanok]:[Ingatlanok]]=$H35)/(Adatok[[Ingatlanok]:[Ingatlanok]]=$H35)*(ROW(Adatok[[Ingatlanok]:[Ingatlanok]])-ROW(Adatok[[#Headers],[Előleg]])),COLUMNS($J$25:R$25))),"")</f>
        <v>20000</v>
      </c>
      <c r="R89">
        <f>IF(COLUMNS($J$25:S$25)&lt;=$G35,INDEX(Adatok[[Előleg]:[Előleg]],_xlfn.AGGREGATE(15,3,(Adatok[[Ingatlanok]:[Ingatlanok]]=$H35)/(Adatok[[Ingatlanok]:[Ingatlanok]]=$H35)*(ROW(Adatok[[Ingatlanok]:[Ingatlanok]])-ROW(Adatok[[#Headers],[Cashflow]])),COLUMNS($J$25:S$25))),"")</f>
        <v>7000</v>
      </c>
      <c r="S89">
        <f>IF(COLUMNS($J$25:T$25)&lt;=$G35,INDEX(Adatok[[Előleg]:[Előleg]],_xlfn.AGGREGATE(15,3,(Adatok[[Ingatlanok]:[Ingatlanok]]=$H35)/(Adatok[[Ingatlanok]:[Ingatlanok]]=$H35)*(ROW(Adatok[[Ingatlanok]:[Ingatlanok]])-ROW(Adatok[[#Headers],[Ingatlanok]])),COLUMNS($J$25:T$25))),"")</f>
        <v>10000</v>
      </c>
      <c r="T89">
        <f>IF(COLUMNS($J$25:U$25)&lt;=$G35,INDEX(Adatok[[Előleg]:[Előleg]],_xlfn.AGGREGATE(15,3,(Adatok[[Ingatlanok]:[Ingatlanok]]=$H35)/(Adatok[[Ingatlanok]:[Ingatlanok]]=$H35)*(ROW(Adatok[[Ingatlanok]:[Ingatlanok]])-ROW(Adatok[[#Headers],[Ár]])),COLUMNS($J$25:U$25))),"")</f>
        <v>20000</v>
      </c>
      <c r="U89">
        <f>IF(COLUMNS($J$25:V$25)&lt;=$G35,INDEX(Adatok[[Előleg]:[Előleg]],_xlfn.AGGREGATE(15,3,(Adatok[[Ingatlanok]:[Ingatlanok]]=$H35)/(Adatok[[Ingatlanok]:[Ingatlanok]]=$H35)*(ROW(Adatok[[Ingatlanok]:[Ingatlanok]])-ROW(Adatok[[#Headers],[Letét, jelzálog]])),COLUMNS($J$25:V$25))),"")</f>
        <v>3000</v>
      </c>
      <c r="V89" t="str">
        <f>IF(COLUMNS($J$25:W$25)&lt;=$G35,INDEX(Adatok[[Előleg]:[Előleg]],_xlfn.AGGREGATE(15,3,(Adatok[[Ingatlanok]:[Ingatlanok]]=$H35)/(Adatok[[Ingatlanok]:[Ingatlanok]]=$H35)*(ROW(Adatok[[Ingatlanok]:[Ingatlanok]])-ROW(Adatok[[#Headers],[Előleg]])),COLUMNS($J$25:W$25))),"")</f>
        <v/>
      </c>
      <c r="W89" t="str">
        <f>IF(COLUMNS($J$25:X$25)&lt;=$G35,INDEX(Adatok[[Előleg]:[Előleg]],_xlfn.AGGREGATE(15,3,(Adatok[[Ingatlanok]:[Ingatlanok]]=$H35)/(Adatok[[Ingatlanok]:[Ingatlanok]]=$H35)*(ROW(Adatok[[Ingatlanok]:[Ingatlanok]])-ROW(Adatok[[#Headers],[Cashflow]])),COLUMNS($J$25:X$25))),"")</f>
        <v/>
      </c>
      <c r="X89" t="str">
        <f>IF(COLUMNS($J$25:Y$25)&lt;=$G35,INDEX(Adatok[[Előleg]:[Előleg]],_xlfn.AGGREGATE(15,3,(Adatok[[Ingatlanok]:[Ingatlanok]]=$H35)/(Adatok[[Ingatlanok]:[Ingatlanok]]=$H35)*(ROW(Adatok[[Ingatlanok]:[Ingatlanok]])-ROW(Adatok[[#Headers],[Ingatlanok]])),COLUMNS($J$25:Y$25))),"")</f>
        <v/>
      </c>
      <c r="Y89" t="str">
        <f>IF(COLUMNS($J$25:Z$25)&lt;=$G35,INDEX(Adatok[[Előleg]:[Előleg]],_xlfn.AGGREGATE(15,3,(Adatok[[Ingatlanok]:[Ingatlanok]]=$H35)/(Adatok[[Ingatlanok]:[Ingatlanok]]=$H35)*(ROW(Adatok[[Ingatlanok]:[Ingatlanok]])-ROW(Adatok[[#Headers],[Ár]])),COLUMNS($J$25:Z$25))),"")</f>
        <v/>
      </c>
      <c r="Z89" t="str">
        <f>IF(COLUMNS($J$25:AA$25)&lt;=$G35,INDEX(Adatok[[Előleg]:[Előleg]],_xlfn.AGGREGATE(15,3,(Adatok[[Ingatlanok]:[Ingatlanok]]=$H35)/(Adatok[[Ingatlanok]:[Ingatlanok]]=$H35)*(ROW(Adatok[[Ingatlanok]:[Ingatlanok]])-ROW(Adatok[[#Headers],[Letét, jelzálog]])),COLUMNS($J$25:AA$25))),"")</f>
        <v/>
      </c>
      <c r="AA89" t="str">
        <f>IF(COLUMNS($J$25:AB$25)&lt;=$G35,INDEX(Adatok[[Előleg]:[Előleg]],_xlfn.AGGREGATE(15,3,(Adatok[[Ingatlanok]:[Ingatlanok]]=$H35)/(Adatok[[Ingatlanok]:[Ingatlanok]]=$H35)*(ROW(Adatok[[Ingatlanok]:[Ingatlanok]])-ROW(Adatok[[#Headers],[Előleg]])),COLUMNS($J$25:AB$25))),"")</f>
        <v/>
      </c>
      <c r="AB89" t="str">
        <f>IF(COLUMNS($J$25:AC$25)&lt;=$G35,INDEX(Adatok[[Előleg]:[Előleg]],_xlfn.AGGREGATE(15,3,(Adatok[[Ingatlanok]:[Ingatlanok]]=$H35)/(Adatok[[Ingatlanok]:[Ingatlanok]]=$H35)*(ROW(Adatok[[Ingatlanok]:[Ingatlanok]])-ROW(Adatok[[#Headers],[Cashflow]])),COLUMNS($J$25:AC$25))),"")</f>
        <v/>
      </c>
      <c r="AC89" t="str">
        <f>IF(COLUMNS($J$25:AD$25)&lt;=$G35,INDEX(Adatok[[Előleg]:[Előleg]],_xlfn.AGGREGATE(15,3,(Adatok[[Ingatlanok]:[Ingatlanok]]=$H35)/(Adatok[[Ingatlanok]:[Ingatlanok]]=$H35)*(ROW(Adatok[[Ingatlanok]:[Ingatlanok]])-ROW(Adatok[[#Headers],[Ingatlanok]])),COLUMNS($J$25:AD$25))),"")</f>
        <v/>
      </c>
      <c r="AD89" t="str">
        <f>IF(COLUMNS($J$25:AE$25)&lt;=$G35,INDEX(Adatok[[Előleg]:[Előleg]],_xlfn.AGGREGATE(15,3,(Adatok[[Ingatlanok]:[Ingatlanok]]=$H35)/(Adatok[[Ingatlanok]:[Ingatlanok]]=$H35)*(ROW(Adatok[[Ingatlanok]:[Ingatlanok]])-ROW(Adatok[[#Headers],[Ár]])),COLUMNS($J$25:AE$25))),"")</f>
        <v/>
      </c>
    </row>
    <row r="90" spans="1:30" x14ac:dyDescent="0.25">
      <c r="A90" t="s">
        <v>142</v>
      </c>
      <c r="B90" t="s">
        <v>114</v>
      </c>
      <c r="G90">
        <f>COUNTIF(Adatok[Ingatlanok],H90)</f>
        <v>6</v>
      </c>
      <c r="H90" s="57" t="str">
        <f>INDEX(Adatok[Ingatlanok],MATCH(0,INDEX(COUNTIF($H$79:H89,Adatok[Ingatlanok]),),0))</f>
        <v>NÉGYLAKÁSOS HÁZ</v>
      </c>
      <c r="I90">
        <f>IF(COLUMNS($J$25:J$25)&lt;=$G36,INDEX(Adatok[[Előleg]:[Előleg]],_xlfn.AGGREGATE(15,3,(Adatok[[Ingatlanok]:[Ingatlanok]]=$H36)/(Adatok[[Ingatlanok]:[Ingatlanok]]=$H36)*(ROW(Adatok[[Ingatlanok]:[Ingatlanok]])-ROW(Adatok[[#Headers],[Ingatlanok]])),COLUMNS($J$25:J$25))),"")</f>
        <v>20000</v>
      </c>
      <c r="J90">
        <f>IF(COLUMNS($J$25:K$25)&lt;=$G36,INDEX(Adatok[[Előleg]:[Előleg]],_xlfn.AGGREGATE(15,3,(Adatok[[Ingatlanok]:[Ingatlanok]]=$H36)/(Adatok[[Ingatlanok]:[Ingatlanok]]=$H36)*(ROW(Adatok[[Ingatlanok]:[Ingatlanok]])-ROW(Adatok[[#Headers],[Ár]])),COLUMNS($J$25:K$25))),"")</f>
        <v>16000</v>
      </c>
      <c r="K90">
        <f>IF(COLUMNS($J$25:L$25)&lt;=$G36,INDEX(Adatok[[Előleg]:[Előleg]],_xlfn.AGGREGATE(15,3,(Adatok[[Ingatlanok]:[Ingatlanok]]=$H36)/(Adatok[[Ingatlanok]:[Ingatlanok]]=$H36)*(ROW(Adatok[[Ingatlanok]:[Ingatlanok]])-ROW(Adatok[[#Headers],[Letét, jelzálog]])),COLUMNS($J$25:L$25))),"")</f>
        <v>15000</v>
      </c>
      <c r="L90">
        <f>IF(COLUMNS($J$25:M$25)&lt;=$G36,INDEX(Adatok[[Előleg]:[Előleg]],_xlfn.AGGREGATE(15,3,(Adatok[[Ingatlanok]:[Ingatlanok]]=$H36)/(Adatok[[Ingatlanok]:[Ingatlanok]]=$H36)*(ROW(Adatok[[Ingatlanok]:[Ingatlanok]])-ROW(Adatok[[#Headers],[Előleg]])),COLUMNS($J$25:M$25))),"")</f>
        <v>20000</v>
      </c>
      <c r="M90">
        <f>IF(COLUMNS($J$25:N$25)&lt;=$G36,INDEX(Adatok[[Előleg]:[Előleg]],_xlfn.AGGREGATE(15,3,(Adatok[[Ingatlanok]:[Ingatlanok]]=$H36)/(Adatok[[Ingatlanok]:[Ingatlanok]]=$H36)*(ROW(Adatok[[Ingatlanok]:[Ingatlanok]])-ROW(Adatok[[#Headers],[Cashflow]])),COLUMNS($J$25:N$25))),"")</f>
        <v>15000</v>
      </c>
      <c r="N90">
        <f>IF(COLUMNS($J$25:O$25)&lt;=$G36,INDEX(Adatok[[Előleg]:[Előleg]],_xlfn.AGGREGATE(15,3,(Adatok[[Ingatlanok]:[Ingatlanok]]=$H36)/(Adatok[[Ingatlanok]:[Ingatlanok]]=$H36)*(ROW(Adatok[[Ingatlanok]:[Ingatlanok]])-ROW(Adatok[[#Headers],[Ingatlanok]])),COLUMNS($J$25:O$25))),"")</f>
        <v>32000</v>
      </c>
      <c r="O90" t="str">
        <f>IF(COLUMNS($J$25:P$25)&lt;=$G36,INDEX(Adatok[[Előleg]:[Előleg]],_xlfn.AGGREGATE(15,3,(Adatok[[Ingatlanok]:[Ingatlanok]]=$H36)/(Adatok[[Ingatlanok]:[Ingatlanok]]=$H36)*(ROW(Adatok[[Ingatlanok]:[Ingatlanok]])-ROW(Adatok[[#Headers],[Ár]])),COLUMNS($J$25:P$25))),"")</f>
        <v/>
      </c>
      <c r="P90" t="str">
        <f>IF(COLUMNS($J$25:Q$25)&lt;=$G36,INDEX(Adatok[[Előleg]:[Előleg]],_xlfn.AGGREGATE(15,3,(Adatok[[Ingatlanok]:[Ingatlanok]]=$H36)/(Adatok[[Ingatlanok]:[Ingatlanok]]=$H36)*(ROW(Adatok[[Ingatlanok]:[Ingatlanok]])-ROW(Adatok[[#Headers],[Letét, jelzálog]])),COLUMNS($J$25:Q$25))),"")</f>
        <v/>
      </c>
      <c r="Q90" t="str">
        <f>IF(COLUMNS($J$25:R$25)&lt;=$G36,INDEX(Adatok[[Előleg]:[Előleg]],_xlfn.AGGREGATE(15,3,(Adatok[[Ingatlanok]:[Ingatlanok]]=$H36)/(Adatok[[Ingatlanok]:[Ingatlanok]]=$H36)*(ROW(Adatok[[Ingatlanok]:[Ingatlanok]])-ROW(Adatok[[#Headers],[Előleg]])),COLUMNS($J$25:R$25))),"")</f>
        <v/>
      </c>
      <c r="R90" t="str">
        <f>IF(COLUMNS($J$25:S$25)&lt;=$G36,INDEX(Adatok[[Előleg]:[Előleg]],_xlfn.AGGREGATE(15,3,(Adatok[[Ingatlanok]:[Ingatlanok]]=$H36)/(Adatok[[Ingatlanok]:[Ingatlanok]]=$H36)*(ROW(Adatok[[Ingatlanok]:[Ingatlanok]])-ROW(Adatok[[#Headers],[Cashflow]])),COLUMNS($J$25:S$25))),"")</f>
        <v/>
      </c>
      <c r="S90" t="str">
        <f>IF(COLUMNS($J$25:T$25)&lt;=$G36,INDEX(Adatok[[Előleg]:[Előleg]],_xlfn.AGGREGATE(15,3,(Adatok[[Ingatlanok]:[Ingatlanok]]=$H36)/(Adatok[[Ingatlanok]:[Ingatlanok]]=$H36)*(ROW(Adatok[[Ingatlanok]:[Ingatlanok]])-ROW(Adatok[[#Headers],[Ingatlanok]])),COLUMNS($J$25:T$25))),"")</f>
        <v/>
      </c>
      <c r="T90" t="str">
        <f>IF(COLUMNS($J$25:U$25)&lt;=$G36,INDEX(Adatok[[Előleg]:[Előleg]],_xlfn.AGGREGATE(15,3,(Adatok[[Ingatlanok]:[Ingatlanok]]=$H36)/(Adatok[[Ingatlanok]:[Ingatlanok]]=$H36)*(ROW(Adatok[[Ingatlanok]:[Ingatlanok]])-ROW(Adatok[[#Headers],[Ár]])),COLUMNS($J$25:U$25))),"")</f>
        <v/>
      </c>
      <c r="U90" t="str">
        <f>IF(COLUMNS($J$25:V$25)&lt;=$G36,INDEX(Adatok[[Előleg]:[Előleg]],_xlfn.AGGREGATE(15,3,(Adatok[[Ingatlanok]:[Ingatlanok]]=$H36)/(Adatok[[Ingatlanok]:[Ingatlanok]]=$H36)*(ROW(Adatok[[Ingatlanok]:[Ingatlanok]])-ROW(Adatok[[#Headers],[Letét, jelzálog]])),COLUMNS($J$25:V$25))),"")</f>
        <v/>
      </c>
      <c r="V90" t="str">
        <f>IF(COLUMNS($J$25:W$25)&lt;=$G36,INDEX(Adatok[[Előleg]:[Előleg]],_xlfn.AGGREGATE(15,3,(Adatok[[Ingatlanok]:[Ingatlanok]]=$H36)/(Adatok[[Ingatlanok]:[Ingatlanok]]=$H36)*(ROW(Adatok[[Ingatlanok]:[Ingatlanok]])-ROW(Adatok[[#Headers],[Előleg]])),COLUMNS($J$25:W$25))),"")</f>
        <v/>
      </c>
      <c r="W90" t="str">
        <f>IF(COLUMNS($J$25:X$25)&lt;=$G36,INDEX(Adatok[[Előleg]:[Előleg]],_xlfn.AGGREGATE(15,3,(Adatok[[Ingatlanok]:[Ingatlanok]]=$H36)/(Adatok[[Ingatlanok]:[Ingatlanok]]=$H36)*(ROW(Adatok[[Ingatlanok]:[Ingatlanok]])-ROW(Adatok[[#Headers],[Cashflow]])),COLUMNS($J$25:X$25))),"")</f>
        <v/>
      </c>
      <c r="X90" t="str">
        <f>IF(COLUMNS($J$25:Y$25)&lt;=$G36,INDEX(Adatok[[Előleg]:[Előleg]],_xlfn.AGGREGATE(15,3,(Adatok[[Ingatlanok]:[Ingatlanok]]=$H36)/(Adatok[[Ingatlanok]:[Ingatlanok]]=$H36)*(ROW(Adatok[[Ingatlanok]:[Ingatlanok]])-ROW(Adatok[[#Headers],[Ingatlanok]])),COLUMNS($J$25:Y$25))),"")</f>
        <v/>
      </c>
      <c r="Y90" t="str">
        <f>IF(COLUMNS($J$25:Z$25)&lt;=$G36,INDEX(Adatok[[Előleg]:[Előleg]],_xlfn.AGGREGATE(15,3,(Adatok[[Ingatlanok]:[Ingatlanok]]=$H36)/(Adatok[[Ingatlanok]:[Ingatlanok]]=$H36)*(ROW(Adatok[[Ingatlanok]:[Ingatlanok]])-ROW(Adatok[[#Headers],[Ár]])),COLUMNS($J$25:Z$25))),"")</f>
        <v/>
      </c>
      <c r="Z90" t="str">
        <f>IF(COLUMNS($J$25:AA$25)&lt;=$G36,INDEX(Adatok[[Előleg]:[Előleg]],_xlfn.AGGREGATE(15,3,(Adatok[[Ingatlanok]:[Ingatlanok]]=$H36)/(Adatok[[Ingatlanok]:[Ingatlanok]]=$H36)*(ROW(Adatok[[Ingatlanok]:[Ingatlanok]])-ROW(Adatok[[#Headers],[Letét, jelzálog]])),COLUMNS($J$25:AA$25))),"")</f>
        <v/>
      </c>
      <c r="AA90" t="str">
        <f>IF(COLUMNS($J$25:AB$25)&lt;=$G36,INDEX(Adatok[[Előleg]:[Előleg]],_xlfn.AGGREGATE(15,3,(Adatok[[Ingatlanok]:[Ingatlanok]]=$H36)/(Adatok[[Ingatlanok]:[Ingatlanok]]=$H36)*(ROW(Adatok[[Ingatlanok]:[Ingatlanok]])-ROW(Adatok[[#Headers],[Előleg]])),COLUMNS($J$25:AB$25))),"")</f>
        <v/>
      </c>
      <c r="AB90" t="str">
        <f>IF(COLUMNS($J$25:AC$25)&lt;=$G36,INDEX(Adatok[[Előleg]:[Előleg]],_xlfn.AGGREGATE(15,3,(Adatok[[Ingatlanok]:[Ingatlanok]]=$H36)/(Adatok[[Ingatlanok]:[Ingatlanok]]=$H36)*(ROW(Adatok[[Ingatlanok]:[Ingatlanok]])-ROW(Adatok[[#Headers],[Cashflow]])),COLUMNS($J$25:AC$25))),"")</f>
        <v/>
      </c>
      <c r="AC90" t="str">
        <f>IF(COLUMNS($J$25:AD$25)&lt;=$G36,INDEX(Adatok[[Előleg]:[Előleg]],_xlfn.AGGREGATE(15,3,(Adatok[[Ingatlanok]:[Ingatlanok]]=$H36)/(Adatok[[Ingatlanok]:[Ingatlanok]]=$H36)*(ROW(Adatok[[Ingatlanok]:[Ingatlanok]])-ROW(Adatok[[#Headers],[Ingatlanok]])),COLUMNS($J$25:AD$25))),"")</f>
        <v/>
      </c>
      <c r="AD90" t="str">
        <f>IF(COLUMNS($J$25:AE$25)&lt;=$G36,INDEX(Adatok[[Előleg]:[Előleg]],_xlfn.AGGREGATE(15,3,(Adatok[[Ingatlanok]:[Ingatlanok]]=$H36)/(Adatok[[Ingatlanok]:[Ingatlanok]]=$H36)*(ROW(Adatok[[Ingatlanok]:[Ingatlanok]])-ROW(Adatok[[#Headers],[Ár]])),COLUMNS($J$25:AE$25))),"")</f>
        <v/>
      </c>
    </row>
    <row r="91" spans="1:30" x14ac:dyDescent="0.25">
      <c r="A91" t="s">
        <v>143</v>
      </c>
      <c r="B91">
        <v>10000</v>
      </c>
      <c r="D91" t="e">
        <f ca="1">OFFSET(Adatok!$A$91,MATCH('Gyorsító sáv'!$A33,Fastlaneshops,0)-1,1,1,COUNT(OFFSET(Adatok!$A$91,MATCH('Gyorsító sáv'!$A33,Fastlaneshops,0)-1,1,,1)))</f>
        <v>#N/A</v>
      </c>
      <c r="E91" t="e">
        <f ca="1">OFFSET(Adatok!$H$57,MATCH($A11,Adatok!$H$57:$H$74,0)-1,1,1,COUNT(OFFSET(Adatok!$H$57,MATCH($A11,Adatok!$H$57:$H$74,0)-1,1,,15)))</f>
        <v>#N/A</v>
      </c>
      <c r="G91">
        <f>COUNTIF(Adatok[Ingatlanok],H91)</f>
        <v>4</v>
      </c>
      <c r="H91" s="57" t="str">
        <f>INDEX(Adatok[Ingatlanok],MATCH(0,INDEX(COUNTIF($H$79:H90,Adatok[Ingatlanok]),),0))</f>
        <v>AUTOMATA ÜZLET</v>
      </c>
      <c r="I91">
        <f>IF(COLUMNS($J$25:J$25)&lt;=$G37,INDEX(Adatok[[Előleg]:[Előleg]],_xlfn.AGGREGATE(15,3,(Adatok[[Ingatlanok]:[Ingatlanok]]=$H37)/(Adatok[[Ingatlanok]:[Ingatlanok]]=$H37)*(ROW(Adatok[[Ingatlanok]:[Ingatlanok]])-ROW(Adatok[[#Headers],[Ingatlanok]])),COLUMNS($J$25:J$25))),"")</f>
        <v>20000</v>
      </c>
      <c r="J91">
        <f>IF(COLUMNS($J$25:K$25)&lt;=$G37,INDEX(Adatok[[Előleg]:[Előleg]],_xlfn.AGGREGATE(15,3,(Adatok[[Ingatlanok]:[Ingatlanok]]=$H37)/(Adatok[[Ingatlanok]:[Ingatlanok]]=$H37)*(ROW(Adatok[[Ingatlanok]:[Ingatlanok]])-ROW(Adatok[[#Headers],[Ár]])),COLUMNS($J$25:K$25))),"")</f>
        <v>25000</v>
      </c>
      <c r="K91">
        <f>IF(COLUMNS($J$25:L$25)&lt;=$G37,INDEX(Adatok[[Előleg]:[Előleg]],_xlfn.AGGREGATE(15,3,(Adatok[[Ingatlanok]:[Ingatlanok]]=$H37)/(Adatok[[Ingatlanok]:[Ingatlanok]]=$H37)*(ROW(Adatok[[Ingatlanok]:[Ingatlanok]])-ROW(Adatok[[#Headers],[Letét, jelzálog]])),COLUMNS($J$25:L$25))),"")</f>
        <v>30000</v>
      </c>
      <c r="L91">
        <f>IF(COLUMNS($J$25:M$25)&lt;=$G37,INDEX(Adatok[[Előleg]:[Előleg]],_xlfn.AGGREGATE(15,3,(Adatok[[Ingatlanok]:[Ingatlanok]]=$H37)/(Adatok[[Ingatlanok]:[Ingatlanok]]=$H37)*(ROW(Adatok[[Ingatlanok]:[Ingatlanok]])-ROW(Adatok[[#Headers],[Előleg]])),COLUMNS($J$25:M$25))),"")</f>
        <v>40000</v>
      </c>
      <c r="M91" t="str">
        <f>IF(COLUMNS($J$25:N$25)&lt;=$G37,INDEX(Adatok[[Előleg]:[Előleg]],_xlfn.AGGREGATE(15,3,(Adatok[[Ingatlanok]:[Ingatlanok]]=$H37)/(Adatok[[Ingatlanok]:[Ingatlanok]]=$H37)*(ROW(Adatok[[Ingatlanok]:[Ingatlanok]])-ROW(Adatok[[#Headers],[Cashflow]])),COLUMNS($J$25:N$25))),"")</f>
        <v/>
      </c>
      <c r="N91" t="str">
        <f>IF(COLUMNS($J$25:O$25)&lt;=$G37,INDEX(Adatok[[Előleg]:[Előleg]],_xlfn.AGGREGATE(15,3,(Adatok[[Ingatlanok]:[Ingatlanok]]=$H37)/(Adatok[[Ingatlanok]:[Ingatlanok]]=$H37)*(ROW(Adatok[[Ingatlanok]:[Ingatlanok]])-ROW(Adatok[[#Headers],[Ingatlanok]])),COLUMNS($J$25:O$25))),"")</f>
        <v/>
      </c>
      <c r="O91" t="str">
        <f>IF(COLUMNS($J$25:P$25)&lt;=$G37,INDEX(Adatok[[Előleg]:[Előleg]],_xlfn.AGGREGATE(15,3,(Adatok[[Ingatlanok]:[Ingatlanok]]=$H37)/(Adatok[[Ingatlanok]:[Ingatlanok]]=$H37)*(ROW(Adatok[[Ingatlanok]:[Ingatlanok]])-ROW(Adatok[[#Headers],[Ár]])),COLUMNS($J$25:P$25))),"")</f>
        <v/>
      </c>
      <c r="P91" t="str">
        <f>IF(COLUMNS($J$25:Q$25)&lt;=$G37,INDEX(Adatok[[Előleg]:[Előleg]],_xlfn.AGGREGATE(15,3,(Adatok[[Ingatlanok]:[Ingatlanok]]=$H37)/(Adatok[[Ingatlanok]:[Ingatlanok]]=$H37)*(ROW(Adatok[[Ingatlanok]:[Ingatlanok]])-ROW(Adatok[[#Headers],[Letét, jelzálog]])),COLUMNS($J$25:Q$25))),"")</f>
        <v/>
      </c>
      <c r="Q91" t="str">
        <f>IF(COLUMNS($J$25:R$25)&lt;=$G37,INDEX(Adatok[[Előleg]:[Előleg]],_xlfn.AGGREGATE(15,3,(Adatok[[Ingatlanok]:[Ingatlanok]]=$H37)/(Adatok[[Ingatlanok]:[Ingatlanok]]=$H37)*(ROW(Adatok[[Ingatlanok]:[Ingatlanok]])-ROW(Adatok[[#Headers],[Előleg]])),COLUMNS($J$25:R$25))),"")</f>
        <v/>
      </c>
      <c r="R91" t="str">
        <f>IF(COLUMNS($J$25:S$25)&lt;=$G37,INDEX(Adatok[[Előleg]:[Előleg]],_xlfn.AGGREGATE(15,3,(Adatok[[Ingatlanok]:[Ingatlanok]]=$H37)/(Adatok[[Ingatlanok]:[Ingatlanok]]=$H37)*(ROW(Adatok[[Ingatlanok]:[Ingatlanok]])-ROW(Adatok[[#Headers],[Cashflow]])),COLUMNS($J$25:S$25))),"")</f>
        <v/>
      </c>
      <c r="S91" t="str">
        <f>IF(COLUMNS($J$25:T$25)&lt;=$G37,INDEX(Adatok[[Előleg]:[Előleg]],_xlfn.AGGREGATE(15,3,(Adatok[[Ingatlanok]:[Ingatlanok]]=$H37)/(Adatok[[Ingatlanok]:[Ingatlanok]]=$H37)*(ROW(Adatok[[Ingatlanok]:[Ingatlanok]])-ROW(Adatok[[#Headers],[Ingatlanok]])),COLUMNS($J$25:T$25))),"")</f>
        <v/>
      </c>
      <c r="T91" t="str">
        <f>IF(COLUMNS($J$25:U$25)&lt;=$G37,INDEX(Adatok[[Előleg]:[Előleg]],_xlfn.AGGREGATE(15,3,(Adatok[[Ingatlanok]:[Ingatlanok]]=$H37)/(Adatok[[Ingatlanok]:[Ingatlanok]]=$H37)*(ROW(Adatok[[Ingatlanok]:[Ingatlanok]])-ROW(Adatok[[#Headers],[Ár]])),COLUMNS($J$25:U$25))),"")</f>
        <v/>
      </c>
      <c r="U91" t="str">
        <f>IF(COLUMNS($J$25:V$25)&lt;=$G37,INDEX(Adatok[[Előleg]:[Előleg]],_xlfn.AGGREGATE(15,3,(Adatok[[Ingatlanok]:[Ingatlanok]]=$H37)/(Adatok[[Ingatlanok]:[Ingatlanok]]=$H37)*(ROW(Adatok[[Ingatlanok]:[Ingatlanok]])-ROW(Adatok[[#Headers],[Letét, jelzálog]])),COLUMNS($J$25:V$25))),"")</f>
        <v/>
      </c>
      <c r="V91" t="str">
        <f>IF(COLUMNS($J$25:W$25)&lt;=$G37,INDEX(Adatok[[Előleg]:[Előleg]],_xlfn.AGGREGATE(15,3,(Adatok[[Ingatlanok]:[Ingatlanok]]=$H37)/(Adatok[[Ingatlanok]:[Ingatlanok]]=$H37)*(ROW(Adatok[[Ingatlanok]:[Ingatlanok]])-ROW(Adatok[[#Headers],[Előleg]])),COLUMNS($J$25:W$25))),"")</f>
        <v/>
      </c>
      <c r="W91" t="str">
        <f>IF(COLUMNS($J$25:X$25)&lt;=$G37,INDEX(Adatok[[Előleg]:[Előleg]],_xlfn.AGGREGATE(15,3,(Adatok[[Ingatlanok]:[Ingatlanok]]=$H37)/(Adatok[[Ingatlanok]:[Ingatlanok]]=$H37)*(ROW(Adatok[[Ingatlanok]:[Ingatlanok]])-ROW(Adatok[[#Headers],[Cashflow]])),COLUMNS($J$25:X$25))),"")</f>
        <v/>
      </c>
      <c r="X91" t="str">
        <f>IF(COLUMNS($J$25:Y$25)&lt;=$G37,INDEX(Adatok[[Előleg]:[Előleg]],_xlfn.AGGREGATE(15,3,(Adatok[[Ingatlanok]:[Ingatlanok]]=$H37)/(Adatok[[Ingatlanok]:[Ingatlanok]]=$H37)*(ROW(Adatok[[Ingatlanok]:[Ingatlanok]])-ROW(Adatok[[#Headers],[Ingatlanok]])),COLUMNS($J$25:Y$25))),"")</f>
        <v/>
      </c>
      <c r="Y91" t="str">
        <f>IF(COLUMNS($J$25:Z$25)&lt;=$G37,INDEX(Adatok[[Előleg]:[Előleg]],_xlfn.AGGREGATE(15,3,(Adatok[[Ingatlanok]:[Ingatlanok]]=$H37)/(Adatok[[Ingatlanok]:[Ingatlanok]]=$H37)*(ROW(Adatok[[Ingatlanok]:[Ingatlanok]])-ROW(Adatok[[#Headers],[Ár]])),COLUMNS($J$25:Z$25))),"")</f>
        <v/>
      </c>
      <c r="Z91" t="str">
        <f>IF(COLUMNS($J$25:AA$25)&lt;=$G37,INDEX(Adatok[[Előleg]:[Előleg]],_xlfn.AGGREGATE(15,3,(Adatok[[Ingatlanok]:[Ingatlanok]]=$H37)/(Adatok[[Ingatlanok]:[Ingatlanok]]=$H37)*(ROW(Adatok[[Ingatlanok]:[Ingatlanok]])-ROW(Adatok[[#Headers],[Letét, jelzálog]])),COLUMNS($J$25:AA$25))),"")</f>
        <v/>
      </c>
      <c r="AA91" t="str">
        <f>IF(COLUMNS($J$25:AB$25)&lt;=$G37,INDEX(Adatok[[Előleg]:[Előleg]],_xlfn.AGGREGATE(15,3,(Adatok[[Ingatlanok]:[Ingatlanok]]=$H37)/(Adatok[[Ingatlanok]:[Ingatlanok]]=$H37)*(ROW(Adatok[[Ingatlanok]:[Ingatlanok]])-ROW(Adatok[[#Headers],[Előleg]])),COLUMNS($J$25:AB$25))),"")</f>
        <v/>
      </c>
      <c r="AB91" t="str">
        <f>IF(COLUMNS($J$25:AC$25)&lt;=$G37,INDEX(Adatok[[Előleg]:[Előleg]],_xlfn.AGGREGATE(15,3,(Adatok[[Ingatlanok]:[Ingatlanok]]=$H37)/(Adatok[[Ingatlanok]:[Ingatlanok]]=$H37)*(ROW(Adatok[[Ingatlanok]:[Ingatlanok]])-ROW(Adatok[[#Headers],[Cashflow]])),COLUMNS($J$25:AC$25))),"")</f>
        <v/>
      </c>
      <c r="AC91" t="str">
        <f>IF(COLUMNS($J$25:AD$25)&lt;=$G37,INDEX(Adatok[[Előleg]:[Előleg]],_xlfn.AGGREGATE(15,3,(Adatok[[Ingatlanok]:[Ingatlanok]]=$H37)/(Adatok[[Ingatlanok]:[Ingatlanok]]=$H37)*(ROW(Adatok[[Ingatlanok]:[Ingatlanok]])-ROW(Adatok[[#Headers],[Ingatlanok]])),COLUMNS($J$25:AD$25))),"")</f>
        <v/>
      </c>
      <c r="AD91" t="str">
        <f>IF(COLUMNS($J$25:AE$25)&lt;=$G37,INDEX(Adatok[[Előleg]:[Előleg]],_xlfn.AGGREGATE(15,3,(Adatok[[Ingatlanok]:[Ingatlanok]]=$H37)/(Adatok[[Ingatlanok]:[Ingatlanok]]=$H37)*(ROW(Adatok[[Ingatlanok]:[Ingatlanok]])-ROW(Adatok[[#Headers],[Ár]])),COLUMNS($J$25:AE$25))),"")</f>
        <v/>
      </c>
    </row>
    <row r="92" spans="1:30" x14ac:dyDescent="0.25">
      <c r="A92" t="s">
        <v>144</v>
      </c>
      <c r="B92">
        <v>10000</v>
      </c>
      <c r="G92">
        <f>COUNTIF(Adatok[Ingatlanok],H92)</f>
        <v>1</v>
      </c>
      <c r="H92" s="57" t="str">
        <f>INDEX(Adatok[Ingatlanok],MATCH(0,INDEX(COUNTIF($H$79:H91,Adatok[Ingatlanok]),),0))</f>
        <v>KIS PANZIÓ</v>
      </c>
      <c r="I92">
        <f>IF(COLUMNS($J$25:J$25)&lt;=$G38,INDEX(Adatok[[Előleg]:[Előleg]],_xlfn.AGGREGATE(15,3,(Adatok[[Ingatlanok]:[Ingatlanok]]=$H38)/(Adatok[[Ingatlanok]:[Ingatlanok]]=$H38)*(ROW(Adatok[[Ingatlanok]:[Ingatlanok]])-ROW(Adatok[[#Headers],[Ingatlanok]])),COLUMNS($J$25:J$25))),"")</f>
        <v>30000</v>
      </c>
      <c r="J92" t="str">
        <f>IF(COLUMNS($J$25:K$25)&lt;=$G38,INDEX(Adatok[[Előleg]:[Előleg]],_xlfn.AGGREGATE(15,3,(Adatok[[Ingatlanok]:[Ingatlanok]]=$H38)/(Adatok[[Ingatlanok]:[Ingatlanok]]=$H38)*(ROW(Adatok[[Ingatlanok]:[Ingatlanok]])-ROW(Adatok[[#Headers],[Ár]])),COLUMNS($J$25:K$25))),"")</f>
        <v/>
      </c>
      <c r="K92" t="str">
        <f>IF(COLUMNS($J$25:L$25)&lt;=$G38,INDEX(Adatok[[Előleg]:[Előleg]],_xlfn.AGGREGATE(15,3,(Adatok[[Ingatlanok]:[Ingatlanok]]=$H38)/(Adatok[[Ingatlanok]:[Ingatlanok]]=$H38)*(ROW(Adatok[[Ingatlanok]:[Ingatlanok]])-ROW(Adatok[[#Headers],[Letét, jelzálog]])),COLUMNS($J$25:L$25))),"")</f>
        <v/>
      </c>
      <c r="L92" t="str">
        <f>IF(COLUMNS($J$25:M$25)&lt;=$G38,INDEX(Adatok[[Előleg]:[Előleg]],_xlfn.AGGREGATE(15,3,(Adatok[[Ingatlanok]:[Ingatlanok]]=$H38)/(Adatok[[Ingatlanok]:[Ingatlanok]]=$H38)*(ROW(Adatok[[Ingatlanok]:[Ingatlanok]])-ROW(Adatok[[#Headers],[Előleg]])),COLUMNS($J$25:M$25))),"")</f>
        <v/>
      </c>
      <c r="M92" t="str">
        <f>IF(COLUMNS($J$25:N$25)&lt;=$G38,INDEX(Adatok[[Előleg]:[Előleg]],_xlfn.AGGREGATE(15,3,(Adatok[[Ingatlanok]:[Ingatlanok]]=$H38)/(Adatok[[Ingatlanok]:[Ingatlanok]]=$H38)*(ROW(Adatok[[Ingatlanok]:[Ingatlanok]])-ROW(Adatok[[#Headers],[Cashflow]])),COLUMNS($J$25:N$25))),"")</f>
        <v/>
      </c>
      <c r="N92" t="str">
        <f>IF(COLUMNS($J$25:O$25)&lt;=$G38,INDEX(Adatok[[Előleg]:[Előleg]],_xlfn.AGGREGATE(15,3,(Adatok[[Ingatlanok]:[Ingatlanok]]=$H38)/(Adatok[[Ingatlanok]:[Ingatlanok]]=$H38)*(ROW(Adatok[[Ingatlanok]:[Ingatlanok]])-ROW(Adatok[[#Headers],[Ingatlanok]])),COLUMNS($J$25:O$25))),"")</f>
        <v/>
      </c>
      <c r="O92" t="str">
        <f>IF(COLUMNS($J$25:P$25)&lt;=$G38,INDEX(Adatok[[Előleg]:[Előleg]],_xlfn.AGGREGATE(15,3,(Adatok[[Ingatlanok]:[Ingatlanok]]=$H38)/(Adatok[[Ingatlanok]:[Ingatlanok]]=$H38)*(ROW(Adatok[[Ingatlanok]:[Ingatlanok]])-ROW(Adatok[[#Headers],[Ár]])),COLUMNS($J$25:P$25))),"")</f>
        <v/>
      </c>
      <c r="P92" t="str">
        <f>IF(COLUMNS($J$25:Q$25)&lt;=$G38,INDEX(Adatok[[Előleg]:[Előleg]],_xlfn.AGGREGATE(15,3,(Adatok[[Ingatlanok]:[Ingatlanok]]=$H38)/(Adatok[[Ingatlanok]:[Ingatlanok]]=$H38)*(ROW(Adatok[[Ingatlanok]:[Ingatlanok]])-ROW(Adatok[[#Headers],[Letét, jelzálog]])),COLUMNS($J$25:Q$25))),"")</f>
        <v/>
      </c>
      <c r="Q92" t="str">
        <f>IF(COLUMNS($J$25:R$25)&lt;=$G38,INDEX(Adatok[[Előleg]:[Előleg]],_xlfn.AGGREGATE(15,3,(Adatok[[Ingatlanok]:[Ingatlanok]]=$H38)/(Adatok[[Ingatlanok]:[Ingatlanok]]=$H38)*(ROW(Adatok[[Ingatlanok]:[Ingatlanok]])-ROW(Adatok[[#Headers],[Előleg]])),COLUMNS($J$25:R$25))),"")</f>
        <v/>
      </c>
      <c r="R92" t="str">
        <f>IF(COLUMNS($J$25:S$25)&lt;=$G38,INDEX(Adatok[[Előleg]:[Előleg]],_xlfn.AGGREGATE(15,3,(Adatok[[Ingatlanok]:[Ingatlanok]]=$H38)/(Adatok[[Ingatlanok]:[Ingatlanok]]=$H38)*(ROW(Adatok[[Ingatlanok]:[Ingatlanok]])-ROW(Adatok[[#Headers],[Cashflow]])),COLUMNS($J$25:S$25))),"")</f>
        <v/>
      </c>
      <c r="S92" t="str">
        <f>IF(COLUMNS($J$25:T$25)&lt;=$G38,INDEX(Adatok[[Előleg]:[Előleg]],_xlfn.AGGREGATE(15,3,(Adatok[[Ingatlanok]:[Ingatlanok]]=$H38)/(Adatok[[Ingatlanok]:[Ingatlanok]]=$H38)*(ROW(Adatok[[Ingatlanok]:[Ingatlanok]])-ROW(Adatok[[#Headers],[Ingatlanok]])),COLUMNS($J$25:T$25))),"")</f>
        <v/>
      </c>
      <c r="T92" t="str">
        <f>IF(COLUMNS($J$25:U$25)&lt;=$G38,INDEX(Adatok[[Előleg]:[Előleg]],_xlfn.AGGREGATE(15,3,(Adatok[[Ingatlanok]:[Ingatlanok]]=$H38)/(Adatok[[Ingatlanok]:[Ingatlanok]]=$H38)*(ROW(Adatok[[Ingatlanok]:[Ingatlanok]])-ROW(Adatok[[#Headers],[Ár]])),COLUMNS($J$25:U$25))),"")</f>
        <v/>
      </c>
      <c r="U92" t="str">
        <f>IF(COLUMNS($J$25:V$25)&lt;=$G38,INDEX(Adatok[[Előleg]:[Előleg]],_xlfn.AGGREGATE(15,3,(Adatok[[Ingatlanok]:[Ingatlanok]]=$H38)/(Adatok[[Ingatlanok]:[Ingatlanok]]=$H38)*(ROW(Adatok[[Ingatlanok]:[Ingatlanok]])-ROW(Adatok[[#Headers],[Letét, jelzálog]])),COLUMNS($J$25:V$25))),"")</f>
        <v/>
      </c>
      <c r="V92" t="str">
        <f>IF(COLUMNS($J$25:W$25)&lt;=$G38,INDEX(Adatok[[Előleg]:[Előleg]],_xlfn.AGGREGATE(15,3,(Adatok[[Ingatlanok]:[Ingatlanok]]=$H38)/(Adatok[[Ingatlanok]:[Ingatlanok]]=$H38)*(ROW(Adatok[[Ingatlanok]:[Ingatlanok]])-ROW(Adatok[[#Headers],[Előleg]])),COLUMNS($J$25:W$25))),"")</f>
        <v/>
      </c>
      <c r="W92" t="str">
        <f>IF(COLUMNS($J$25:X$25)&lt;=$G38,INDEX(Adatok[[Előleg]:[Előleg]],_xlfn.AGGREGATE(15,3,(Adatok[[Ingatlanok]:[Ingatlanok]]=$H38)/(Adatok[[Ingatlanok]:[Ingatlanok]]=$H38)*(ROW(Adatok[[Ingatlanok]:[Ingatlanok]])-ROW(Adatok[[#Headers],[Cashflow]])),COLUMNS($J$25:X$25))),"")</f>
        <v/>
      </c>
      <c r="X92" t="str">
        <f>IF(COLUMNS($J$25:Y$25)&lt;=$G38,INDEX(Adatok[[Előleg]:[Előleg]],_xlfn.AGGREGATE(15,3,(Adatok[[Ingatlanok]:[Ingatlanok]]=$H38)/(Adatok[[Ingatlanok]:[Ingatlanok]]=$H38)*(ROW(Adatok[[Ingatlanok]:[Ingatlanok]])-ROW(Adatok[[#Headers],[Ingatlanok]])),COLUMNS($J$25:Y$25))),"")</f>
        <v/>
      </c>
      <c r="Y92" t="str">
        <f>IF(COLUMNS($J$25:Z$25)&lt;=$G38,INDEX(Adatok[[Előleg]:[Előleg]],_xlfn.AGGREGATE(15,3,(Adatok[[Ingatlanok]:[Ingatlanok]]=$H38)/(Adatok[[Ingatlanok]:[Ingatlanok]]=$H38)*(ROW(Adatok[[Ingatlanok]:[Ingatlanok]])-ROW(Adatok[[#Headers],[Ár]])),COLUMNS($J$25:Z$25))),"")</f>
        <v/>
      </c>
      <c r="Z92" t="str">
        <f>IF(COLUMNS($J$25:AA$25)&lt;=$G38,INDEX(Adatok[[Előleg]:[Előleg]],_xlfn.AGGREGATE(15,3,(Adatok[[Ingatlanok]:[Ingatlanok]]=$H38)/(Adatok[[Ingatlanok]:[Ingatlanok]]=$H38)*(ROW(Adatok[[Ingatlanok]:[Ingatlanok]])-ROW(Adatok[[#Headers],[Letét, jelzálog]])),COLUMNS($J$25:AA$25))),"")</f>
        <v/>
      </c>
      <c r="AA92" t="str">
        <f>IF(COLUMNS($J$25:AB$25)&lt;=$G38,INDEX(Adatok[[Előleg]:[Előleg]],_xlfn.AGGREGATE(15,3,(Adatok[[Ingatlanok]:[Ingatlanok]]=$H38)/(Adatok[[Ingatlanok]:[Ingatlanok]]=$H38)*(ROW(Adatok[[Ingatlanok]:[Ingatlanok]])-ROW(Adatok[[#Headers],[Előleg]])),COLUMNS($J$25:AB$25))),"")</f>
        <v/>
      </c>
      <c r="AB92" t="str">
        <f>IF(COLUMNS($J$25:AC$25)&lt;=$G38,INDEX(Adatok[[Előleg]:[Előleg]],_xlfn.AGGREGATE(15,3,(Adatok[[Ingatlanok]:[Ingatlanok]]=$H38)/(Adatok[[Ingatlanok]:[Ingatlanok]]=$H38)*(ROW(Adatok[[Ingatlanok]:[Ingatlanok]])-ROW(Adatok[[#Headers],[Cashflow]])),COLUMNS($J$25:AC$25))),"")</f>
        <v/>
      </c>
      <c r="AC92" t="str">
        <f>IF(COLUMNS($J$25:AD$25)&lt;=$G38,INDEX(Adatok[[Előleg]:[Előleg]],_xlfn.AGGREGATE(15,3,(Adatok[[Ingatlanok]:[Ingatlanok]]=$H38)/(Adatok[[Ingatlanok]:[Ingatlanok]]=$H38)*(ROW(Adatok[[Ingatlanok]:[Ingatlanok]])-ROW(Adatok[[#Headers],[Ingatlanok]])),COLUMNS($J$25:AD$25))),"")</f>
        <v/>
      </c>
      <c r="AD92" t="str">
        <f>IF(COLUMNS($J$25:AE$25)&lt;=$G38,INDEX(Adatok[[Előleg]:[Előleg]],_xlfn.AGGREGATE(15,3,(Adatok[[Ingatlanok]:[Ingatlanok]]=$H38)/(Adatok[[Ingatlanok]:[Ingatlanok]]=$H38)*(ROW(Adatok[[Ingatlanok]:[Ingatlanok]])-ROW(Adatok[[#Headers],[Ár]])),COLUMNS($J$25:AE$25))),"")</f>
        <v/>
      </c>
    </row>
    <row r="93" spans="1:30" x14ac:dyDescent="0.25">
      <c r="A93" t="s">
        <v>145</v>
      </c>
      <c r="B93">
        <v>6000</v>
      </c>
      <c r="G93">
        <f>COUNTIF(Adatok[Ingatlanok],H93)</f>
        <v>4</v>
      </c>
      <c r="H93" s="57" t="str">
        <f>INDEX(Adatok[Ingatlanok],MATCH(0,INDEX(COUNTIF($H$79:H92,Adatok[Ingatlanok]),),0))</f>
        <v xml:space="preserve">NYOLCLAKÁSOS HÁZ </v>
      </c>
      <c r="I93">
        <f>IF(COLUMNS($J$25:J$25)&lt;=$G39,INDEX(Adatok[[Előleg]:[Előleg]],_xlfn.AGGREGATE(15,3,(Adatok[[Ingatlanok]:[Ingatlanok]]=$H39)/(Adatok[[Ingatlanok]:[Ingatlanok]]=$H39)*(ROW(Adatok[[Ingatlanok]:[Ingatlanok]])-ROW(Adatok[[#Headers],[Ingatlanok]])),COLUMNS($J$25:J$25))),"")</f>
        <v>32000</v>
      </c>
      <c r="J93">
        <f>IF(COLUMNS($J$25:K$25)&lt;=$G39,INDEX(Adatok[[Előleg]:[Előleg]],_xlfn.AGGREGATE(15,3,(Adatok[[Ingatlanok]:[Ingatlanok]]=$H39)/(Adatok[[Ingatlanok]:[Ingatlanok]]=$H39)*(ROW(Adatok[[Ingatlanok]:[Ingatlanok]])-ROW(Adatok[[#Headers],[Ár]])),COLUMNS($J$25:K$25))),"")</f>
        <v>40000</v>
      </c>
      <c r="K93">
        <f>IF(COLUMNS($J$25:L$25)&lt;=$G39,INDEX(Adatok[[Előleg]:[Előleg]],_xlfn.AGGREGATE(15,3,(Adatok[[Ingatlanok]:[Ingatlanok]]=$H39)/(Adatok[[Ingatlanok]:[Ingatlanok]]=$H39)*(ROW(Adatok[[Ingatlanok]:[Ingatlanok]])-ROW(Adatok[[#Headers],[Letét, jelzálog]])),COLUMNS($J$25:L$25))),"")</f>
        <v>180000</v>
      </c>
      <c r="L93">
        <f>IF(COLUMNS($J$25:M$25)&lt;=$G39,INDEX(Adatok[[Előleg]:[Előleg]],_xlfn.AGGREGATE(15,3,(Adatok[[Ingatlanok]:[Ingatlanok]]=$H39)/(Adatok[[Ingatlanok]:[Ingatlanok]]=$H39)*(ROW(Adatok[[Ingatlanok]:[Ingatlanok]])-ROW(Adatok[[#Headers],[Előleg]])),COLUMNS($J$25:M$25))),"")</f>
        <v>40000</v>
      </c>
      <c r="M93" t="str">
        <f>IF(COLUMNS($J$25:N$25)&lt;=$G39,INDEX(Adatok[[Előleg]:[Előleg]],_xlfn.AGGREGATE(15,3,(Adatok[[Ingatlanok]:[Ingatlanok]]=$H39)/(Adatok[[Ingatlanok]:[Ingatlanok]]=$H39)*(ROW(Adatok[[Ingatlanok]:[Ingatlanok]])-ROW(Adatok[[#Headers],[Cashflow]])),COLUMNS($J$25:N$25))),"")</f>
        <v/>
      </c>
      <c r="N93" t="str">
        <f>IF(COLUMNS($J$25:O$25)&lt;=$G39,INDEX(Adatok[[Előleg]:[Előleg]],_xlfn.AGGREGATE(15,3,(Adatok[[Ingatlanok]:[Ingatlanok]]=$H39)/(Adatok[[Ingatlanok]:[Ingatlanok]]=$H39)*(ROW(Adatok[[Ingatlanok]:[Ingatlanok]])-ROW(Adatok[[#Headers],[Ingatlanok]])),COLUMNS($J$25:O$25))),"")</f>
        <v/>
      </c>
      <c r="O93" t="str">
        <f>IF(COLUMNS($J$25:P$25)&lt;=$G39,INDEX(Adatok[[Előleg]:[Előleg]],_xlfn.AGGREGATE(15,3,(Adatok[[Ingatlanok]:[Ingatlanok]]=$H39)/(Adatok[[Ingatlanok]:[Ingatlanok]]=$H39)*(ROW(Adatok[[Ingatlanok]:[Ingatlanok]])-ROW(Adatok[[#Headers],[Ár]])),COLUMNS($J$25:P$25))),"")</f>
        <v/>
      </c>
      <c r="P93" t="str">
        <f>IF(COLUMNS($J$25:Q$25)&lt;=$G39,INDEX(Adatok[[Előleg]:[Előleg]],_xlfn.AGGREGATE(15,3,(Adatok[[Ingatlanok]:[Ingatlanok]]=$H39)/(Adatok[[Ingatlanok]:[Ingatlanok]]=$H39)*(ROW(Adatok[[Ingatlanok]:[Ingatlanok]])-ROW(Adatok[[#Headers],[Letét, jelzálog]])),COLUMNS($J$25:Q$25))),"")</f>
        <v/>
      </c>
      <c r="Q93" t="str">
        <f>IF(COLUMNS($J$25:R$25)&lt;=$G39,INDEX(Adatok[[Előleg]:[Előleg]],_xlfn.AGGREGATE(15,3,(Adatok[[Ingatlanok]:[Ingatlanok]]=$H39)/(Adatok[[Ingatlanok]:[Ingatlanok]]=$H39)*(ROW(Adatok[[Ingatlanok]:[Ingatlanok]])-ROW(Adatok[[#Headers],[Előleg]])),COLUMNS($J$25:R$25))),"")</f>
        <v/>
      </c>
      <c r="R93" t="str">
        <f>IF(COLUMNS($J$25:S$25)&lt;=$G39,INDEX(Adatok[[Előleg]:[Előleg]],_xlfn.AGGREGATE(15,3,(Adatok[[Ingatlanok]:[Ingatlanok]]=$H39)/(Adatok[[Ingatlanok]:[Ingatlanok]]=$H39)*(ROW(Adatok[[Ingatlanok]:[Ingatlanok]])-ROW(Adatok[[#Headers],[Cashflow]])),COLUMNS($J$25:S$25))),"")</f>
        <v/>
      </c>
      <c r="S93" t="str">
        <f>IF(COLUMNS($J$25:T$25)&lt;=$G39,INDEX(Adatok[[Előleg]:[Előleg]],_xlfn.AGGREGATE(15,3,(Adatok[[Ingatlanok]:[Ingatlanok]]=$H39)/(Adatok[[Ingatlanok]:[Ingatlanok]]=$H39)*(ROW(Adatok[[Ingatlanok]:[Ingatlanok]])-ROW(Adatok[[#Headers],[Ingatlanok]])),COLUMNS($J$25:T$25))),"")</f>
        <v/>
      </c>
      <c r="T93" t="str">
        <f>IF(COLUMNS($J$25:U$25)&lt;=$G39,INDEX(Adatok[[Előleg]:[Előleg]],_xlfn.AGGREGATE(15,3,(Adatok[[Ingatlanok]:[Ingatlanok]]=$H39)/(Adatok[[Ingatlanok]:[Ingatlanok]]=$H39)*(ROW(Adatok[[Ingatlanok]:[Ingatlanok]])-ROW(Adatok[[#Headers],[Ár]])),COLUMNS($J$25:U$25))),"")</f>
        <v/>
      </c>
      <c r="U93" t="str">
        <f>IF(COLUMNS($J$25:V$25)&lt;=$G39,INDEX(Adatok[[Előleg]:[Előleg]],_xlfn.AGGREGATE(15,3,(Adatok[[Ingatlanok]:[Ingatlanok]]=$H39)/(Adatok[[Ingatlanok]:[Ingatlanok]]=$H39)*(ROW(Adatok[[Ingatlanok]:[Ingatlanok]])-ROW(Adatok[[#Headers],[Letét, jelzálog]])),COLUMNS($J$25:V$25))),"")</f>
        <v/>
      </c>
      <c r="V93" t="str">
        <f>IF(COLUMNS($J$25:W$25)&lt;=$G39,INDEX(Adatok[[Előleg]:[Előleg]],_xlfn.AGGREGATE(15,3,(Adatok[[Ingatlanok]:[Ingatlanok]]=$H39)/(Adatok[[Ingatlanok]:[Ingatlanok]]=$H39)*(ROW(Adatok[[Ingatlanok]:[Ingatlanok]])-ROW(Adatok[[#Headers],[Előleg]])),COLUMNS($J$25:W$25))),"")</f>
        <v/>
      </c>
      <c r="W93" t="str">
        <f>IF(COLUMNS($J$25:X$25)&lt;=$G39,INDEX(Adatok[[Előleg]:[Előleg]],_xlfn.AGGREGATE(15,3,(Adatok[[Ingatlanok]:[Ingatlanok]]=$H39)/(Adatok[[Ingatlanok]:[Ingatlanok]]=$H39)*(ROW(Adatok[[Ingatlanok]:[Ingatlanok]])-ROW(Adatok[[#Headers],[Cashflow]])),COLUMNS($J$25:X$25))),"")</f>
        <v/>
      </c>
      <c r="X93" t="str">
        <f>IF(COLUMNS($J$25:Y$25)&lt;=$G39,INDEX(Adatok[[Előleg]:[Előleg]],_xlfn.AGGREGATE(15,3,(Adatok[[Ingatlanok]:[Ingatlanok]]=$H39)/(Adatok[[Ingatlanok]:[Ingatlanok]]=$H39)*(ROW(Adatok[[Ingatlanok]:[Ingatlanok]])-ROW(Adatok[[#Headers],[Ingatlanok]])),COLUMNS($J$25:Y$25))),"")</f>
        <v/>
      </c>
      <c r="Y93" t="str">
        <f>IF(COLUMNS($J$25:Z$25)&lt;=$G39,INDEX(Adatok[[Előleg]:[Előleg]],_xlfn.AGGREGATE(15,3,(Adatok[[Ingatlanok]:[Ingatlanok]]=$H39)/(Adatok[[Ingatlanok]:[Ingatlanok]]=$H39)*(ROW(Adatok[[Ingatlanok]:[Ingatlanok]])-ROW(Adatok[[#Headers],[Ár]])),COLUMNS($J$25:Z$25))),"")</f>
        <v/>
      </c>
      <c r="Z93" t="str">
        <f>IF(COLUMNS($J$25:AA$25)&lt;=$G39,INDEX(Adatok[[Előleg]:[Előleg]],_xlfn.AGGREGATE(15,3,(Adatok[[Ingatlanok]:[Ingatlanok]]=$H39)/(Adatok[[Ingatlanok]:[Ingatlanok]]=$H39)*(ROW(Adatok[[Ingatlanok]:[Ingatlanok]])-ROW(Adatok[[#Headers],[Letét, jelzálog]])),COLUMNS($J$25:AA$25))),"")</f>
        <v/>
      </c>
      <c r="AA93" t="str">
        <f>IF(COLUMNS($J$25:AB$25)&lt;=$G39,INDEX(Adatok[[Előleg]:[Előleg]],_xlfn.AGGREGATE(15,3,(Adatok[[Ingatlanok]:[Ingatlanok]]=$H39)/(Adatok[[Ingatlanok]:[Ingatlanok]]=$H39)*(ROW(Adatok[[Ingatlanok]:[Ingatlanok]])-ROW(Adatok[[#Headers],[Előleg]])),COLUMNS($J$25:AB$25))),"")</f>
        <v/>
      </c>
      <c r="AB93" t="str">
        <f>IF(COLUMNS($J$25:AC$25)&lt;=$G39,INDEX(Adatok[[Előleg]:[Előleg]],_xlfn.AGGREGATE(15,3,(Adatok[[Ingatlanok]:[Ingatlanok]]=$H39)/(Adatok[[Ingatlanok]:[Ingatlanok]]=$H39)*(ROW(Adatok[[Ingatlanok]:[Ingatlanok]])-ROW(Adatok[[#Headers],[Cashflow]])),COLUMNS($J$25:AC$25))),"")</f>
        <v/>
      </c>
      <c r="AC93" t="str">
        <f>IF(COLUMNS($J$25:AD$25)&lt;=$G39,INDEX(Adatok[[Előleg]:[Előleg]],_xlfn.AGGREGATE(15,3,(Adatok[[Ingatlanok]:[Ingatlanok]]=$H39)/(Adatok[[Ingatlanok]:[Ingatlanok]]=$H39)*(ROW(Adatok[[Ingatlanok]:[Ingatlanok]])-ROW(Adatok[[#Headers],[Ingatlanok]])),COLUMNS($J$25:AD$25))),"")</f>
        <v/>
      </c>
      <c r="AD93" t="str">
        <f>IF(COLUMNS($J$25:AE$25)&lt;=$G39,INDEX(Adatok[[Előleg]:[Előleg]],_xlfn.AGGREGATE(15,3,(Adatok[[Ingatlanok]:[Ingatlanok]]=$H39)/(Adatok[[Ingatlanok]:[Ingatlanok]]=$H39)*(ROW(Adatok[[Ingatlanok]:[Ingatlanok]])-ROW(Adatok[[#Headers],[Ár]])),COLUMNS($J$25:AE$25))),"")</f>
        <v/>
      </c>
    </row>
    <row r="94" spans="1:30" x14ac:dyDescent="0.25">
      <c r="A94" t="s">
        <v>146</v>
      </c>
      <c r="B94">
        <v>75000</v>
      </c>
      <c r="G94">
        <f>COUNTIF(Adatok[Ingatlanok],H94)</f>
        <v>1</v>
      </c>
      <c r="H94" s="57" t="str">
        <f>INDEX(Adatok[Ingatlanok],MATCH(0,INDEX(COUNTIF($H$79:H93,Adatok[Ingatlanok]),),0))</f>
        <v>AUTÓMOSÓ</v>
      </c>
      <c r="I94">
        <f>IF(COLUMNS($J$25:J$25)&lt;=$G40,INDEX(Adatok[[Előleg]:[Előleg]],_xlfn.AGGREGATE(15,3,(Adatok[[Ingatlanok]:[Ingatlanok]]=$H40)/(Adatok[[Ingatlanok]:[Ingatlanok]]=$H40)*(ROW(Adatok[[Ingatlanok]:[Ingatlanok]])-ROW(Adatok[[#Headers],[Ingatlanok]])),COLUMNS($J$25:J$25))),"")</f>
        <v>50000</v>
      </c>
      <c r="J94" t="str">
        <f>IF(COLUMNS($J$25:K$25)&lt;=$G40,INDEX(Adatok[[Előleg]:[Előleg]],_xlfn.AGGREGATE(15,3,(Adatok[[Ingatlanok]:[Ingatlanok]]=$H40)/(Adatok[[Ingatlanok]:[Ingatlanok]]=$H40)*(ROW(Adatok[[Ingatlanok]:[Ingatlanok]])-ROW(Adatok[[#Headers],[Ár]])),COLUMNS($J$25:K$25))),"")</f>
        <v/>
      </c>
      <c r="K94" t="str">
        <f>IF(COLUMNS($J$25:L$25)&lt;=$G40,INDEX(Adatok[[Előleg]:[Előleg]],_xlfn.AGGREGATE(15,3,(Adatok[[Ingatlanok]:[Ingatlanok]]=$H40)/(Adatok[[Ingatlanok]:[Ingatlanok]]=$H40)*(ROW(Adatok[[Ingatlanok]:[Ingatlanok]])-ROW(Adatok[[#Headers],[Letét, jelzálog]])),COLUMNS($J$25:L$25))),"")</f>
        <v/>
      </c>
      <c r="L94" t="str">
        <f>IF(COLUMNS($J$25:M$25)&lt;=$G40,INDEX(Adatok[[Előleg]:[Előleg]],_xlfn.AGGREGATE(15,3,(Adatok[[Ingatlanok]:[Ingatlanok]]=$H40)/(Adatok[[Ingatlanok]:[Ingatlanok]]=$H40)*(ROW(Adatok[[Ingatlanok]:[Ingatlanok]])-ROW(Adatok[[#Headers],[Előleg]])),COLUMNS($J$25:M$25))),"")</f>
        <v/>
      </c>
      <c r="M94" t="str">
        <f>IF(COLUMNS($J$25:N$25)&lt;=$G40,INDEX(Adatok[[Előleg]:[Előleg]],_xlfn.AGGREGATE(15,3,(Adatok[[Ingatlanok]:[Ingatlanok]]=$H40)/(Adatok[[Ingatlanok]:[Ingatlanok]]=$H40)*(ROW(Adatok[[Ingatlanok]:[Ingatlanok]])-ROW(Adatok[[#Headers],[Cashflow]])),COLUMNS($J$25:N$25))),"")</f>
        <v/>
      </c>
      <c r="N94" t="str">
        <f>IF(COLUMNS($J$25:O$25)&lt;=$G40,INDEX(Adatok[[Előleg]:[Előleg]],_xlfn.AGGREGATE(15,3,(Adatok[[Ingatlanok]:[Ingatlanok]]=$H40)/(Adatok[[Ingatlanok]:[Ingatlanok]]=$H40)*(ROW(Adatok[[Ingatlanok]:[Ingatlanok]])-ROW(Adatok[[#Headers],[Ingatlanok]])),COLUMNS($J$25:O$25))),"")</f>
        <v/>
      </c>
      <c r="O94" t="str">
        <f>IF(COLUMNS($J$25:P$25)&lt;=$G40,INDEX(Adatok[[Előleg]:[Előleg]],_xlfn.AGGREGATE(15,3,(Adatok[[Ingatlanok]:[Ingatlanok]]=$H40)/(Adatok[[Ingatlanok]:[Ingatlanok]]=$H40)*(ROW(Adatok[[Ingatlanok]:[Ingatlanok]])-ROW(Adatok[[#Headers],[Ár]])),COLUMNS($J$25:P$25))),"")</f>
        <v/>
      </c>
      <c r="P94" t="str">
        <f>IF(COLUMNS($J$25:Q$25)&lt;=$G40,INDEX(Adatok[[Előleg]:[Előleg]],_xlfn.AGGREGATE(15,3,(Adatok[[Ingatlanok]:[Ingatlanok]]=$H40)/(Adatok[[Ingatlanok]:[Ingatlanok]]=$H40)*(ROW(Adatok[[Ingatlanok]:[Ingatlanok]])-ROW(Adatok[[#Headers],[Letét, jelzálog]])),COLUMNS($J$25:Q$25))),"")</f>
        <v/>
      </c>
      <c r="Q94" t="str">
        <f>IF(COLUMNS($J$25:R$25)&lt;=$G40,INDEX(Adatok[[Előleg]:[Előleg]],_xlfn.AGGREGATE(15,3,(Adatok[[Ingatlanok]:[Ingatlanok]]=$H40)/(Adatok[[Ingatlanok]:[Ingatlanok]]=$H40)*(ROW(Adatok[[Ingatlanok]:[Ingatlanok]])-ROW(Adatok[[#Headers],[Előleg]])),COLUMNS($J$25:R$25))),"")</f>
        <v/>
      </c>
      <c r="R94" t="str">
        <f>IF(COLUMNS($J$25:S$25)&lt;=$G40,INDEX(Adatok[[Előleg]:[Előleg]],_xlfn.AGGREGATE(15,3,(Adatok[[Ingatlanok]:[Ingatlanok]]=$H40)/(Adatok[[Ingatlanok]:[Ingatlanok]]=$H40)*(ROW(Adatok[[Ingatlanok]:[Ingatlanok]])-ROW(Adatok[[#Headers],[Cashflow]])),COLUMNS($J$25:S$25))),"")</f>
        <v/>
      </c>
      <c r="S94" t="str">
        <f>IF(COLUMNS($J$25:T$25)&lt;=$G40,INDEX(Adatok[[Előleg]:[Előleg]],_xlfn.AGGREGATE(15,3,(Adatok[[Ingatlanok]:[Ingatlanok]]=$H40)/(Adatok[[Ingatlanok]:[Ingatlanok]]=$H40)*(ROW(Adatok[[Ingatlanok]:[Ingatlanok]])-ROW(Adatok[[#Headers],[Ingatlanok]])),COLUMNS($J$25:T$25))),"")</f>
        <v/>
      </c>
      <c r="T94" t="str">
        <f>IF(COLUMNS($J$25:U$25)&lt;=$G40,INDEX(Adatok[[Előleg]:[Előleg]],_xlfn.AGGREGATE(15,3,(Adatok[[Ingatlanok]:[Ingatlanok]]=$H40)/(Adatok[[Ingatlanok]:[Ingatlanok]]=$H40)*(ROW(Adatok[[Ingatlanok]:[Ingatlanok]])-ROW(Adatok[[#Headers],[Ár]])),COLUMNS($J$25:U$25))),"")</f>
        <v/>
      </c>
      <c r="U94" t="str">
        <f>IF(COLUMNS($J$25:V$25)&lt;=$G40,INDEX(Adatok[[Előleg]:[Előleg]],_xlfn.AGGREGATE(15,3,(Adatok[[Ingatlanok]:[Ingatlanok]]=$H40)/(Adatok[[Ingatlanok]:[Ingatlanok]]=$H40)*(ROW(Adatok[[Ingatlanok]:[Ingatlanok]])-ROW(Adatok[[#Headers],[Letét, jelzálog]])),COLUMNS($J$25:V$25))),"")</f>
        <v/>
      </c>
      <c r="V94" t="str">
        <f>IF(COLUMNS($J$25:W$25)&lt;=$G40,INDEX(Adatok[[Előleg]:[Előleg]],_xlfn.AGGREGATE(15,3,(Adatok[[Ingatlanok]:[Ingatlanok]]=$H40)/(Adatok[[Ingatlanok]:[Ingatlanok]]=$H40)*(ROW(Adatok[[Ingatlanok]:[Ingatlanok]])-ROW(Adatok[[#Headers],[Előleg]])),COLUMNS($J$25:W$25))),"")</f>
        <v/>
      </c>
      <c r="W94" t="str">
        <f>IF(COLUMNS($J$25:X$25)&lt;=$G40,INDEX(Adatok[[Előleg]:[Előleg]],_xlfn.AGGREGATE(15,3,(Adatok[[Ingatlanok]:[Ingatlanok]]=$H40)/(Adatok[[Ingatlanok]:[Ingatlanok]]=$H40)*(ROW(Adatok[[Ingatlanok]:[Ingatlanok]])-ROW(Adatok[[#Headers],[Cashflow]])),COLUMNS($J$25:X$25))),"")</f>
        <v/>
      </c>
      <c r="X94" t="str">
        <f>IF(COLUMNS($J$25:Y$25)&lt;=$G40,INDEX(Adatok[[Előleg]:[Előleg]],_xlfn.AGGREGATE(15,3,(Adatok[[Ingatlanok]:[Ingatlanok]]=$H40)/(Adatok[[Ingatlanok]:[Ingatlanok]]=$H40)*(ROW(Adatok[[Ingatlanok]:[Ingatlanok]])-ROW(Adatok[[#Headers],[Ingatlanok]])),COLUMNS($J$25:Y$25))),"")</f>
        <v/>
      </c>
      <c r="Y94" t="str">
        <f>IF(COLUMNS($J$25:Z$25)&lt;=$G40,INDEX(Adatok[[Előleg]:[Előleg]],_xlfn.AGGREGATE(15,3,(Adatok[[Ingatlanok]:[Ingatlanok]]=$H40)/(Adatok[[Ingatlanok]:[Ingatlanok]]=$H40)*(ROW(Adatok[[Ingatlanok]:[Ingatlanok]])-ROW(Adatok[[#Headers],[Ár]])),COLUMNS($J$25:Z$25))),"")</f>
        <v/>
      </c>
      <c r="Z94" t="str">
        <f>IF(COLUMNS($J$25:AA$25)&lt;=$G40,INDEX(Adatok[[Előleg]:[Előleg]],_xlfn.AGGREGATE(15,3,(Adatok[[Ingatlanok]:[Ingatlanok]]=$H40)/(Adatok[[Ingatlanok]:[Ingatlanok]]=$H40)*(ROW(Adatok[[Ingatlanok]:[Ingatlanok]])-ROW(Adatok[[#Headers],[Letét, jelzálog]])),COLUMNS($J$25:AA$25))),"")</f>
        <v/>
      </c>
      <c r="AA94" t="str">
        <f>IF(COLUMNS($J$25:AB$25)&lt;=$G40,INDEX(Adatok[[Előleg]:[Előleg]],_xlfn.AGGREGATE(15,3,(Adatok[[Ingatlanok]:[Ingatlanok]]=$H40)/(Adatok[[Ingatlanok]:[Ingatlanok]]=$H40)*(ROW(Adatok[[Ingatlanok]:[Ingatlanok]])-ROW(Adatok[[#Headers],[Előleg]])),COLUMNS($J$25:AB$25))),"")</f>
        <v/>
      </c>
      <c r="AB94" t="str">
        <f>IF(COLUMNS($J$25:AC$25)&lt;=$G40,INDEX(Adatok[[Előleg]:[Előleg]],_xlfn.AGGREGATE(15,3,(Adatok[[Ingatlanok]:[Ingatlanok]]=$H40)/(Adatok[[Ingatlanok]:[Ingatlanok]]=$H40)*(ROW(Adatok[[Ingatlanok]:[Ingatlanok]])-ROW(Adatok[[#Headers],[Cashflow]])),COLUMNS($J$25:AC$25))),"")</f>
        <v/>
      </c>
      <c r="AC94" t="str">
        <f>IF(COLUMNS($J$25:AD$25)&lt;=$G40,INDEX(Adatok[[Előleg]:[Előleg]],_xlfn.AGGREGATE(15,3,(Adatok[[Ingatlanok]:[Ingatlanok]]=$H40)/(Adatok[[Ingatlanok]:[Ingatlanok]]=$H40)*(ROW(Adatok[[Ingatlanok]:[Ingatlanok]])-ROW(Adatok[[#Headers],[Ingatlanok]])),COLUMNS($J$25:AD$25))),"")</f>
        <v/>
      </c>
      <c r="AD94" t="str">
        <f>IF(COLUMNS($J$25:AE$25)&lt;=$G40,INDEX(Adatok[[Előleg]:[Előleg]],_xlfn.AGGREGATE(15,3,(Adatok[[Ingatlanok]:[Ingatlanok]]=$H40)/(Adatok[[Ingatlanok]:[Ingatlanok]]=$H40)*(ROW(Adatok[[Ingatlanok]:[Ingatlanok]])-ROW(Adatok[[#Headers],[Ár]])),COLUMNS($J$25:AE$25))),"")</f>
        <v/>
      </c>
    </row>
    <row r="95" spans="1:30" x14ac:dyDescent="0.25">
      <c r="A95" t="s">
        <v>147</v>
      </c>
      <c r="B95">
        <v>8000</v>
      </c>
      <c r="G95">
        <f>COUNTIF(Adatok[Ingatlanok],H95)</f>
        <v>3</v>
      </c>
      <c r="H95" s="57" t="str">
        <f>INDEX(Adatok[Ingatlanok],MATCH(0,INDEX(COUNTIF($H$79:H94,Adatok[Ingatlanok]),),0))</f>
        <v>APARTMAN HÁZ</v>
      </c>
      <c r="I95">
        <f>IF(COLUMNS($J$25:J$25)&lt;=$G41,INDEX(Adatok[[Előleg]:[Előleg]],_xlfn.AGGREGATE(15,3,(Adatok[[Ingatlanok]:[Ingatlanok]]=$H41)/(Adatok[[Ingatlanok]:[Ingatlanok]]=$H41)*(ROW(Adatok[[Ingatlanok]:[Ingatlanok]])-ROW(Adatok[[#Headers],[Ingatlanok]])),COLUMNS($J$25:J$25))),"")</f>
        <v>50000</v>
      </c>
      <c r="J95">
        <f>IF(COLUMNS($J$25:K$25)&lt;=$G41,INDEX(Adatok[[Előleg]:[Előleg]],_xlfn.AGGREGATE(15,3,(Adatok[[Ingatlanok]:[Ingatlanok]]=$H41)/(Adatok[[Ingatlanok]:[Ingatlanok]]=$H41)*(ROW(Adatok[[Ingatlanok]:[Ingatlanok]])-ROW(Adatok[[#Headers],[Ár]])),COLUMNS($J$25:K$25))),"")</f>
        <v>50000</v>
      </c>
      <c r="K95">
        <f>IF(COLUMNS($J$25:L$25)&lt;=$G41,INDEX(Adatok[[Előleg]:[Előleg]],_xlfn.AGGREGATE(15,3,(Adatok[[Ingatlanok]:[Ingatlanok]]=$H41)/(Adatok[[Ingatlanok]:[Ingatlanok]]=$H41)*(ROW(Adatok[[Ingatlanok]:[Ingatlanok]])-ROW(Adatok[[#Headers],[Letét, jelzálog]])),COLUMNS($J$25:L$25))),"")</f>
        <v>75000</v>
      </c>
      <c r="L95" t="str">
        <f>IF(COLUMNS($J$25:M$25)&lt;=$G41,INDEX(Adatok[[Előleg]:[Előleg]],_xlfn.AGGREGATE(15,3,(Adatok[[Ingatlanok]:[Ingatlanok]]=$H41)/(Adatok[[Ingatlanok]:[Ingatlanok]]=$H41)*(ROW(Adatok[[Ingatlanok]:[Ingatlanok]])-ROW(Adatok[[#Headers],[Előleg]])),COLUMNS($J$25:M$25))),"")</f>
        <v/>
      </c>
      <c r="M95" t="str">
        <f>IF(COLUMNS($J$25:N$25)&lt;=$G41,INDEX(Adatok[[Előleg]:[Előleg]],_xlfn.AGGREGATE(15,3,(Adatok[[Ingatlanok]:[Ingatlanok]]=$H41)/(Adatok[[Ingatlanok]:[Ingatlanok]]=$H41)*(ROW(Adatok[[Ingatlanok]:[Ingatlanok]])-ROW(Adatok[[#Headers],[Cashflow]])),COLUMNS($J$25:N$25))),"")</f>
        <v/>
      </c>
      <c r="N95" t="str">
        <f>IF(COLUMNS($J$25:O$25)&lt;=$G41,INDEX(Adatok[[Előleg]:[Előleg]],_xlfn.AGGREGATE(15,3,(Adatok[[Ingatlanok]:[Ingatlanok]]=$H41)/(Adatok[[Ingatlanok]:[Ingatlanok]]=$H41)*(ROW(Adatok[[Ingatlanok]:[Ingatlanok]])-ROW(Adatok[[#Headers],[Ingatlanok]])),COLUMNS($J$25:O$25))),"")</f>
        <v/>
      </c>
      <c r="O95" t="str">
        <f>IF(COLUMNS($J$25:P$25)&lt;=$G41,INDEX(Adatok[[Előleg]:[Előleg]],_xlfn.AGGREGATE(15,3,(Adatok[[Ingatlanok]:[Ingatlanok]]=$H41)/(Adatok[[Ingatlanok]:[Ingatlanok]]=$H41)*(ROW(Adatok[[Ingatlanok]:[Ingatlanok]])-ROW(Adatok[[#Headers],[Ár]])),COLUMNS($J$25:P$25))),"")</f>
        <v/>
      </c>
      <c r="P95" t="str">
        <f>IF(COLUMNS($J$25:Q$25)&lt;=$G41,INDEX(Adatok[[Előleg]:[Előleg]],_xlfn.AGGREGATE(15,3,(Adatok[[Ingatlanok]:[Ingatlanok]]=$H41)/(Adatok[[Ingatlanok]:[Ingatlanok]]=$H41)*(ROW(Adatok[[Ingatlanok]:[Ingatlanok]])-ROW(Adatok[[#Headers],[Letét, jelzálog]])),COLUMNS($J$25:Q$25))),"")</f>
        <v/>
      </c>
      <c r="Q95" t="str">
        <f>IF(COLUMNS($J$25:R$25)&lt;=$G41,INDEX(Adatok[[Előleg]:[Előleg]],_xlfn.AGGREGATE(15,3,(Adatok[[Ingatlanok]:[Ingatlanok]]=$H41)/(Adatok[[Ingatlanok]:[Ingatlanok]]=$H41)*(ROW(Adatok[[Ingatlanok]:[Ingatlanok]])-ROW(Adatok[[#Headers],[Előleg]])),COLUMNS($J$25:R$25))),"")</f>
        <v/>
      </c>
      <c r="R95" t="str">
        <f>IF(COLUMNS($J$25:S$25)&lt;=$G41,INDEX(Adatok[[Előleg]:[Előleg]],_xlfn.AGGREGATE(15,3,(Adatok[[Ingatlanok]:[Ingatlanok]]=$H41)/(Adatok[[Ingatlanok]:[Ingatlanok]]=$H41)*(ROW(Adatok[[Ingatlanok]:[Ingatlanok]])-ROW(Adatok[[#Headers],[Cashflow]])),COLUMNS($J$25:S$25))),"")</f>
        <v/>
      </c>
      <c r="S95" t="str">
        <f>IF(COLUMNS($J$25:T$25)&lt;=$G41,INDEX(Adatok[[Előleg]:[Előleg]],_xlfn.AGGREGATE(15,3,(Adatok[[Ingatlanok]:[Ingatlanok]]=$H41)/(Adatok[[Ingatlanok]:[Ingatlanok]]=$H41)*(ROW(Adatok[[Ingatlanok]:[Ingatlanok]])-ROW(Adatok[[#Headers],[Ingatlanok]])),COLUMNS($J$25:T$25))),"")</f>
        <v/>
      </c>
      <c r="T95" t="str">
        <f>IF(COLUMNS($J$25:U$25)&lt;=$G41,INDEX(Adatok[[Előleg]:[Előleg]],_xlfn.AGGREGATE(15,3,(Adatok[[Ingatlanok]:[Ingatlanok]]=$H41)/(Adatok[[Ingatlanok]:[Ingatlanok]]=$H41)*(ROW(Adatok[[Ingatlanok]:[Ingatlanok]])-ROW(Adatok[[#Headers],[Ár]])),COLUMNS($J$25:U$25))),"")</f>
        <v/>
      </c>
      <c r="U95" t="str">
        <f>IF(COLUMNS($J$25:V$25)&lt;=$G41,INDEX(Adatok[[Előleg]:[Előleg]],_xlfn.AGGREGATE(15,3,(Adatok[[Ingatlanok]:[Ingatlanok]]=$H41)/(Adatok[[Ingatlanok]:[Ingatlanok]]=$H41)*(ROW(Adatok[[Ingatlanok]:[Ingatlanok]])-ROW(Adatok[[#Headers],[Letét, jelzálog]])),COLUMNS($J$25:V$25))),"")</f>
        <v/>
      </c>
      <c r="V95" t="str">
        <f>IF(COLUMNS($J$25:W$25)&lt;=$G41,INDEX(Adatok[[Előleg]:[Előleg]],_xlfn.AGGREGATE(15,3,(Adatok[[Ingatlanok]:[Ingatlanok]]=$H41)/(Adatok[[Ingatlanok]:[Ingatlanok]]=$H41)*(ROW(Adatok[[Ingatlanok]:[Ingatlanok]])-ROW(Adatok[[#Headers],[Előleg]])),COLUMNS($J$25:W$25))),"")</f>
        <v/>
      </c>
      <c r="W95" t="str">
        <f>IF(COLUMNS($J$25:X$25)&lt;=$G41,INDEX(Adatok[[Előleg]:[Előleg]],_xlfn.AGGREGATE(15,3,(Adatok[[Ingatlanok]:[Ingatlanok]]=$H41)/(Adatok[[Ingatlanok]:[Ingatlanok]]=$H41)*(ROW(Adatok[[Ingatlanok]:[Ingatlanok]])-ROW(Adatok[[#Headers],[Cashflow]])),COLUMNS($J$25:X$25))),"")</f>
        <v/>
      </c>
      <c r="X95" t="str">
        <f>IF(COLUMNS($J$25:Y$25)&lt;=$G41,INDEX(Adatok[[Előleg]:[Előleg]],_xlfn.AGGREGATE(15,3,(Adatok[[Ingatlanok]:[Ingatlanok]]=$H41)/(Adatok[[Ingatlanok]:[Ingatlanok]]=$H41)*(ROW(Adatok[[Ingatlanok]:[Ingatlanok]])-ROW(Adatok[[#Headers],[Ingatlanok]])),COLUMNS($J$25:Y$25))),"")</f>
        <v/>
      </c>
      <c r="Y95" t="str">
        <f>IF(COLUMNS($J$25:Z$25)&lt;=$G41,INDEX(Adatok[[Előleg]:[Előleg]],_xlfn.AGGREGATE(15,3,(Adatok[[Ingatlanok]:[Ingatlanok]]=$H41)/(Adatok[[Ingatlanok]:[Ingatlanok]]=$H41)*(ROW(Adatok[[Ingatlanok]:[Ingatlanok]])-ROW(Adatok[[#Headers],[Ár]])),COLUMNS($J$25:Z$25))),"")</f>
        <v/>
      </c>
      <c r="Z95" t="str">
        <f>IF(COLUMNS($J$25:AA$25)&lt;=$G41,INDEX(Adatok[[Előleg]:[Előleg]],_xlfn.AGGREGATE(15,3,(Adatok[[Ingatlanok]:[Ingatlanok]]=$H41)/(Adatok[[Ingatlanok]:[Ingatlanok]]=$H41)*(ROW(Adatok[[Ingatlanok]:[Ingatlanok]])-ROW(Adatok[[#Headers],[Letét, jelzálog]])),COLUMNS($J$25:AA$25))),"")</f>
        <v/>
      </c>
      <c r="AA95" t="str">
        <f>IF(COLUMNS($J$25:AB$25)&lt;=$G41,INDEX(Adatok[[Előleg]:[Előleg]],_xlfn.AGGREGATE(15,3,(Adatok[[Ingatlanok]:[Ingatlanok]]=$H41)/(Adatok[[Ingatlanok]:[Ingatlanok]]=$H41)*(ROW(Adatok[[Ingatlanok]:[Ingatlanok]])-ROW(Adatok[[#Headers],[Előleg]])),COLUMNS($J$25:AB$25))),"")</f>
        <v/>
      </c>
      <c r="AB95" t="str">
        <f>IF(COLUMNS($J$25:AC$25)&lt;=$G41,INDEX(Adatok[[Előleg]:[Előleg]],_xlfn.AGGREGATE(15,3,(Adatok[[Ingatlanok]:[Ingatlanok]]=$H41)/(Adatok[[Ingatlanok]:[Ingatlanok]]=$H41)*(ROW(Adatok[[Ingatlanok]:[Ingatlanok]])-ROW(Adatok[[#Headers],[Cashflow]])),COLUMNS($J$25:AC$25))),"")</f>
        <v/>
      </c>
      <c r="AC95" t="str">
        <f>IF(COLUMNS($J$25:AD$25)&lt;=$G41,INDEX(Adatok[[Előleg]:[Előleg]],_xlfn.AGGREGATE(15,3,(Adatok[[Ingatlanok]:[Ingatlanok]]=$H41)/(Adatok[[Ingatlanok]:[Ingatlanok]]=$H41)*(ROW(Adatok[[Ingatlanok]:[Ingatlanok]])-ROW(Adatok[[#Headers],[Ingatlanok]])),COLUMNS($J$25:AD$25))),"")</f>
        <v/>
      </c>
      <c r="AD95" t="str">
        <f>IF(COLUMNS($J$25:AE$25)&lt;=$G41,INDEX(Adatok[[Előleg]:[Előleg]],_xlfn.AGGREGATE(15,3,(Adatok[[Ingatlanok]:[Ingatlanok]]=$H41)/(Adatok[[Ingatlanok]:[Ingatlanok]]=$H41)*(ROW(Adatok[[Ingatlanok]:[Ingatlanok]])-ROW(Adatok[[#Headers],[Ár]])),COLUMNS($J$25:AE$25))),"")</f>
        <v/>
      </c>
    </row>
    <row r="96" spans="1:30" x14ac:dyDescent="0.25">
      <c r="A96" t="s">
        <v>148</v>
      </c>
      <c r="B96">
        <v>8000</v>
      </c>
      <c r="G96">
        <f>COUNTIF(Adatok[Ingatlanok],H96)</f>
        <v>1</v>
      </c>
      <c r="H96" s="57" t="str">
        <f>INDEX(Adatok[Ingatlanok],MATCH(0,INDEX(COUNTIF($H$79:H95,Adatok[Ingatlanok]),),0))</f>
        <v>PIZZA FRANCHISE</v>
      </c>
      <c r="I96">
        <f>IF(COLUMNS($J$25:J$25)&lt;=$G42,INDEX(Adatok[[Előleg]:[Előleg]],_xlfn.AGGREGATE(15,3,(Adatok[[Ingatlanok]:[Ingatlanok]]=$H42)/(Adatok[[Ingatlanok]:[Ingatlanok]]=$H42)*(ROW(Adatok[[Ingatlanok]:[Ingatlanok]])-ROW(Adatok[[#Headers],[Ingatlanok]])),COLUMNS($J$25:J$25))),"")</f>
        <v>100000</v>
      </c>
      <c r="J96" t="str">
        <f>IF(COLUMNS($J$25:K$25)&lt;=$G42,INDEX(Adatok[[Előleg]:[Előleg]],_xlfn.AGGREGATE(15,3,(Adatok[[Ingatlanok]:[Ingatlanok]]=$H42)/(Adatok[[Ingatlanok]:[Ingatlanok]]=$H42)*(ROW(Adatok[[Ingatlanok]:[Ingatlanok]])-ROW(Adatok[[#Headers],[Ár]])),COLUMNS($J$25:K$25))),"")</f>
        <v/>
      </c>
      <c r="K96" t="str">
        <f>IF(COLUMNS($J$25:L$25)&lt;=$G42,INDEX(Adatok[[Előleg]:[Előleg]],_xlfn.AGGREGATE(15,3,(Adatok[[Ingatlanok]:[Ingatlanok]]=$H42)/(Adatok[[Ingatlanok]:[Ingatlanok]]=$H42)*(ROW(Adatok[[Ingatlanok]:[Ingatlanok]])-ROW(Adatok[[#Headers],[Letét, jelzálog]])),COLUMNS($J$25:L$25))),"")</f>
        <v/>
      </c>
      <c r="L96" t="str">
        <f>IF(COLUMNS($J$25:M$25)&lt;=$G42,INDEX(Adatok[[Előleg]:[Előleg]],_xlfn.AGGREGATE(15,3,(Adatok[[Ingatlanok]:[Ingatlanok]]=$H42)/(Adatok[[Ingatlanok]:[Ingatlanok]]=$H42)*(ROW(Adatok[[Ingatlanok]:[Ingatlanok]])-ROW(Adatok[[#Headers],[Előleg]])),COLUMNS($J$25:M$25))),"")</f>
        <v/>
      </c>
      <c r="M96" t="str">
        <f>IF(COLUMNS($J$25:N$25)&lt;=$G42,INDEX(Adatok[[Előleg]:[Előleg]],_xlfn.AGGREGATE(15,3,(Adatok[[Ingatlanok]:[Ingatlanok]]=$H42)/(Adatok[[Ingatlanok]:[Ingatlanok]]=$H42)*(ROW(Adatok[[Ingatlanok]:[Ingatlanok]])-ROW(Adatok[[#Headers],[Cashflow]])),COLUMNS($J$25:N$25))),"")</f>
        <v/>
      </c>
      <c r="N96" t="str">
        <f>IF(COLUMNS($J$25:O$25)&lt;=$G42,INDEX(Adatok[[Előleg]:[Előleg]],_xlfn.AGGREGATE(15,3,(Adatok[[Ingatlanok]:[Ingatlanok]]=$H42)/(Adatok[[Ingatlanok]:[Ingatlanok]]=$H42)*(ROW(Adatok[[Ingatlanok]:[Ingatlanok]])-ROW(Adatok[[#Headers],[Ingatlanok]])),COLUMNS($J$25:O$25))),"")</f>
        <v/>
      </c>
      <c r="O96" t="str">
        <f>IF(COLUMNS($J$25:P$25)&lt;=$G42,INDEX(Adatok[[Előleg]:[Előleg]],_xlfn.AGGREGATE(15,3,(Adatok[[Ingatlanok]:[Ingatlanok]]=$H42)/(Adatok[[Ingatlanok]:[Ingatlanok]]=$H42)*(ROW(Adatok[[Ingatlanok]:[Ingatlanok]])-ROW(Adatok[[#Headers],[Ár]])),COLUMNS($J$25:P$25))),"")</f>
        <v/>
      </c>
      <c r="P96" t="str">
        <f>IF(COLUMNS($J$25:Q$25)&lt;=$G42,INDEX(Adatok[[Előleg]:[Előleg]],_xlfn.AGGREGATE(15,3,(Adatok[[Ingatlanok]:[Ingatlanok]]=$H42)/(Adatok[[Ingatlanok]:[Ingatlanok]]=$H42)*(ROW(Adatok[[Ingatlanok]:[Ingatlanok]])-ROW(Adatok[[#Headers],[Letét, jelzálog]])),COLUMNS($J$25:Q$25))),"")</f>
        <v/>
      </c>
      <c r="Q96" t="str">
        <f>IF(COLUMNS($J$25:R$25)&lt;=$G42,INDEX(Adatok[[Előleg]:[Előleg]],_xlfn.AGGREGATE(15,3,(Adatok[[Ingatlanok]:[Ingatlanok]]=$H42)/(Adatok[[Ingatlanok]:[Ingatlanok]]=$H42)*(ROW(Adatok[[Ingatlanok]:[Ingatlanok]])-ROW(Adatok[[#Headers],[Előleg]])),COLUMNS($J$25:R$25))),"")</f>
        <v/>
      </c>
      <c r="R96" t="str">
        <f>IF(COLUMNS($J$25:S$25)&lt;=$G42,INDEX(Adatok[[Előleg]:[Előleg]],_xlfn.AGGREGATE(15,3,(Adatok[[Ingatlanok]:[Ingatlanok]]=$H42)/(Adatok[[Ingatlanok]:[Ingatlanok]]=$H42)*(ROW(Adatok[[Ingatlanok]:[Ingatlanok]])-ROW(Adatok[[#Headers],[Cashflow]])),COLUMNS($J$25:S$25))),"")</f>
        <v/>
      </c>
      <c r="S96" t="str">
        <f>IF(COLUMNS($J$25:T$25)&lt;=$G42,INDEX(Adatok[[Előleg]:[Előleg]],_xlfn.AGGREGATE(15,3,(Adatok[[Ingatlanok]:[Ingatlanok]]=$H42)/(Adatok[[Ingatlanok]:[Ingatlanok]]=$H42)*(ROW(Adatok[[Ingatlanok]:[Ingatlanok]])-ROW(Adatok[[#Headers],[Ingatlanok]])),COLUMNS($J$25:T$25))),"")</f>
        <v/>
      </c>
      <c r="T96" t="str">
        <f>IF(COLUMNS($J$25:U$25)&lt;=$G42,INDEX(Adatok[[Előleg]:[Előleg]],_xlfn.AGGREGATE(15,3,(Adatok[[Ingatlanok]:[Ingatlanok]]=$H42)/(Adatok[[Ingatlanok]:[Ingatlanok]]=$H42)*(ROW(Adatok[[Ingatlanok]:[Ingatlanok]])-ROW(Adatok[[#Headers],[Ár]])),COLUMNS($J$25:U$25))),"")</f>
        <v/>
      </c>
      <c r="U96" t="str">
        <f>IF(COLUMNS($J$25:V$25)&lt;=$G42,INDEX(Adatok[[Előleg]:[Előleg]],_xlfn.AGGREGATE(15,3,(Adatok[[Ingatlanok]:[Ingatlanok]]=$H42)/(Adatok[[Ingatlanok]:[Ingatlanok]]=$H42)*(ROW(Adatok[[Ingatlanok]:[Ingatlanok]])-ROW(Adatok[[#Headers],[Letét, jelzálog]])),COLUMNS($J$25:V$25))),"")</f>
        <v/>
      </c>
      <c r="V96" t="str">
        <f>IF(COLUMNS($J$25:W$25)&lt;=$G42,INDEX(Adatok[[Előleg]:[Előleg]],_xlfn.AGGREGATE(15,3,(Adatok[[Ingatlanok]:[Ingatlanok]]=$H42)/(Adatok[[Ingatlanok]:[Ingatlanok]]=$H42)*(ROW(Adatok[[Ingatlanok]:[Ingatlanok]])-ROW(Adatok[[#Headers],[Előleg]])),COLUMNS($J$25:W$25))),"")</f>
        <v/>
      </c>
      <c r="W96" t="str">
        <f>IF(COLUMNS($J$25:X$25)&lt;=$G42,INDEX(Adatok[[Előleg]:[Előleg]],_xlfn.AGGREGATE(15,3,(Adatok[[Ingatlanok]:[Ingatlanok]]=$H42)/(Adatok[[Ingatlanok]:[Ingatlanok]]=$H42)*(ROW(Adatok[[Ingatlanok]:[Ingatlanok]])-ROW(Adatok[[#Headers],[Cashflow]])),COLUMNS($J$25:X$25))),"")</f>
        <v/>
      </c>
      <c r="X96" t="str">
        <f>IF(COLUMNS($J$25:Y$25)&lt;=$G42,INDEX(Adatok[[Előleg]:[Előleg]],_xlfn.AGGREGATE(15,3,(Adatok[[Ingatlanok]:[Ingatlanok]]=$H42)/(Adatok[[Ingatlanok]:[Ingatlanok]]=$H42)*(ROW(Adatok[[Ingatlanok]:[Ingatlanok]])-ROW(Adatok[[#Headers],[Ingatlanok]])),COLUMNS($J$25:Y$25))),"")</f>
        <v/>
      </c>
      <c r="Y96" t="str">
        <f>IF(COLUMNS($J$25:Z$25)&lt;=$G42,INDEX(Adatok[[Előleg]:[Előleg]],_xlfn.AGGREGATE(15,3,(Adatok[[Ingatlanok]:[Ingatlanok]]=$H42)/(Adatok[[Ingatlanok]:[Ingatlanok]]=$H42)*(ROW(Adatok[[Ingatlanok]:[Ingatlanok]])-ROW(Adatok[[#Headers],[Ár]])),COLUMNS($J$25:Z$25))),"")</f>
        <v/>
      </c>
      <c r="Z96" t="str">
        <f>IF(COLUMNS($J$25:AA$25)&lt;=$G42,INDEX(Adatok[[Előleg]:[Előleg]],_xlfn.AGGREGATE(15,3,(Adatok[[Ingatlanok]:[Ingatlanok]]=$H42)/(Adatok[[Ingatlanok]:[Ingatlanok]]=$H42)*(ROW(Adatok[[Ingatlanok]:[Ingatlanok]])-ROW(Adatok[[#Headers],[Letét, jelzálog]])),COLUMNS($J$25:AA$25))),"")</f>
        <v/>
      </c>
      <c r="AA96" t="str">
        <f>IF(COLUMNS($J$25:AB$25)&lt;=$G42,INDEX(Adatok[[Előleg]:[Előleg]],_xlfn.AGGREGATE(15,3,(Adatok[[Ingatlanok]:[Ingatlanok]]=$H42)/(Adatok[[Ingatlanok]:[Ingatlanok]]=$H42)*(ROW(Adatok[[Ingatlanok]:[Ingatlanok]])-ROW(Adatok[[#Headers],[Előleg]])),COLUMNS($J$25:AB$25))),"")</f>
        <v/>
      </c>
      <c r="AB96" t="str">
        <f>IF(COLUMNS($J$25:AC$25)&lt;=$G42,INDEX(Adatok[[Előleg]:[Előleg]],_xlfn.AGGREGATE(15,3,(Adatok[[Ingatlanok]:[Ingatlanok]]=$H42)/(Adatok[[Ingatlanok]:[Ingatlanok]]=$H42)*(ROW(Adatok[[Ingatlanok]:[Ingatlanok]])-ROW(Adatok[[#Headers],[Cashflow]])),COLUMNS($J$25:AC$25))),"")</f>
        <v/>
      </c>
      <c r="AC96" t="str">
        <f>IF(COLUMNS($J$25:AD$25)&lt;=$G42,INDEX(Adatok[[Előleg]:[Előleg]],_xlfn.AGGREGATE(15,3,(Adatok[[Ingatlanok]:[Ingatlanok]]=$H42)/(Adatok[[Ingatlanok]:[Ingatlanok]]=$H42)*(ROW(Adatok[[Ingatlanok]:[Ingatlanok]])-ROW(Adatok[[#Headers],[Ingatlanok]])),COLUMNS($J$25:AD$25))),"")</f>
        <v/>
      </c>
      <c r="AD96" t="str">
        <f>IF(COLUMNS($J$25:AE$25)&lt;=$G42,INDEX(Adatok[[Előleg]:[Előleg]],_xlfn.AGGREGATE(15,3,(Adatok[[Ingatlanok]:[Ingatlanok]]=$H42)/(Adatok[[Ingatlanok]:[Ingatlanok]]=$H42)*(ROW(Adatok[[Ingatlanok]:[Ingatlanok]])-ROW(Adatok[[#Headers],[Ár]])),COLUMNS($J$25:AE$25))),"")</f>
        <v/>
      </c>
    </row>
    <row r="97" spans="1:30" x14ac:dyDescent="0.25">
      <c r="A97" t="s">
        <v>149</v>
      </c>
      <c r="B97">
        <v>7000</v>
      </c>
      <c r="G97">
        <f>COUNTIF(Adatok[Ingatlanok],H97)</f>
        <v>1</v>
      </c>
      <c r="H97" s="57" t="str">
        <f>INDEX(Adatok[Ingatlanok],MATCH(0,INDEX(COUNTIF($H$79:H96,Adatok[Ingatlanok]),),0))</f>
        <v>APARTMAN KOMPLEXUM</v>
      </c>
      <c r="I97">
        <f>IF(COLUMNS($J$25:J$25)&lt;=$G43,INDEX(Adatok[[Előleg]:[Előleg]],_xlfn.AGGREGATE(15,3,(Adatok[[Ingatlanok]:[Ingatlanok]]=$H43)/(Adatok[[Ingatlanok]:[Ingatlanok]]=$H43)*(ROW(Adatok[[Ingatlanok]:[Ingatlanok]])-ROW(Adatok[[#Headers],[Ingatlanok]])),COLUMNS($J$25:J$25))),"")</f>
        <v>200000</v>
      </c>
      <c r="J97" t="str">
        <f>IF(COLUMNS($J$25:K$25)&lt;=$G43,INDEX(Adatok[[Előleg]:[Előleg]],_xlfn.AGGREGATE(15,3,(Adatok[[Ingatlanok]:[Ingatlanok]]=$H43)/(Adatok[[Ingatlanok]:[Ingatlanok]]=$H43)*(ROW(Adatok[[Ingatlanok]:[Ingatlanok]])-ROW(Adatok[[#Headers],[Ár]])),COLUMNS($J$25:K$25))),"")</f>
        <v/>
      </c>
      <c r="K97" t="str">
        <f>IF(COLUMNS($J$25:L$25)&lt;=$G43,INDEX(Adatok[[Előleg]:[Előleg]],_xlfn.AGGREGATE(15,3,(Adatok[[Ingatlanok]:[Ingatlanok]]=$H43)/(Adatok[[Ingatlanok]:[Ingatlanok]]=$H43)*(ROW(Adatok[[Ingatlanok]:[Ingatlanok]])-ROW(Adatok[[#Headers],[Letét, jelzálog]])),COLUMNS($J$25:L$25))),"")</f>
        <v/>
      </c>
      <c r="L97" t="str">
        <f>IF(COLUMNS($J$25:M$25)&lt;=$G43,INDEX(Adatok[[Előleg]:[Előleg]],_xlfn.AGGREGATE(15,3,(Adatok[[Ingatlanok]:[Ingatlanok]]=$H43)/(Adatok[[Ingatlanok]:[Ingatlanok]]=$H43)*(ROW(Adatok[[Ingatlanok]:[Ingatlanok]])-ROW(Adatok[[#Headers],[Előleg]])),COLUMNS($J$25:M$25))),"")</f>
        <v/>
      </c>
      <c r="M97" t="str">
        <f>IF(COLUMNS($J$25:N$25)&lt;=$G43,INDEX(Adatok[[Előleg]:[Előleg]],_xlfn.AGGREGATE(15,3,(Adatok[[Ingatlanok]:[Ingatlanok]]=$H43)/(Adatok[[Ingatlanok]:[Ingatlanok]]=$H43)*(ROW(Adatok[[Ingatlanok]:[Ingatlanok]])-ROW(Adatok[[#Headers],[Cashflow]])),COLUMNS($J$25:N$25))),"")</f>
        <v/>
      </c>
      <c r="N97" t="str">
        <f>IF(COLUMNS($J$25:O$25)&lt;=$G43,INDEX(Adatok[[Előleg]:[Előleg]],_xlfn.AGGREGATE(15,3,(Adatok[[Ingatlanok]:[Ingatlanok]]=$H43)/(Adatok[[Ingatlanok]:[Ingatlanok]]=$H43)*(ROW(Adatok[[Ingatlanok]:[Ingatlanok]])-ROW(Adatok[[#Headers],[Ingatlanok]])),COLUMNS($J$25:O$25))),"")</f>
        <v/>
      </c>
      <c r="O97" t="str">
        <f>IF(COLUMNS($J$25:P$25)&lt;=$G43,INDEX(Adatok[[Előleg]:[Előleg]],_xlfn.AGGREGATE(15,3,(Adatok[[Ingatlanok]:[Ingatlanok]]=$H43)/(Adatok[[Ingatlanok]:[Ingatlanok]]=$H43)*(ROW(Adatok[[Ingatlanok]:[Ingatlanok]])-ROW(Adatok[[#Headers],[Ár]])),COLUMNS($J$25:P$25))),"")</f>
        <v/>
      </c>
      <c r="P97" t="str">
        <f>IF(COLUMNS($J$25:Q$25)&lt;=$G43,INDEX(Adatok[[Előleg]:[Előleg]],_xlfn.AGGREGATE(15,3,(Adatok[[Ingatlanok]:[Ingatlanok]]=$H43)/(Adatok[[Ingatlanok]:[Ingatlanok]]=$H43)*(ROW(Adatok[[Ingatlanok]:[Ingatlanok]])-ROW(Adatok[[#Headers],[Letét, jelzálog]])),COLUMNS($J$25:Q$25))),"")</f>
        <v/>
      </c>
      <c r="Q97" t="str">
        <f>IF(COLUMNS($J$25:R$25)&lt;=$G43,INDEX(Adatok[[Előleg]:[Előleg]],_xlfn.AGGREGATE(15,3,(Adatok[[Ingatlanok]:[Ingatlanok]]=$H43)/(Adatok[[Ingatlanok]:[Ingatlanok]]=$H43)*(ROW(Adatok[[Ingatlanok]:[Ingatlanok]])-ROW(Adatok[[#Headers],[Előleg]])),COLUMNS($J$25:R$25))),"")</f>
        <v/>
      </c>
      <c r="R97" t="str">
        <f>IF(COLUMNS($J$25:S$25)&lt;=$G43,INDEX(Adatok[[Előleg]:[Előleg]],_xlfn.AGGREGATE(15,3,(Adatok[[Ingatlanok]:[Ingatlanok]]=$H43)/(Adatok[[Ingatlanok]:[Ingatlanok]]=$H43)*(ROW(Adatok[[Ingatlanok]:[Ingatlanok]])-ROW(Adatok[[#Headers],[Cashflow]])),COLUMNS($J$25:S$25))),"")</f>
        <v/>
      </c>
      <c r="S97" t="str">
        <f>IF(COLUMNS($J$25:T$25)&lt;=$G43,INDEX(Adatok[[Előleg]:[Előleg]],_xlfn.AGGREGATE(15,3,(Adatok[[Ingatlanok]:[Ingatlanok]]=$H43)/(Adatok[[Ingatlanok]:[Ingatlanok]]=$H43)*(ROW(Adatok[[Ingatlanok]:[Ingatlanok]])-ROW(Adatok[[#Headers],[Ingatlanok]])),COLUMNS($J$25:T$25))),"")</f>
        <v/>
      </c>
      <c r="T97" t="str">
        <f>IF(COLUMNS($J$25:U$25)&lt;=$G43,INDEX(Adatok[[Előleg]:[Előleg]],_xlfn.AGGREGATE(15,3,(Adatok[[Ingatlanok]:[Ingatlanok]]=$H43)/(Adatok[[Ingatlanok]:[Ingatlanok]]=$H43)*(ROW(Adatok[[Ingatlanok]:[Ingatlanok]])-ROW(Adatok[[#Headers],[Ár]])),COLUMNS($J$25:U$25))),"")</f>
        <v/>
      </c>
      <c r="U97" t="str">
        <f>IF(COLUMNS($J$25:V$25)&lt;=$G43,INDEX(Adatok[[Előleg]:[Előleg]],_xlfn.AGGREGATE(15,3,(Adatok[[Ingatlanok]:[Ingatlanok]]=$H43)/(Adatok[[Ingatlanok]:[Ingatlanok]]=$H43)*(ROW(Adatok[[Ingatlanok]:[Ingatlanok]])-ROW(Adatok[[#Headers],[Letét, jelzálog]])),COLUMNS($J$25:V$25))),"")</f>
        <v/>
      </c>
      <c r="V97" t="str">
        <f>IF(COLUMNS($J$25:W$25)&lt;=$G43,INDEX(Adatok[[Előleg]:[Előleg]],_xlfn.AGGREGATE(15,3,(Adatok[[Ingatlanok]:[Ingatlanok]]=$H43)/(Adatok[[Ingatlanok]:[Ingatlanok]]=$H43)*(ROW(Adatok[[Ingatlanok]:[Ingatlanok]])-ROW(Adatok[[#Headers],[Előleg]])),COLUMNS($J$25:W$25))),"")</f>
        <v/>
      </c>
      <c r="W97" t="str">
        <f>IF(COLUMNS($J$25:X$25)&lt;=$G43,INDEX(Adatok[[Előleg]:[Előleg]],_xlfn.AGGREGATE(15,3,(Adatok[[Ingatlanok]:[Ingatlanok]]=$H43)/(Adatok[[Ingatlanok]:[Ingatlanok]]=$H43)*(ROW(Adatok[[Ingatlanok]:[Ingatlanok]])-ROW(Adatok[[#Headers],[Cashflow]])),COLUMNS($J$25:X$25))),"")</f>
        <v/>
      </c>
      <c r="X97" t="str">
        <f>IF(COLUMNS($J$25:Y$25)&lt;=$G43,INDEX(Adatok[[Előleg]:[Előleg]],_xlfn.AGGREGATE(15,3,(Adatok[[Ingatlanok]:[Ingatlanok]]=$H43)/(Adatok[[Ingatlanok]:[Ingatlanok]]=$H43)*(ROW(Adatok[[Ingatlanok]:[Ingatlanok]])-ROW(Adatok[[#Headers],[Ingatlanok]])),COLUMNS($J$25:Y$25))),"")</f>
        <v/>
      </c>
      <c r="Y97" t="str">
        <f>IF(COLUMNS($J$25:Z$25)&lt;=$G43,INDEX(Adatok[[Előleg]:[Előleg]],_xlfn.AGGREGATE(15,3,(Adatok[[Ingatlanok]:[Ingatlanok]]=$H43)/(Adatok[[Ingatlanok]:[Ingatlanok]]=$H43)*(ROW(Adatok[[Ingatlanok]:[Ingatlanok]])-ROW(Adatok[[#Headers],[Ár]])),COLUMNS($J$25:Z$25))),"")</f>
        <v/>
      </c>
      <c r="Z97" t="str">
        <f>IF(COLUMNS($J$25:AA$25)&lt;=$G43,INDEX(Adatok[[Előleg]:[Előleg]],_xlfn.AGGREGATE(15,3,(Adatok[[Ingatlanok]:[Ingatlanok]]=$H43)/(Adatok[[Ingatlanok]:[Ingatlanok]]=$H43)*(ROW(Adatok[[Ingatlanok]:[Ingatlanok]])-ROW(Adatok[[#Headers],[Letét, jelzálog]])),COLUMNS($J$25:AA$25))),"")</f>
        <v/>
      </c>
      <c r="AA97" t="str">
        <f>IF(COLUMNS($J$25:AB$25)&lt;=$G43,INDEX(Adatok[[Előleg]:[Előleg]],_xlfn.AGGREGATE(15,3,(Adatok[[Ingatlanok]:[Ingatlanok]]=$H43)/(Adatok[[Ingatlanok]:[Ingatlanok]]=$H43)*(ROW(Adatok[[Ingatlanok]:[Ingatlanok]])-ROW(Adatok[[#Headers],[Előleg]])),COLUMNS($J$25:AB$25))),"")</f>
        <v/>
      </c>
      <c r="AB97" t="str">
        <f>IF(COLUMNS($J$25:AC$25)&lt;=$G43,INDEX(Adatok[[Előleg]:[Előleg]],_xlfn.AGGREGATE(15,3,(Adatok[[Ingatlanok]:[Ingatlanok]]=$H43)/(Adatok[[Ingatlanok]:[Ingatlanok]]=$H43)*(ROW(Adatok[[Ingatlanok]:[Ingatlanok]])-ROW(Adatok[[#Headers],[Cashflow]])),COLUMNS($J$25:AC$25))),"")</f>
        <v/>
      </c>
      <c r="AC97" t="str">
        <f>IF(COLUMNS($J$25:AD$25)&lt;=$G43,INDEX(Adatok[[Előleg]:[Előleg]],_xlfn.AGGREGATE(15,3,(Adatok[[Ingatlanok]:[Ingatlanok]]=$H43)/(Adatok[[Ingatlanok]:[Ingatlanok]]=$H43)*(ROW(Adatok[[Ingatlanok]:[Ingatlanok]])-ROW(Adatok[[#Headers],[Ingatlanok]])),COLUMNS($J$25:AD$25))),"")</f>
        <v/>
      </c>
      <c r="AD97" t="str">
        <f>IF(COLUMNS($J$25:AE$25)&lt;=$G43,INDEX(Adatok[[Előleg]:[Előleg]],_xlfn.AGGREGATE(15,3,(Adatok[[Ingatlanok]:[Ingatlanok]]=$H43)/(Adatok[[Ingatlanok]:[Ingatlanok]]=$H43)*(ROW(Adatok[[Ingatlanok]:[Ingatlanok]])-ROW(Adatok[[#Headers],[Ár]])),COLUMNS($J$25:AE$25))),"")</f>
        <v/>
      </c>
    </row>
    <row r="98" spans="1:30" x14ac:dyDescent="0.25">
      <c r="A98" t="s">
        <v>150</v>
      </c>
      <c r="B98">
        <v>6000</v>
      </c>
    </row>
    <row r="99" spans="1:30" x14ac:dyDescent="0.25">
      <c r="A99" t="s">
        <v>151</v>
      </c>
      <c r="B99">
        <v>3000</v>
      </c>
    </row>
    <row r="100" spans="1:30" x14ac:dyDescent="0.25">
      <c r="A100" t="s">
        <v>152</v>
      </c>
      <c r="B100">
        <v>50000</v>
      </c>
    </row>
    <row r="101" spans="1:30" x14ac:dyDescent="0.25">
      <c r="A101" t="s">
        <v>153</v>
      </c>
      <c r="B101">
        <v>14000</v>
      </c>
    </row>
    <row r="102" spans="1:30" x14ac:dyDescent="0.25">
      <c r="A102" t="s">
        <v>154</v>
      </c>
      <c r="B102">
        <v>9500</v>
      </c>
    </row>
    <row r="103" spans="1:30" x14ac:dyDescent="0.25">
      <c r="A103" t="s">
        <v>155</v>
      </c>
      <c r="B103">
        <v>5000</v>
      </c>
    </row>
    <row r="104" spans="1:30" x14ac:dyDescent="0.25">
      <c r="A104" t="s">
        <v>156</v>
      </c>
      <c r="B104">
        <v>10000</v>
      </c>
    </row>
    <row r="105" spans="1:30" x14ac:dyDescent="0.25">
      <c r="A105" t="s">
        <v>157</v>
      </c>
      <c r="B105">
        <v>5000</v>
      </c>
    </row>
    <row r="106" spans="1:30" x14ac:dyDescent="0.25">
      <c r="A106" t="s">
        <v>158</v>
      </c>
      <c r="B106">
        <v>25000</v>
      </c>
    </row>
  </sheetData>
  <sortState xmlns:xlrd2="http://schemas.microsoft.com/office/spreadsheetml/2017/richdata2" ref="A26:E65">
    <sortCondition ref="A26:A65"/>
  </sortState>
  <dataConsolidate function="product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Z 3 Q W V R w q V M q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X M z I A O s p G H y Z o 4 5 u Z h 1 B g B J Q D y S I J 2 j i X 5 p S U F q X a Z Z T q e o T a 6 M O 4 N v p Q P 9 g B A F B L A w Q U A A I A C A B n d B Z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3 Q W V S i K R 7 g O A A A A E Q A A A B M A H A B G b 3 J t d W x h c y 9 T Z W N 0 a W 9 u M S 5 t I K I Y A C i g F A A A A A A A A A A A A A A A A A A A A A A A A A A A A C t O T S 7 J z M 9 T C I b Q h t Y A U E s B A i 0 A F A A C A A g A Z 3 Q W V R w q V M q m A A A A 9 w A A A B I A A A A A A A A A A A A A A A A A A A A A A E N v b m Z p Z y 9 Q Y W N r Y W d l L n h t b F B L A Q I t A B Q A A g A I A G d 0 F l V T c j g s m w A A A O E A A A A T A A A A A A A A A A A A A A A A A P I A A A B b Q 2 9 u d G V u d F 9 U e X B l c 1 0 u e G 1 s U E s B A i 0 A F A A C A A g A Z 3 Q W V S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O + R T o k 1 m Q o U M s X i j s U j O A A A A A A I A A A A A A B B m A A A A A Q A A I A A A A G R m e 5 Q J 0 0 4 R e k r M o i p j l N I + y B s V 7 9 6 n t / Z V B 5 D z t 8 y O A A A A A A 6 A A A A A A g A A I A A A A B 7 / 6 C W 0 z v 0 l I m D Q h Z / h V s J l u u L X X 6 p 7 i L O J G K H R g V e 7 U A A A A D 1 I p j h 3 r a e T 7 C 4 8 y E g o G D N m c G Z 6 h u T w C f q 8 n o 0 i H b Z R V G w / u f K 9 h A a V p 7 a M a H R y B o M L L q W u 2 T s m 5 o W 0 S R f r R d q B z 1 V J d Y w 2 g 1 v q V E 0 t o 7 p u Q A A A A H + 0 r w B L E n o o Z 4 T 0 O 5 H / 4 b a u r b 0 u L B V J f 7 Q A A S O 4 0 8 J b c L y C O V 7 R Y C h x 7 8 R d r N V X 3 9 s s + K v y z C s Z g Y h K M Y e 6 Z i A = < / D a t a M a s h u p > 
</file>

<file path=customXml/itemProps1.xml><?xml version="1.0" encoding="utf-8"?>
<ds:datastoreItem xmlns:ds="http://schemas.openxmlformats.org/officeDocument/2006/customXml" ds:itemID="{4C0A954C-A38A-4C28-A2AB-61EC9322A8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5</vt:i4>
      </vt:variant>
    </vt:vector>
  </HeadingPairs>
  <TitlesOfParts>
    <vt:vector size="8" baseType="lpstr">
      <vt:lpstr>Mókuskerék</vt:lpstr>
      <vt:lpstr>Gyorsító sáv</vt:lpstr>
      <vt:lpstr>Adatok</vt:lpstr>
      <vt:lpstr>Fastlanecashflow</vt:lpstr>
      <vt:lpstr>Fastlaneshops</vt:lpstr>
      <vt:lpstr>MyDataFastLane</vt:lpstr>
      <vt:lpstr>MyDataRatRace</vt:lpstr>
      <vt:lpstr>Részvényárdb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MY_PC</cp:lastModifiedBy>
  <dcterms:created xsi:type="dcterms:W3CDTF">2015-06-05T18:17:20Z</dcterms:created>
  <dcterms:modified xsi:type="dcterms:W3CDTF">2022-12-04T16:01:32Z</dcterms:modified>
</cp:coreProperties>
</file>